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2" activeTab="7" autoFilterDateGrouping="1"/>
  </bookViews>
  <sheets>
    <sheet xmlns:r="http://schemas.openxmlformats.org/officeDocument/2006/relationships" name="1 Season" sheetId="1" state="visible" r:id="rId1"/>
    <sheet xmlns:r="http://schemas.openxmlformats.org/officeDocument/2006/relationships" name="2 Stuff Data" sheetId="2" state="visible" r:id="rId2"/>
    <sheet xmlns:r="http://schemas.openxmlformats.org/officeDocument/2006/relationships" name="3 Part Data" sheetId="3" state="visible" r:id="rId3"/>
    <sheet xmlns:r="http://schemas.openxmlformats.org/officeDocument/2006/relationships" name="4 Season Planner" sheetId="4" state="visible" r:id="rId4"/>
    <sheet xmlns:r="http://schemas.openxmlformats.org/officeDocument/2006/relationships" name="6 Wear Planner" sheetId="5" state="visible" r:id="rId5"/>
    <sheet xmlns:r="http://schemas.openxmlformats.org/officeDocument/2006/relationships" name="5 Testing" sheetId="6" state="visible" r:id="rId6"/>
    <sheet xmlns:r="http://schemas.openxmlformats.org/officeDocument/2006/relationships" name="7 Budget" sheetId="7" state="visible" r:id="rId7"/>
    <sheet xmlns:r="http://schemas.openxmlformats.org/officeDocument/2006/relationships" name="8 Strategy Planner" sheetId="8" state="visible" r:id="rId8"/>
    <sheet xmlns:r="http://schemas.openxmlformats.org/officeDocument/2006/relationships" name="9 Calculated Stuff Data" sheetId="9" state="visible" r:id="rId9"/>
    <sheet xmlns:r="http://schemas.openxmlformats.org/officeDocument/2006/relationships" name="10 Calculated Part Data" sheetId="10" state="visible" r:id="rId10"/>
    <sheet xmlns:r="http://schemas.openxmlformats.org/officeDocument/2006/relationships" name="11 Tracks" sheetId="11" state="visible" r:id="rId11"/>
    <sheet xmlns:r="http://schemas.openxmlformats.org/officeDocument/2006/relationships" name="12 Miscellaneous Calculations" sheetId="12" state="visible" r:id="rId12"/>
    <sheet xmlns:r="http://schemas.openxmlformats.org/officeDocument/2006/relationships" name="13 Miscellaneous Data" sheetId="13" state="visible" r:id="rId13"/>
    <sheet xmlns:r="http://schemas.openxmlformats.org/officeDocument/2006/relationships" name="14 Race Wear Calculator" sheetId="14" state="visible" r:id="rId14"/>
  </sheets>
  <definedNames>
    <definedName name="Carupdate">'13 Miscellaneous Data'!$A$26:$A$42</definedName>
    <definedName name="Compounds">'13 Miscellaneous Data'!$A$115:$A$119</definedName>
    <definedName name="Levels">'13 Miscellaneous Data'!$A$108:$A$112</definedName>
    <definedName name="Nonfinish">'13 Miscellaneous Data'!$A$45:$A$46</definedName>
    <definedName name="SeasonTracks">'1 Season'!$B$6:$B$22</definedName>
    <definedName name="Tracks">'11 Tracks'!$A$3:$A$62</definedName>
    <definedName name="Tyres">'13 Miscellaneous Data'!$A$2:$A$10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0000"/>
    <numFmt numFmtId="165" formatCode="0.000"/>
    <numFmt numFmtId="166" formatCode="[$$-409]#,##0_ ;[Red]\-[$$-409]#,##0\ "/>
    <numFmt numFmtId="167" formatCode="[$$-409]#,##0.00_ ;[Red]\-[$$-409]#,##0.00\ "/>
    <numFmt numFmtId="168" formatCode="&quot;$&quot;#,##0.00"/>
    <numFmt numFmtId="169" formatCode="0.000000"/>
    <numFmt numFmtId="170" formatCode="0.0"/>
    <numFmt numFmtId="171" formatCode="0.0000"/>
    <numFmt numFmtId="172" formatCode="[$$-409]#,##0"/>
    <numFmt numFmtId="173" formatCode="[$$-409]#,##0_ ;\-[$$-409]#,##0\ "/>
  </numFmts>
  <fonts count="26">
    <font>
      <name val="Arial"/>
      <color rgb="FF000000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rgb="FF969696"/>
      <sz val="11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sz val="8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sz val="9"/>
    </font>
    <font>
      <name val="Calibri"/>
      <family val="2"/>
      <b val="1"/>
      <sz val="11"/>
      <u val="single"/>
    </font>
    <font>
      <name val="Calibri"/>
      <family val="2"/>
      <b val="1"/>
      <sz val="11"/>
      <u val="single"/>
    </font>
    <font>
      <name val="Calibri"/>
      <family val="2"/>
      <b val="1"/>
      <sz val="11"/>
      <u val="single"/>
    </font>
    <font>
      <name val="Calibri"/>
      <family val="2"/>
      <sz val="11"/>
      <u val="single"/>
    </font>
    <font>
      <name val="Calibri"/>
      <family val="2"/>
      <sz val="11"/>
      <u val="single"/>
    </font>
    <font>
      <name val="Calibri"/>
      <family val="2"/>
      <sz val="11"/>
      <u val="single"/>
    </font>
    <font>
      <name val="Calibri"/>
      <family val="2"/>
      <sz val="11"/>
      <u val="single"/>
    </font>
    <font>
      <name val="Calibri"/>
      <family val="2"/>
      <b val="1"/>
      <color rgb="FFFFFFFF"/>
      <sz val="11"/>
    </font>
    <font>
      <name val="Calibri"/>
      <family val="2"/>
      <i val="1"/>
      <sz val="11"/>
      <u val="single"/>
    </font>
    <font>
      <name val="Calibri"/>
      <family val="2"/>
      <color rgb="FFFFFFFF"/>
      <sz val="11"/>
    </font>
    <font>
      <name val="Calibri"/>
      <family val="2"/>
      <i val="1"/>
      <sz val="11"/>
    </font>
    <font>
      <name val="Calibri"/>
      <family val="2"/>
      <b val="1"/>
      <color rgb="FF969696"/>
      <sz val="11"/>
    </font>
    <font>
      <name val="Arial"/>
      <family val="2"/>
      <color rgb="FF969696"/>
      <sz val="10"/>
    </font>
    <font>
      <name val="Arial"/>
      <family val="2"/>
      <b val="1"/>
      <color rgb="FF969696"/>
      <sz val="10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3"/>
  </cellStyleXfs>
  <cellXfs count="283">
    <xf numFmtId="0" fontId="0" fillId="0" borderId="0" pivotButton="0" quotePrefix="0" xfId="0"/>
    <xf numFmtId="0" fontId="1" fillId="2" borderId="1" pivotButton="0" quotePrefix="0" xfId="0"/>
    <xf numFmtId="0" fontId="1" fillId="3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pivotButton="0" quotePrefix="0" xfId="0"/>
    <xf numFmtId="0" fontId="1" fillId="4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4" borderId="4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165" fontId="1" fillId="2" borderId="5" applyAlignment="1" pivotButton="0" quotePrefix="0" xfId="0">
      <alignment horizontal="center"/>
    </xf>
    <xf numFmtId="165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4" borderId="7" applyAlignment="1" pivotButton="0" quotePrefix="0" xfId="0">
      <alignment horizontal="center"/>
    </xf>
    <xf numFmtId="164" fontId="1" fillId="2" borderId="3" applyAlignment="1" pivotButton="0" quotePrefix="0" xfId="0">
      <alignment horizontal="center"/>
    </xf>
    <xf numFmtId="165" fontId="1" fillId="2" borderId="3" applyAlignment="1" pivotButton="0" quotePrefix="0" xfId="0">
      <alignment horizontal="center"/>
    </xf>
    <xf numFmtId="165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4" borderId="9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164" fontId="1" fillId="2" borderId="10" applyAlignment="1" pivotButton="0" quotePrefix="0" xfId="0">
      <alignment horizontal="center"/>
    </xf>
    <xf numFmtId="165" fontId="1" fillId="2" borderId="10" applyAlignment="1" pivotButton="0" quotePrefix="0" xfId="0">
      <alignment horizontal="center"/>
    </xf>
    <xf numFmtId="165" fontId="1" fillId="2" borderId="11" applyAlignment="1" pivotButton="0" quotePrefix="0" xfId="0">
      <alignment horizontal="center"/>
    </xf>
    <xf numFmtId="166" fontId="1" fillId="4" borderId="2" applyAlignment="1" pivotButton="0" quotePrefix="0" xfId="0">
      <alignment horizontal="center"/>
    </xf>
    <xf numFmtId="0" fontId="2" fillId="2" borderId="3" pivotButton="0" quotePrefix="0" xfId="0"/>
    <xf numFmtId="0" fontId="1" fillId="4" borderId="5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166" fontId="1" fillId="4" borderId="5" applyAlignment="1" pivotButton="0" quotePrefix="0" xfId="0">
      <alignment horizontal="center"/>
    </xf>
    <xf numFmtId="166" fontId="1" fillId="4" borderId="3" applyAlignment="1" pivotButton="0" quotePrefix="0" xfId="0">
      <alignment horizontal="center"/>
    </xf>
    <xf numFmtId="166" fontId="1" fillId="4" borderId="1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4" borderId="12" applyAlignment="1" pivotButton="0" quotePrefix="0" xfId="0">
      <alignment horizontal="center"/>
    </xf>
    <xf numFmtId="0" fontId="1" fillId="4" borderId="13" applyAlignment="1" pivotButton="0" quotePrefix="0" xfId="0">
      <alignment horizontal="center"/>
    </xf>
    <xf numFmtId="0" fontId="1" fillId="4" borderId="1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3" borderId="10" applyAlignment="1" pivotButton="0" quotePrefix="0" xfId="0">
      <alignment horizontal="center"/>
    </xf>
    <xf numFmtId="9" fontId="1" fillId="4" borderId="12" applyAlignment="1" pivotButton="0" quotePrefix="0" xfId="0">
      <alignment horizontal="center"/>
    </xf>
    <xf numFmtId="9" fontId="1" fillId="3" borderId="5" applyAlignment="1" pivotButton="0" quotePrefix="0" xfId="0">
      <alignment horizontal="center"/>
    </xf>
    <xf numFmtId="9" fontId="1" fillId="3" borderId="3" applyAlignment="1" pivotButton="0" quotePrefix="0" xfId="0">
      <alignment horizontal="center"/>
    </xf>
    <xf numFmtId="9" fontId="1" fillId="3" borderId="10" applyAlignment="1" pivotButton="0" quotePrefix="0" xfId="0">
      <alignment horizontal="center"/>
    </xf>
    <xf numFmtId="9" fontId="1" fillId="4" borderId="13" applyAlignment="1" pivotButton="0" quotePrefix="0" xfId="0">
      <alignment horizontal="center"/>
    </xf>
    <xf numFmtId="9" fontId="1" fillId="4" borderId="14" applyAlignment="1" pivotButton="0" quotePrefix="0" xfId="0">
      <alignment horizontal="center"/>
    </xf>
    <xf numFmtId="0" fontId="3" fillId="2" borderId="3" pivotButton="0" quotePrefix="0" xfId="0"/>
    <xf numFmtId="0" fontId="1" fillId="4" borderId="8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15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4" fillId="2" borderId="3" pivotButton="0" quotePrefix="0" xfId="0"/>
    <xf numFmtId="0" fontId="5" fillId="2" borderId="3" pivotButton="0" quotePrefix="0" xfId="0"/>
    <xf numFmtId="0" fontId="1" fillId="4" borderId="6" applyAlignment="1" pivotButton="0" quotePrefix="0" xfId="0">
      <alignment horizontal="center"/>
    </xf>
    <xf numFmtId="166" fontId="1" fillId="4" borderId="16" applyAlignment="1" pivotButton="0" quotePrefix="0" xfId="0">
      <alignment horizontal="center"/>
    </xf>
    <xf numFmtId="166" fontId="1" fillId="4" borderId="15" applyAlignment="1" pivotButton="0" quotePrefix="0" xfId="0">
      <alignment horizontal="center"/>
    </xf>
    <xf numFmtId="0" fontId="6" fillId="2" borderId="3" pivotButton="0" quotePrefix="0" xfId="0"/>
    <xf numFmtId="0" fontId="6" fillId="2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6" applyAlignment="1" pivotButton="0" quotePrefix="0" xfId="0">
      <alignment horizontal="center"/>
    </xf>
    <xf numFmtId="0" fontId="6" fillId="2" borderId="12" pivotButton="0" quotePrefix="0" xfId="0"/>
    <xf numFmtId="0" fontId="6" fillId="2" borderId="7" pivotButton="0" quotePrefix="0" xfId="0"/>
    <xf numFmtId="0" fontId="6" fillId="2" borderId="9" applyAlignment="1" pivotButton="0" quotePrefix="0" xfId="0">
      <alignment horizontal="center"/>
    </xf>
    <xf numFmtId="0" fontId="6" fillId="2" borderId="10" applyAlignment="1" pivotButton="0" quotePrefix="0" xfId="0">
      <alignment horizontal="center"/>
    </xf>
    <xf numFmtId="0" fontId="6" fillId="2" borderId="11" applyAlignment="1" pivotButton="0" quotePrefix="0" xfId="0">
      <alignment horizontal="center"/>
    </xf>
    <xf numFmtId="0" fontId="6" fillId="2" borderId="13" pivotButton="0" quotePrefix="0" xfId="0"/>
    <xf numFmtId="0" fontId="6" fillId="2" borderId="12" applyAlignment="1" pivotButton="0" quotePrefix="0" xfId="0">
      <alignment horizontal="center"/>
    </xf>
    <xf numFmtId="0" fontId="6" fillId="2" borderId="14" pivotButton="0" quotePrefix="0" xfId="0"/>
    <xf numFmtId="0" fontId="6" fillId="2" borderId="7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6" fillId="2" borderId="14" applyAlignment="1" pivotButton="0" quotePrefix="0" xfId="0">
      <alignment horizontal="center"/>
    </xf>
    <xf numFmtId="0" fontId="6" fillId="2" borderId="2" pivotButton="0" quotePrefix="0" xfId="0"/>
    <xf numFmtId="0" fontId="6" fillId="2" borderId="1" pivotButton="0" quotePrefix="0" xfId="0"/>
    <xf numFmtId="0" fontId="6" fillId="2" borderId="4" pivotButton="0" quotePrefix="0" xfId="0"/>
    <xf numFmtId="0" fontId="6" fillId="2" borderId="9" pivotButton="0" quotePrefix="0" xfId="0"/>
    <xf numFmtId="0" fontId="6" fillId="5" borderId="3" pivotButton="0" quotePrefix="0" xfId="0"/>
    <xf numFmtId="0" fontId="6" fillId="0" borderId="0" applyAlignment="1" pivotButton="0" quotePrefix="0" xfId="0">
      <alignment horizontal="center"/>
    </xf>
    <xf numFmtId="9" fontId="6" fillId="2" borderId="4" applyAlignment="1" pivotButton="0" quotePrefix="0" xfId="0">
      <alignment horizontal="center"/>
    </xf>
    <xf numFmtId="9" fontId="6" fillId="2" borderId="5" applyAlignment="1" pivotButton="0" quotePrefix="0" xfId="0">
      <alignment horizontal="center"/>
    </xf>
    <xf numFmtId="9" fontId="6" fillId="0" borderId="18" applyAlignment="1" pivotButton="0" quotePrefix="0" xfId="0">
      <alignment horizontal="center"/>
    </xf>
    <xf numFmtId="9" fontId="6" fillId="2" borderId="3" pivotButton="0" quotePrefix="0" xfId="0"/>
    <xf numFmtId="9" fontId="6" fillId="2" borderId="7" applyAlignment="1" pivotButton="0" quotePrefix="0" xfId="0">
      <alignment horizontal="center"/>
    </xf>
    <xf numFmtId="9" fontId="6" fillId="2" borderId="3" applyAlignment="1" pivotButton="0" quotePrefix="0" xfId="0">
      <alignment horizontal="center"/>
    </xf>
    <xf numFmtId="9" fontId="6" fillId="0" borderId="17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9" fontId="6" fillId="2" borderId="10" applyAlignment="1" pivotButton="0" quotePrefix="0" xfId="0">
      <alignment horizontal="center"/>
    </xf>
    <xf numFmtId="9" fontId="6" fillId="0" borderId="1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6" borderId="4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2" borderId="7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8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7" fillId="2" borderId="10" applyAlignment="1" pivotButton="0" quotePrefix="0" xfId="0">
      <alignment horizontal="center"/>
    </xf>
    <xf numFmtId="0" fontId="7" fillId="0" borderId="19" applyAlignment="1" pivotButton="0" quotePrefix="0" xfId="0">
      <alignment horizontal="center"/>
    </xf>
    <xf numFmtId="167" fontId="6" fillId="2" borderId="4" applyAlignment="1" pivotButton="0" quotePrefix="0" xfId="0">
      <alignment horizontal="center"/>
    </xf>
    <xf numFmtId="167" fontId="6" fillId="2" borderId="5" applyAlignment="1" pivotButton="0" quotePrefix="0" xfId="0">
      <alignment horizontal="center"/>
    </xf>
    <xf numFmtId="167" fontId="6" fillId="2" borderId="6" applyAlignment="1" pivotButton="0" quotePrefix="0" xfId="0">
      <alignment horizontal="center"/>
    </xf>
    <xf numFmtId="167" fontId="6" fillId="2" borderId="9" applyAlignment="1" pivotButton="0" quotePrefix="0" xfId="0">
      <alignment horizontal="center"/>
    </xf>
    <xf numFmtId="167" fontId="6" fillId="2" borderId="10" applyAlignment="1" pivotButton="0" quotePrefix="0" xfId="0">
      <alignment horizontal="center"/>
    </xf>
    <xf numFmtId="167" fontId="6" fillId="2" borderId="11" applyAlignment="1" pivotButton="0" quotePrefix="0" xfId="0">
      <alignment horizontal="center"/>
    </xf>
    <xf numFmtId="0" fontId="6" fillId="0" borderId="18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6" fillId="2" borderId="3" applyAlignment="1" pivotButton="0" quotePrefix="0" xfId="0">
      <alignment horizontal="center" vertical="center" textRotation="45"/>
    </xf>
    <xf numFmtId="0" fontId="6" fillId="2" borderId="1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3" borderId="8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8" fillId="2" borderId="3" applyAlignment="1" pivotButton="0" quotePrefix="0" xfId="0">
      <alignment horizontal="right"/>
    </xf>
    <xf numFmtId="0" fontId="6" fillId="2" borderId="8" applyAlignment="1" pivotButton="0" quotePrefix="0" xfId="0">
      <alignment horizontal="center"/>
    </xf>
    <xf numFmtId="166" fontId="1" fillId="2" borderId="3" applyAlignment="1" pivotButton="0" quotePrefix="0" xfId="0">
      <alignment horizontal="center"/>
    </xf>
    <xf numFmtId="166" fontId="1" fillId="2" borderId="4" applyAlignment="1" pivotButton="0" quotePrefix="0" xfId="0">
      <alignment horizontal="center"/>
    </xf>
    <xf numFmtId="166" fontId="1" fillId="2" borderId="5" applyAlignment="1" pivotButton="0" quotePrefix="0" xfId="0">
      <alignment horizontal="center"/>
    </xf>
    <xf numFmtId="166" fontId="1" fillId="2" borderId="6" applyAlignment="1" pivotButton="0" quotePrefix="0" xfId="0">
      <alignment horizontal="center"/>
    </xf>
    <xf numFmtId="166" fontId="1" fillId="2" borderId="7" applyAlignment="1" pivotButton="0" quotePrefix="0" xfId="0">
      <alignment horizontal="center"/>
    </xf>
    <xf numFmtId="166" fontId="1" fillId="2" borderId="8" applyAlignment="1" pivotButton="0" quotePrefix="0" xfId="0">
      <alignment horizontal="center"/>
    </xf>
    <xf numFmtId="166" fontId="1" fillId="2" borderId="9" applyAlignment="1" pivotButton="0" quotePrefix="0" xfId="0">
      <alignment horizontal="center"/>
    </xf>
    <xf numFmtId="166" fontId="1" fillId="2" borderId="10" applyAlignment="1" pivotButton="0" quotePrefix="0" xfId="0">
      <alignment horizontal="center"/>
    </xf>
    <xf numFmtId="166" fontId="1" fillId="2" borderId="11" applyAlignment="1" pivotButton="0" quotePrefix="0" xfId="0">
      <alignment horizontal="center"/>
    </xf>
    <xf numFmtId="166" fontId="1" fillId="2" borderId="16" applyAlignment="1" pivotButton="0" quotePrefix="0" xfId="0">
      <alignment horizontal="center"/>
    </xf>
    <xf numFmtId="166" fontId="1" fillId="2" borderId="15" applyAlignment="1" pivotButton="0" quotePrefix="0" xfId="0">
      <alignment horizontal="center"/>
    </xf>
    <xf numFmtId="166" fontId="1" fillId="2" borderId="1" applyAlignment="1" pivotButton="0" quotePrefix="0" xfId="0">
      <alignment horizontal="center"/>
    </xf>
    <xf numFmtId="0" fontId="9" fillId="2" borderId="3" pivotButton="0" quotePrefix="0" xfId="0"/>
    <xf numFmtId="166" fontId="2" fillId="2" borderId="7" applyAlignment="1" pivotButton="0" quotePrefix="0" xfId="0">
      <alignment horizontal="center"/>
    </xf>
    <xf numFmtId="166" fontId="2" fillId="2" borderId="3" applyAlignment="1" pivotButton="0" quotePrefix="0" xfId="0">
      <alignment horizontal="center"/>
    </xf>
    <xf numFmtId="166" fontId="2" fillId="2" borderId="8" applyAlignment="1" pivotButton="0" quotePrefix="0" xfId="0">
      <alignment horizontal="center"/>
    </xf>
    <xf numFmtId="166" fontId="2" fillId="2" borderId="9" applyAlignment="1" pivotButton="0" quotePrefix="0" xfId="0">
      <alignment horizontal="center"/>
    </xf>
    <xf numFmtId="166" fontId="2" fillId="2" borderId="10" applyAlignment="1" pivotButton="0" quotePrefix="0" xfId="0">
      <alignment horizontal="center"/>
    </xf>
    <xf numFmtId="166" fontId="2" fillId="2" borderId="11" applyAlignment="1" pivotButton="0" quotePrefix="0" xfId="0">
      <alignment horizontal="center"/>
    </xf>
    <xf numFmtId="0" fontId="10" fillId="2" borderId="3" pivotButton="0" quotePrefix="0" xfId="0"/>
    <xf numFmtId="166" fontId="1" fillId="3" borderId="4" applyAlignment="1" pivotButton="0" quotePrefix="0" xfId="0">
      <alignment horizontal="center"/>
    </xf>
    <xf numFmtId="166" fontId="1" fillId="3" borderId="5" applyAlignment="1" pivotButton="0" quotePrefix="0" xfId="0">
      <alignment horizontal="center"/>
    </xf>
    <xf numFmtId="166" fontId="1" fillId="3" borderId="6" applyAlignment="1" pivotButton="0" quotePrefix="0" xfId="0">
      <alignment horizontal="center"/>
    </xf>
    <xf numFmtId="166" fontId="1" fillId="3" borderId="9" applyAlignment="1" pivotButton="0" quotePrefix="0" xfId="0">
      <alignment horizontal="center"/>
    </xf>
    <xf numFmtId="166" fontId="1" fillId="3" borderId="10" applyAlignment="1" pivotButton="0" quotePrefix="0" xfId="0">
      <alignment horizontal="center"/>
    </xf>
    <xf numFmtId="166" fontId="1" fillId="3" borderId="11" applyAlignment="1" pivotButton="0" quotePrefix="0" xfId="0">
      <alignment horizontal="center"/>
    </xf>
    <xf numFmtId="168" fontId="11" fillId="2" borderId="3" applyAlignment="1" pivotButton="0" quotePrefix="0" xfId="0">
      <alignment horizontal="center"/>
    </xf>
    <xf numFmtId="0" fontId="1" fillId="2" borderId="4" pivotButton="0" quotePrefix="0" xfId="0"/>
    <xf numFmtId="0" fontId="1" fillId="3" borderId="15" applyAlignment="1" pivotButton="0" quotePrefix="0" xfId="0">
      <alignment horizontal="center"/>
    </xf>
    <xf numFmtId="9" fontId="1" fillId="2" borderId="6" applyAlignment="1" pivotButton="0" quotePrefix="0" xfId="0">
      <alignment horizontal="center"/>
    </xf>
    <xf numFmtId="1" fontId="1" fillId="2" borderId="6" applyAlignment="1" pivotButton="0" quotePrefix="0" xfId="0">
      <alignment horizontal="center"/>
    </xf>
    <xf numFmtId="0" fontId="1" fillId="2" borderId="7" pivotButton="0" quotePrefix="0" xfId="0"/>
    <xf numFmtId="0" fontId="1" fillId="2" borderId="8" applyAlignment="1" pivotButton="0" quotePrefix="0" xfId="0">
      <alignment horizontal="center"/>
    </xf>
    <xf numFmtId="9" fontId="1" fillId="2" borderId="8" applyAlignment="1" pivotButton="0" quotePrefix="0" xfId="0">
      <alignment horizontal="center"/>
    </xf>
    <xf numFmtId="1" fontId="1" fillId="2" borderId="8" applyAlignment="1" pivotButton="0" quotePrefix="0" xfId="0">
      <alignment horizontal="center"/>
    </xf>
    <xf numFmtId="1" fontId="1" fillId="2" borderId="3" pivotButton="0" quotePrefix="0" xfId="0"/>
    <xf numFmtId="0" fontId="1" fillId="2" borderId="9" pivotButton="0" quotePrefix="0" xfId="0"/>
    <xf numFmtId="0" fontId="1" fillId="2" borderId="11" applyAlignment="1" pivotButton="0" quotePrefix="0" xfId="0">
      <alignment horizontal="center"/>
    </xf>
    <xf numFmtId="9" fontId="1" fillId="2" borderId="11" applyAlignment="1" pivotButton="0" quotePrefix="0" xfId="0">
      <alignment horizontal="center"/>
    </xf>
    <xf numFmtId="1" fontId="1" fillId="2" borderId="11" applyAlignment="1" pivotButton="0" quotePrefix="0" xfId="0">
      <alignment horizontal="center"/>
    </xf>
    <xf numFmtId="169" fontId="1" fillId="2" borderId="3" pivotButton="0" quotePrefix="0" xfId="0"/>
    <xf numFmtId="0" fontId="1" fillId="0" borderId="21" applyAlignment="1" pivotButton="0" quotePrefix="0" xfId="0">
      <alignment horizontal="center"/>
    </xf>
    <xf numFmtId="0" fontId="5" fillId="0" borderId="2" pivotButton="0" quotePrefix="0" xfId="0"/>
    <xf numFmtId="0" fontId="5" fillId="2" borderId="10" applyAlignment="1" pivotButton="0" quotePrefix="0" xfId="0">
      <alignment wrapText="1"/>
    </xf>
    <xf numFmtId="0" fontId="5" fillId="2" borderId="10" applyAlignment="1" pivotButton="0" quotePrefix="0" xfId="0">
      <alignment horizontal="center"/>
    </xf>
    <xf numFmtId="0" fontId="5" fillId="2" borderId="2" pivotButton="0" quotePrefix="0" xfId="0"/>
    <xf numFmtId="1" fontId="5" fillId="2" borderId="4" applyAlignment="1" pivotButton="0" quotePrefix="0" xfId="0">
      <alignment horizontal="center"/>
    </xf>
    <xf numFmtId="1" fontId="5" fillId="2" borderId="5" applyAlignment="1" pivotButton="0" quotePrefix="0" xfId="0">
      <alignment horizontal="center"/>
    </xf>
    <xf numFmtId="1" fontId="5" fillId="2" borderId="6" applyAlignment="1" pivotButton="0" quotePrefix="0" xfId="0">
      <alignment horizontal="center"/>
    </xf>
    <xf numFmtId="0" fontId="5" fillId="2" borderId="1" pivotButton="0" quotePrefix="0" xfId="0"/>
    <xf numFmtId="1" fontId="5" fillId="2" borderId="1" applyAlignment="1" pivotButton="0" quotePrefix="0" xfId="0">
      <alignment horizontal="center"/>
    </xf>
    <xf numFmtId="1" fontId="5" fillId="2" borderId="16" applyAlignment="1" pivotButton="0" quotePrefix="0" xfId="0">
      <alignment horizontal="center"/>
    </xf>
    <xf numFmtId="1" fontId="5" fillId="2" borderId="15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5" fillId="2" borderId="5" applyAlignment="1" pivotButton="0" quotePrefix="0" xfId="0">
      <alignment wrapText="1"/>
    </xf>
    <xf numFmtId="0" fontId="5" fillId="2" borderId="3" applyAlignment="1" pivotButton="0" quotePrefix="0" xfId="0">
      <alignment horizontal="center" wrapText="1"/>
    </xf>
    <xf numFmtId="165" fontId="1" fillId="2" borderId="15" applyAlignment="1" pivotButton="0" quotePrefix="0" xfId="0">
      <alignment horizontal="center"/>
    </xf>
    <xf numFmtId="165" fontId="1" fillId="2" borderId="2" applyAlignment="1" pivotButton="0" quotePrefix="0" xfId="0">
      <alignment horizontal="center"/>
    </xf>
    <xf numFmtId="1" fontId="5" fillId="2" borderId="3" applyAlignment="1" pivotButton="0" quotePrefix="0" xfId="0">
      <alignment horizontal="center" wrapText="1"/>
    </xf>
    <xf numFmtId="0" fontId="5" fillId="0" borderId="2" applyAlignment="1" pivotButton="0" quotePrefix="0" xfId="0">
      <alignment vertical="center"/>
    </xf>
    <xf numFmtId="9" fontId="5" fillId="4" borderId="15" applyAlignment="1" pivotButton="0" quotePrefix="0" xfId="0">
      <alignment horizontal="center" vertical="center"/>
    </xf>
    <xf numFmtId="0" fontId="13" fillId="2" borderId="3" applyAlignment="1" pivotButton="0" quotePrefix="0" xfId="0">
      <alignment horizontal="center"/>
    </xf>
    <xf numFmtId="0" fontId="14" fillId="2" borderId="8" applyAlignment="1" pivotButton="0" quotePrefix="0" xfId="0">
      <alignment horizontal="center"/>
    </xf>
    <xf numFmtId="0" fontId="1" fillId="2" borderId="13" pivotButton="0" quotePrefix="0" xfId="0"/>
    <xf numFmtId="0" fontId="15" fillId="2" borderId="3" applyAlignment="1" pivotButton="0" quotePrefix="0" xfId="0">
      <alignment horizontal="center"/>
    </xf>
    <xf numFmtId="2" fontId="16" fillId="2" borderId="8" applyAlignment="1" pivotButton="0" quotePrefix="0" xfId="0">
      <alignment horizontal="center"/>
    </xf>
    <xf numFmtId="0" fontId="17" fillId="2" borderId="13" applyAlignment="1" pivotButton="0" quotePrefix="0" xfId="0">
      <alignment horizontal="center"/>
    </xf>
    <xf numFmtId="170" fontId="1" fillId="2" borderId="3" applyAlignment="1" pivotButton="0" quotePrefix="0" xfId="0">
      <alignment horizontal="center"/>
    </xf>
    <xf numFmtId="9" fontId="1" fillId="2" borderId="13" applyAlignment="1" pivotButton="0" quotePrefix="0" xfId="0">
      <alignment horizontal="center"/>
    </xf>
    <xf numFmtId="0" fontId="18" fillId="2" borderId="4" pivotButton="0" quotePrefix="0" xfId="0"/>
    <xf numFmtId="0" fontId="1" fillId="2" borderId="5" pivotButton="0" quotePrefix="0" xfId="0"/>
    <xf numFmtId="0" fontId="1" fillId="2" borderId="6" pivotButton="0" quotePrefix="0" xfId="0"/>
    <xf numFmtId="0" fontId="20" fillId="2" borderId="3" applyAlignment="1" pivotButton="0" quotePrefix="0" xfId="0">
      <alignment horizontal="center"/>
    </xf>
    <xf numFmtId="0" fontId="21" fillId="7" borderId="2" applyAlignment="1" pivotButton="0" quotePrefix="0" xfId="0">
      <alignment horizontal="center"/>
    </xf>
    <xf numFmtId="0" fontId="21" fillId="7" borderId="2" pivotButton="0" quotePrefix="0" xfId="0"/>
    <xf numFmtId="170" fontId="1" fillId="2" borderId="3" pivotButton="0" quotePrefix="0" xfId="0"/>
    <xf numFmtId="0" fontId="22" fillId="2" borderId="3" applyAlignment="1" pivotButton="0" quotePrefix="0" xfId="0">
      <alignment horizontal="center"/>
    </xf>
    <xf numFmtId="170" fontId="1" fillId="2" borderId="2" applyAlignment="1" pivotButton="0" quotePrefix="0" xfId="0">
      <alignment horizontal="center"/>
    </xf>
    <xf numFmtId="9" fontId="1" fillId="2" borderId="2" applyAlignment="1" pivotButton="0" quotePrefix="0" xfId="0">
      <alignment horizontal="center"/>
    </xf>
    <xf numFmtId="1" fontId="1" fillId="2" borderId="3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2" fontId="1" fillId="2" borderId="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2" fontId="1" fillId="2" borderId="7" pivotButton="0" quotePrefix="0" xfId="0"/>
    <xf numFmtId="9" fontId="1" fillId="2" borderId="3" applyAlignment="1" pivotButton="0" quotePrefix="0" xfId="0">
      <alignment horizontal="center"/>
    </xf>
    <xf numFmtId="170" fontId="1" fillId="2" borderId="8" applyAlignment="1" pivotButton="0" quotePrefix="0" xfId="0">
      <alignment horizontal="center"/>
    </xf>
    <xf numFmtId="170" fontId="1" fillId="2" borderId="13" applyAlignment="1" pivotButton="0" quotePrefix="0" xfId="0">
      <alignment horizontal="center"/>
    </xf>
    <xf numFmtId="2" fontId="1" fillId="2" borderId="9" pivotButton="0" quotePrefix="0" xfId="0"/>
    <xf numFmtId="9" fontId="1" fillId="2" borderId="10" applyAlignment="1" pivotButton="0" quotePrefix="0" xfId="0">
      <alignment horizontal="center"/>
    </xf>
    <xf numFmtId="170" fontId="1" fillId="2" borderId="11" applyAlignment="1" pivotButton="0" quotePrefix="0" xfId="0">
      <alignment horizontal="center"/>
    </xf>
    <xf numFmtId="170" fontId="1" fillId="2" borderId="14" applyAlignment="1" pivotButton="0" quotePrefix="0" xfId="0">
      <alignment horizontal="center"/>
    </xf>
    <xf numFmtId="1" fontId="1" fillId="2" borderId="4" applyAlignment="1" pivotButton="0" quotePrefix="0" xfId="0">
      <alignment horizontal="center"/>
    </xf>
    <xf numFmtId="1" fontId="1" fillId="2" borderId="5" applyAlignment="1" pivotButton="0" quotePrefix="0" xfId="0">
      <alignment horizontal="center"/>
    </xf>
    <xf numFmtId="1" fontId="1" fillId="2" borderId="7" applyAlignment="1" pivotButton="0" quotePrefix="0" xfId="0">
      <alignment horizontal="center"/>
    </xf>
    <xf numFmtId="1" fontId="1" fillId="2" borderId="9" applyAlignment="1" pivotButton="0" quotePrefix="0" xfId="0">
      <alignment horizontal="center"/>
    </xf>
    <xf numFmtId="1" fontId="1" fillId="2" borderId="10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9" fontId="1" fillId="2" borderId="4" applyAlignment="1" pivotButton="0" quotePrefix="0" xfId="0">
      <alignment horizontal="center"/>
    </xf>
    <xf numFmtId="9" fontId="1" fillId="2" borderId="5" applyAlignment="1" pivotButton="0" quotePrefix="0" xfId="0">
      <alignment horizontal="center"/>
    </xf>
    <xf numFmtId="9" fontId="1" fillId="2" borderId="7" applyAlignment="1" pivotButton="0" quotePrefix="0" xfId="0">
      <alignment horizontal="center"/>
    </xf>
    <xf numFmtId="9" fontId="1" fillId="2" borderId="9" applyAlignment="1" pivotButton="0" quotePrefix="0" xfId="0">
      <alignment horizontal="center"/>
    </xf>
    <xf numFmtId="171" fontId="1" fillId="2" borderId="3" pivotButton="0" quotePrefix="0" xfId="0"/>
    <xf numFmtId="0" fontId="23" fillId="2" borderId="3" pivotButton="0" quotePrefix="0" xfId="0"/>
    <xf numFmtId="0" fontId="24" fillId="2" borderId="3" pivotButton="0" quotePrefix="0" xfId="0"/>
    <xf numFmtId="172" fontId="3" fillId="2" borderId="3" pivotButton="0" quotePrefix="0" xfId="0"/>
    <xf numFmtId="0" fontId="25" fillId="2" borderId="3" pivotButton="0" quotePrefix="0" xfId="0"/>
    <xf numFmtId="173" fontId="3" fillId="2" borderId="3" pivotButton="0" quotePrefix="0" xfId="0"/>
    <xf numFmtId="9" fontId="3" fillId="2" borderId="3" pivotButton="0" quotePrefix="0" xfId="0"/>
    <xf numFmtId="166" fontId="3" fillId="2" borderId="3" pivotButton="0" quotePrefix="0" xfId="0"/>
    <xf numFmtId="0" fontId="3" fillId="6" borderId="3" pivotButton="0" quotePrefix="0" xfId="0"/>
    <xf numFmtId="0" fontId="3" fillId="2" borderId="3" applyAlignment="1" pivotButton="0" quotePrefix="0" xfId="0">
      <alignment horizontal="center"/>
    </xf>
    <xf numFmtId="165" fontId="3" fillId="2" borderId="3" applyAlignment="1" pivotButton="0" quotePrefix="0" xfId="0">
      <alignment horizontal="center"/>
    </xf>
    <xf numFmtId="0" fontId="3" fillId="2" borderId="4" pivotButton="0" quotePrefix="0" xfId="0"/>
    <xf numFmtId="0" fontId="3" fillId="2" borderId="5" pivotButton="0" quotePrefix="0" xfId="0"/>
    <xf numFmtId="0" fontId="3" fillId="2" borderId="6" pivotButton="0" quotePrefix="0" xfId="0"/>
    <xf numFmtId="0" fontId="3" fillId="2" borderId="7" pivotButton="0" quotePrefix="0" xfId="0"/>
    <xf numFmtId="0" fontId="3" fillId="2" borderId="8" pivotButton="0" quotePrefix="0" xfId="0"/>
    <xf numFmtId="0" fontId="3" fillId="2" borderId="1" pivotButton="0" quotePrefix="0" xfId="0"/>
    <xf numFmtId="0" fontId="3" fillId="2" borderId="15" pivotButton="0" quotePrefix="0" xfId="0"/>
    <xf numFmtId="0" fontId="3" fillId="2" borderId="9" pivotButton="0" quotePrefix="0" xfId="0"/>
    <xf numFmtId="0" fontId="3" fillId="2" borderId="11" pivotButton="0" quotePrefix="0" xfId="0"/>
    <xf numFmtId="0" fontId="3" fillId="2" borderId="10" pivotButton="0" quotePrefix="0" xfId="0"/>
    <xf numFmtId="0" fontId="23" fillId="2" borderId="3" applyAlignment="1" pivotButton="0" quotePrefix="0" xfId="0">
      <alignment horizontal="center"/>
    </xf>
    <xf numFmtId="1" fontId="3" fillId="2" borderId="3" pivotButton="0" quotePrefix="0" xfId="0"/>
    <xf numFmtId="0" fontId="3" fillId="4" borderId="5" pivotButton="0" quotePrefix="0" xfId="0"/>
    <xf numFmtId="0" fontId="3" fillId="4" borderId="3" pivotButton="0" quotePrefix="0" xfId="0"/>
    <xf numFmtId="0" fontId="3" fillId="4" borderId="10" pivotButton="0" quotePrefix="0" xfId="0"/>
    <xf numFmtId="9" fontId="1" fillId="4" borderId="22" applyAlignment="1" pivotButton="0" quotePrefix="0" xfId="0">
      <alignment horizontal="center"/>
    </xf>
    <xf numFmtId="9" fontId="1" fillId="4" borderId="26" applyAlignment="1" pivotButton="0" quotePrefix="0" xfId="0">
      <alignment horizontal="center"/>
    </xf>
    <xf numFmtId="9" fontId="1" fillId="4" borderId="23" applyAlignment="1" pivotButton="0" quotePrefix="0" xfId="0">
      <alignment horizontal="center"/>
    </xf>
    <xf numFmtId="9" fontId="1" fillId="3" borderId="24" applyAlignment="1" pivotButton="0" quotePrefix="0" xfId="0">
      <alignment horizontal="center"/>
    </xf>
    <xf numFmtId="9" fontId="1" fillId="3" borderId="25" applyAlignment="1" pivotButton="0" quotePrefix="0" xfId="0">
      <alignment horizontal="center"/>
    </xf>
    <xf numFmtId="167" fontId="6" fillId="2" borderId="2" applyAlignment="1" pivotButton="0" quotePrefix="0" xfId="0">
      <alignment horizontal="center"/>
    </xf>
    <xf numFmtId="0" fontId="0" fillId="0" borderId="20" pivotButton="0" quotePrefix="0" xfId="0"/>
    <xf numFmtId="0" fontId="6" fillId="2" borderId="3" applyAlignment="1" pivotButton="0" quotePrefix="0" xfId="0">
      <alignment horizontal="center" vertical="center" textRotation="45"/>
    </xf>
    <xf numFmtId="0" fontId="0" fillId="0" borderId="0" pivotButton="0" quotePrefix="0" xfId="0"/>
    <xf numFmtId="0" fontId="6" fillId="2" borderId="2" applyAlignment="1" pivotButton="0" quotePrefix="0" xfId="0">
      <alignment horizontal="center"/>
    </xf>
    <xf numFmtId="0" fontId="6" fillId="2" borderId="3" applyAlignment="1" pivotButton="0" quotePrefix="0" xfId="0">
      <alignment horizontal="center" textRotation="45"/>
    </xf>
    <xf numFmtId="0" fontId="5" fillId="0" borderId="2" applyAlignment="1" pivotButton="0" quotePrefix="0" xfId="0">
      <alignment vertical="center"/>
    </xf>
    <xf numFmtId="0" fontId="0" fillId="0" borderId="23" pivotButton="0" quotePrefix="0" xfId="0"/>
    <xf numFmtId="0" fontId="1" fillId="2" borderId="7" applyAlignment="1" pivotButton="0" quotePrefix="0" xfId="0">
      <alignment horizontal="left"/>
    </xf>
    <xf numFmtId="0" fontId="5" fillId="4" borderId="20" applyAlignment="1" pivotButton="0" quotePrefix="0" xfId="0">
      <alignment horizontal="center" vertical="center"/>
    </xf>
    <xf numFmtId="0" fontId="0" fillId="0" borderId="19" pivotButton="0" quotePrefix="0" xfId="0"/>
    <xf numFmtId="0" fontId="1" fillId="2" borderId="9" applyAlignment="1" pivotButton="0" quotePrefix="0" xfId="0">
      <alignment horizontal="left"/>
    </xf>
    <xf numFmtId="0" fontId="0" fillId="0" borderId="25" pivotButton="0" quotePrefix="0" xfId="0"/>
    <xf numFmtId="0" fontId="1" fillId="2" borderId="4" applyAlignment="1" pivotButton="0" quotePrefix="0" xfId="0">
      <alignment horizontal="left"/>
    </xf>
    <xf numFmtId="0" fontId="0" fillId="0" borderId="24" pivotButton="0" quotePrefix="0" xfId="0"/>
    <xf numFmtId="0" fontId="5" fillId="4" borderId="2" applyAlignment="1" pivotButton="0" quotePrefix="0" xfId="0">
      <alignment horizontal="center" vertical="center"/>
    </xf>
    <xf numFmtId="0" fontId="19" fillId="7" borderId="2" applyAlignment="1" pivotButton="0" quotePrefix="0" xfId="0">
      <alignment horizontal="center"/>
    </xf>
    <xf numFmtId="0" fontId="0" fillId="0" borderId="21" pivotButton="0" quotePrefix="0" xfId="0"/>
    <xf numFmtId="0" fontId="12" fillId="2" borderId="3" applyAlignment="1" pivotButton="0" quotePrefix="0" xfId="0">
      <alignment horizontal="center"/>
    </xf>
  </cellXfs>
  <cellStyles count="1">
    <cellStyle name="Normal" xfId="0" builtinId="0"/>
  </cellStyles>
  <dxfs count="16"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C00"/>
          <bgColor rgb="FFFFCC00"/>
        </patternFill>
      </fill>
    </dxf>
    <dxf>
      <border>
        <left style="thin">
          <color rgb="FF000000"/>
        </left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width="12.5" customWidth="1" style="267" min="1" max="1"/>
    <col width="16" customWidth="1" style="267" min="2" max="2"/>
    <col width="11.5" customWidth="1" style="267" min="3" max="5"/>
    <col width="13.5" customWidth="1" style="267" min="6" max="6"/>
    <col width="11.5" customWidth="1" style="267" min="7" max="20"/>
  </cols>
  <sheetData>
    <row r="1" ht="14.25" customHeight="1" s="267">
      <c r="A1" s="1" t="inlineStr">
        <is>
          <t>Season</t>
        </is>
      </c>
      <c r="B1" s="2" t="n">
        <v>84</v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4.25" customHeight="1" s="267">
      <c r="A2" s="4" t="n"/>
      <c r="B2" s="4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4.25" customHeight="1" s="267">
      <c r="A3" s="1" t="inlineStr">
        <is>
          <t>Level</t>
        </is>
      </c>
      <c r="B3" s="5" t="inlineStr">
        <is>
          <t>Pro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4.25" customHeight="1" s="267">
      <c r="A4" s="4" t="n"/>
      <c r="B4" s="3" t="n"/>
      <c r="C4" s="6" t="n"/>
      <c r="D4" s="6" t="n"/>
      <c r="E4" s="6" t="n"/>
      <c r="F4" s="6" t="inlineStr">
        <is>
          <t>Race</t>
        </is>
      </c>
      <c r="G4" s="6" t="n"/>
      <c r="H4" s="6" t="inlineStr">
        <is>
          <t>Lap</t>
        </is>
      </c>
      <c r="I4" s="6" t="inlineStr">
        <is>
          <t>Average</t>
        </is>
      </c>
      <c r="J4" s="6" t="n"/>
      <c r="K4" s="6" t="inlineStr">
        <is>
          <t>Pit Lane</t>
        </is>
      </c>
      <c r="L4" s="6" t="n"/>
      <c r="M4" s="6" t="n"/>
      <c r="N4" s="6" t="n"/>
      <c r="O4" s="6" t="inlineStr">
        <is>
          <t>Fuel</t>
        </is>
      </c>
      <c r="P4" s="6" t="n"/>
      <c r="Q4" s="3" t="n"/>
      <c r="R4" s="6" t="inlineStr">
        <is>
          <t>Tyre Wear</t>
        </is>
      </c>
      <c r="S4" s="6" t="inlineStr">
        <is>
          <t>Tyre Diff</t>
        </is>
      </c>
      <c r="T4" s="6" t="inlineStr">
        <is>
          <t>Fuel</t>
        </is>
      </c>
    </row>
    <row r="5" ht="14.25" customHeight="1" s="267">
      <c r="A5" s="4" t="n"/>
      <c r="B5" s="3" t="n"/>
      <c r="C5" s="6" t="inlineStr">
        <is>
          <t>Power</t>
        </is>
      </c>
      <c r="D5" s="6" t="inlineStr">
        <is>
          <t>Handling</t>
        </is>
      </c>
      <c r="E5" s="6" t="inlineStr">
        <is>
          <t>Acceleration</t>
        </is>
      </c>
      <c r="F5" s="6" t="inlineStr">
        <is>
          <t>distance</t>
        </is>
      </c>
      <c r="G5" s="6" t="inlineStr">
        <is>
          <t>Laps</t>
        </is>
      </c>
      <c r="H5" s="6" t="inlineStr">
        <is>
          <t>distance</t>
        </is>
      </c>
      <c r="I5" s="6" t="inlineStr">
        <is>
          <t>speed</t>
        </is>
      </c>
      <c r="J5" s="6" t="inlineStr">
        <is>
          <t>Corners</t>
        </is>
      </c>
      <c r="K5" s="6" t="inlineStr">
        <is>
          <t>Length</t>
        </is>
      </c>
      <c r="L5" s="6" t="inlineStr">
        <is>
          <t>Downforce</t>
        </is>
      </c>
      <c r="M5" s="6" t="inlineStr">
        <is>
          <t>Overtaking</t>
        </is>
      </c>
      <c r="N5" s="6" t="inlineStr">
        <is>
          <t>Suspension</t>
        </is>
      </c>
      <c r="O5" s="6" t="inlineStr">
        <is>
          <t>Consumption</t>
        </is>
      </c>
      <c r="P5" s="6" t="inlineStr">
        <is>
          <t>Tyre Wear</t>
        </is>
      </c>
      <c r="Q5" s="6" t="inlineStr">
        <is>
          <t>Grip level</t>
        </is>
      </c>
      <c r="R5" s="6" t="inlineStr">
        <is>
          <t>Constant</t>
        </is>
      </c>
      <c r="S5" s="6" t="inlineStr">
        <is>
          <t>at 25 degrees</t>
        </is>
      </c>
      <c r="T5" s="6" t="inlineStr">
        <is>
          <t>Constant</t>
        </is>
      </c>
    </row>
    <row r="6" ht="14.25" customHeight="1" s="267">
      <c r="A6" s="7" t="n">
        <v>1</v>
      </c>
      <c r="B6" s="8" t="inlineStr">
        <is>
          <t>Brno</t>
        </is>
      </c>
      <c r="C6" s="7">
        <f>VLOOKUP($B6,'11 Tracks'!$A$3:$S$66,2)</f>
        <v/>
      </c>
      <c r="D6" s="9">
        <f>VLOOKUP($B6,'11 Tracks'!$A$3:$S$66,3)</f>
        <v/>
      </c>
      <c r="E6" s="9">
        <f>VLOOKUP($B6,'11 Tracks'!$A$3:$S$66,4)</f>
        <v/>
      </c>
      <c r="F6" s="9">
        <f>VLOOKUP($B6,'11 Tracks'!$A$3:$S$66,5)</f>
        <v/>
      </c>
      <c r="G6" s="9">
        <f>VLOOKUP($B6,'11 Tracks'!$A$3:$S$66,6)</f>
        <v/>
      </c>
      <c r="H6" s="9">
        <f>VLOOKUP($B6,'11 Tracks'!$A$3:$S$66,7)</f>
        <v/>
      </c>
      <c r="I6" s="9">
        <f>VLOOKUP($B6,'11 Tracks'!$A$3:$S$66,8)</f>
        <v/>
      </c>
      <c r="J6" s="9">
        <f>VLOOKUP($B6,'11 Tracks'!$A$3:$S$66,9)</f>
        <v/>
      </c>
      <c r="K6" s="9">
        <f>VLOOKUP($B6,'11 Tracks'!$A$3:$S$66,10)</f>
        <v/>
      </c>
      <c r="L6" s="9">
        <f>VLOOKUP($B6,'11 Tracks'!$A$3:$S$66,11)</f>
        <v/>
      </c>
      <c r="M6" s="9">
        <f>VLOOKUP($B6,'11 Tracks'!$A$3:$S$66,12)</f>
        <v/>
      </c>
      <c r="N6" s="9">
        <f>VLOOKUP($B6,'11 Tracks'!$A$3:$S$66,13)</f>
        <v/>
      </c>
      <c r="O6" s="9">
        <f>VLOOKUP($B6,'11 Tracks'!$A$3:$S$66,14)</f>
        <v/>
      </c>
      <c r="P6" s="9">
        <f>VLOOKUP($B6,'11 Tracks'!$A$3:$S$66,15)</f>
        <v/>
      </c>
      <c r="Q6" s="9">
        <f>VLOOKUP($B6,'11 Tracks'!$A$3:$S$66,16)</f>
        <v/>
      </c>
      <c r="R6" s="10">
        <f>VLOOKUP($B6,'11 Tracks'!$A$3:$S$66,17)</f>
        <v/>
      </c>
      <c r="S6" s="11">
        <f>VLOOKUP($B6,'11 Tracks'!$A$3:$S$66,18)</f>
        <v/>
      </c>
      <c r="T6" s="12">
        <f>VLOOKUP($B6,'11 Tracks'!$A$3:$S$66,19)</f>
        <v/>
      </c>
    </row>
    <row r="7" ht="14.25" customHeight="1" s="267">
      <c r="A7" s="13" t="n">
        <v>2</v>
      </c>
      <c r="B7" s="14" t="inlineStr">
        <is>
          <t>Zolder</t>
        </is>
      </c>
      <c r="C7" s="13">
        <f>VLOOKUP($B7,'11 Tracks'!$A$3:$S$66,2)</f>
        <v/>
      </c>
      <c r="D7" s="3">
        <f>VLOOKUP($B7,'11 Tracks'!$A$3:$S$66,3)</f>
        <v/>
      </c>
      <c r="E7" s="3">
        <f>VLOOKUP($B7,'11 Tracks'!$A$3:$S$66,4)</f>
        <v/>
      </c>
      <c r="F7" s="3">
        <f>VLOOKUP($B7,'11 Tracks'!$A$3:$S$66,5)</f>
        <v/>
      </c>
      <c r="G7" s="3">
        <f>VLOOKUP($B7,'11 Tracks'!$A$3:$S$66,6)</f>
        <v/>
      </c>
      <c r="H7" s="3">
        <f>VLOOKUP($B7,'11 Tracks'!$A$3:$S$66,7)</f>
        <v/>
      </c>
      <c r="I7" s="3">
        <f>VLOOKUP($B7,'11 Tracks'!$A$3:$S$66,8)</f>
        <v/>
      </c>
      <c r="J7" s="3">
        <f>VLOOKUP($B7,'11 Tracks'!$A$3:$S$66,9)</f>
        <v/>
      </c>
      <c r="K7" s="3">
        <f>VLOOKUP($B7,'11 Tracks'!$A$3:$S$66,10)</f>
        <v/>
      </c>
      <c r="L7" s="3">
        <f>VLOOKUP($B7,'11 Tracks'!$A$3:$S$66,11)</f>
        <v/>
      </c>
      <c r="M7" s="3">
        <f>VLOOKUP($B7,'11 Tracks'!$A$3:$S$66,12)</f>
        <v/>
      </c>
      <c r="N7" s="3">
        <f>VLOOKUP($B7,'11 Tracks'!$A$3:$S$66,13)</f>
        <v/>
      </c>
      <c r="O7" s="3">
        <f>VLOOKUP($B7,'11 Tracks'!$A$3:$S$66,14)</f>
        <v/>
      </c>
      <c r="P7" s="3">
        <f>VLOOKUP($B7,'11 Tracks'!$A$3:$S$66,15)</f>
        <v/>
      </c>
      <c r="Q7" s="3">
        <f>VLOOKUP($B7,'11 Tracks'!$A$3:$S$66,16)</f>
        <v/>
      </c>
      <c r="R7" s="15">
        <f>VLOOKUP($B7,'11 Tracks'!$A$3:$S$66,17)</f>
        <v/>
      </c>
      <c r="S7" s="16">
        <f>VLOOKUP($B7,'11 Tracks'!$A$3:$S$66,18)</f>
        <v/>
      </c>
      <c r="T7" s="17">
        <f>VLOOKUP($B7,'11 Tracks'!$A$3:$S$66,19)</f>
        <v/>
      </c>
    </row>
    <row r="8" ht="14.25" customHeight="1" s="267">
      <c r="A8" s="13" t="n">
        <v>3</v>
      </c>
      <c r="B8" s="14" t="inlineStr">
        <is>
          <t>Sakhir</t>
        </is>
      </c>
      <c r="C8" s="13">
        <f>VLOOKUP($B8,'11 Tracks'!$A$3:$S$66,2)</f>
        <v/>
      </c>
      <c r="D8" s="3">
        <f>VLOOKUP($B8,'11 Tracks'!$A$3:$S$66,3)</f>
        <v/>
      </c>
      <c r="E8" s="3">
        <f>VLOOKUP($B8,'11 Tracks'!$A$3:$S$66,4)</f>
        <v/>
      </c>
      <c r="F8" s="3">
        <f>VLOOKUP($B8,'11 Tracks'!$A$3:$S$66,5)</f>
        <v/>
      </c>
      <c r="G8" s="3">
        <f>VLOOKUP($B8,'11 Tracks'!$A$3:$S$66,6)</f>
        <v/>
      </c>
      <c r="H8" s="3">
        <f>VLOOKUP($B8,'11 Tracks'!$A$3:$S$66,7)</f>
        <v/>
      </c>
      <c r="I8" s="3">
        <f>VLOOKUP($B8,'11 Tracks'!$A$3:$S$66,8)</f>
        <v/>
      </c>
      <c r="J8" s="3">
        <f>VLOOKUP($B8,'11 Tracks'!$A$3:$S$66,9)</f>
        <v/>
      </c>
      <c r="K8" s="3">
        <f>VLOOKUP($B8,'11 Tracks'!$A$3:$S$66,10)</f>
        <v/>
      </c>
      <c r="L8" s="3">
        <f>VLOOKUP($B8,'11 Tracks'!$A$3:$S$66,11)</f>
        <v/>
      </c>
      <c r="M8" s="3">
        <f>VLOOKUP($B8,'11 Tracks'!$A$3:$S$66,12)</f>
        <v/>
      </c>
      <c r="N8" s="3">
        <f>VLOOKUP($B8,'11 Tracks'!$A$3:$S$66,13)</f>
        <v/>
      </c>
      <c r="O8" s="3">
        <f>VLOOKUP($B8,'11 Tracks'!$A$3:$S$66,14)</f>
        <v/>
      </c>
      <c r="P8" s="3">
        <f>VLOOKUP($B8,'11 Tracks'!$A$3:$S$66,15)</f>
        <v/>
      </c>
      <c r="Q8" s="3">
        <f>VLOOKUP($B8,'11 Tracks'!$A$3:$S$66,16)</f>
        <v/>
      </c>
      <c r="R8" s="15">
        <f>VLOOKUP($B8,'11 Tracks'!$A$3:$S$66,17)</f>
        <v/>
      </c>
      <c r="S8" s="16">
        <f>VLOOKUP($B8,'11 Tracks'!$A$3:$S$66,18)</f>
        <v/>
      </c>
      <c r="T8" s="17">
        <f>VLOOKUP($B8,'11 Tracks'!$A$3:$S$66,19)</f>
        <v/>
      </c>
    </row>
    <row r="9" ht="14.25" customHeight="1" s="267">
      <c r="A9" s="13" t="n">
        <v>4</v>
      </c>
      <c r="B9" s="14" t="inlineStr">
        <is>
          <t>Suzuka</t>
        </is>
      </c>
      <c r="C9" s="13">
        <f>VLOOKUP($B9,'11 Tracks'!$A$3:$S$66,2)</f>
        <v/>
      </c>
      <c r="D9" s="3">
        <f>VLOOKUP($B9,'11 Tracks'!$A$3:$S$66,3)</f>
        <v/>
      </c>
      <c r="E9" s="3">
        <f>VLOOKUP($B9,'11 Tracks'!$A$3:$S$66,4)</f>
        <v/>
      </c>
      <c r="F9" s="3">
        <f>VLOOKUP($B9,'11 Tracks'!$A$3:$S$66,5)</f>
        <v/>
      </c>
      <c r="G9" s="3">
        <f>VLOOKUP($B9,'11 Tracks'!$A$3:$S$66,6)</f>
        <v/>
      </c>
      <c r="H9" s="3">
        <f>VLOOKUP($B9,'11 Tracks'!$A$3:$S$66,7)</f>
        <v/>
      </c>
      <c r="I9" s="3">
        <f>VLOOKUP($B9,'11 Tracks'!$A$3:$S$66,8)</f>
        <v/>
      </c>
      <c r="J9" s="3">
        <f>VLOOKUP($B9,'11 Tracks'!$A$3:$S$66,9)</f>
        <v/>
      </c>
      <c r="K9" s="3">
        <f>VLOOKUP($B9,'11 Tracks'!$A$3:$S$66,10)</f>
        <v/>
      </c>
      <c r="L9" s="3">
        <f>VLOOKUP($B9,'11 Tracks'!$A$3:$S$66,11)</f>
        <v/>
      </c>
      <c r="M9" s="3">
        <f>VLOOKUP($B9,'11 Tracks'!$A$3:$S$66,12)</f>
        <v/>
      </c>
      <c r="N9" s="3">
        <f>VLOOKUP($B9,'11 Tracks'!$A$3:$S$66,13)</f>
        <v/>
      </c>
      <c r="O9" s="3">
        <f>VLOOKUP($B9,'11 Tracks'!$A$3:$S$66,14)</f>
        <v/>
      </c>
      <c r="P9" s="3">
        <f>VLOOKUP($B9,'11 Tracks'!$A$3:$S$66,15)</f>
        <v/>
      </c>
      <c r="Q9" s="3">
        <f>VLOOKUP($B9,'11 Tracks'!$A$3:$S$66,16)</f>
        <v/>
      </c>
      <c r="R9" s="15">
        <f>VLOOKUP($B9,'11 Tracks'!$A$3:$S$66,17)</f>
        <v/>
      </c>
      <c r="S9" s="16">
        <f>VLOOKUP($B9,'11 Tracks'!$A$3:$S$66,18)</f>
        <v/>
      </c>
      <c r="T9" s="17">
        <f>VLOOKUP($B9,'11 Tracks'!$A$3:$S$66,19)</f>
        <v/>
      </c>
    </row>
    <row r="10" ht="14.25" customHeight="1" s="267">
      <c r="A10" s="13" t="n">
        <v>5</v>
      </c>
      <c r="B10" s="14" t="inlineStr">
        <is>
          <t>Shanghai</t>
        </is>
      </c>
      <c r="C10" s="13">
        <f>VLOOKUP($B10,'11 Tracks'!$A$3:$S$66,2)</f>
        <v/>
      </c>
      <c r="D10" s="3">
        <f>VLOOKUP($B10,'11 Tracks'!$A$3:$S$66,3)</f>
        <v/>
      </c>
      <c r="E10" s="3">
        <f>VLOOKUP($B10,'11 Tracks'!$A$3:$S$66,4)</f>
        <v/>
      </c>
      <c r="F10" s="3">
        <f>VLOOKUP($B10,'11 Tracks'!$A$3:$S$66,5)</f>
        <v/>
      </c>
      <c r="G10" s="3">
        <f>VLOOKUP($B10,'11 Tracks'!$A$3:$S$66,6)</f>
        <v/>
      </c>
      <c r="H10" s="3">
        <f>VLOOKUP($B10,'11 Tracks'!$A$3:$S$66,7)</f>
        <v/>
      </c>
      <c r="I10" s="3">
        <f>VLOOKUP($B10,'11 Tracks'!$A$3:$S$66,8)</f>
        <v/>
      </c>
      <c r="J10" s="3">
        <f>VLOOKUP($B10,'11 Tracks'!$A$3:$S$66,9)</f>
        <v/>
      </c>
      <c r="K10" s="3">
        <f>VLOOKUP($B10,'11 Tracks'!$A$3:$S$66,10)</f>
        <v/>
      </c>
      <c r="L10" s="3">
        <f>VLOOKUP($B10,'11 Tracks'!$A$3:$S$66,11)</f>
        <v/>
      </c>
      <c r="M10" s="3">
        <f>VLOOKUP($B10,'11 Tracks'!$A$3:$S$66,12)</f>
        <v/>
      </c>
      <c r="N10" s="3">
        <f>VLOOKUP($B10,'11 Tracks'!$A$3:$S$66,13)</f>
        <v/>
      </c>
      <c r="O10" s="3">
        <f>VLOOKUP($B10,'11 Tracks'!$A$3:$S$66,14)</f>
        <v/>
      </c>
      <c r="P10" s="3">
        <f>VLOOKUP($B10,'11 Tracks'!$A$3:$S$66,15)</f>
        <v/>
      </c>
      <c r="Q10" s="3">
        <f>VLOOKUP($B10,'11 Tracks'!$A$3:$S$66,16)</f>
        <v/>
      </c>
      <c r="R10" s="15">
        <f>VLOOKUP($B10,'11 Tracks'!$A$3:$S$66,17)</f>
        <v/>
      </c>
      <c r="S10" s="16">
        <f>VLOOKUP($B10,'11 Tracks'!$A$3:$S$66,18)</f>
        <v/>
      </c>
      <c r="T10" s="17">
        <f>VLOOKUP($B10,'11 Tracks'!$A$3:$S$66,19)</f>
        <v/>
      </c>
    </row>
    <row r="11" ht="14.25" customHeight="1" s="267">
      <c r="A11" s="13" t="n">
        <v>6</v>
      </c>
      <c r="B11" s="14" t="inlineStr">
        <is>
          <t>Yeongam</t>
        </is>
      </c>
      <c r="C11" s="13">
        <f>VLOOKUP($B11,'11 Tracks'!$A$3:$S$66,2)</f>
        <v/>
      </c>
      <c r="D11" s="3">
        <f>VLOOKUP($B11,'11 Tracks'!$A$3:$S$66,3)</f>
        <v/>
      </c>
      <c r="E11" s="3">
        <f>VLOOKUP($B11,'11 Tracks'!$A$3:$S$66,4)</f>
        <v/>
      </c>
      <c r="F11" s="3">
        <f>VLOOKUP($B11,'11 Tracks'!$A$3:$S$66,5)</f>
        <v/>
      </c>
      <c r="G11" s="3">
        <f>VLOOKUP($B11,'11 Tracks'!$A$3:$S$66,6)</f>
        <v/>
      </c>
      <c r="H11" s="3">
        <f>VLOOKUP($B11,'11 Tracks'!$A$3:$S$66,7)</f>
        <v/>
      </c>
      <c r="I11" s="3">
        <f>VLOOKUP($B11,'11 Tracks'!$A$3:$S$66,8)</f>
        <v/>
      </c>
      <c r="J11" s="3">
        <f>VLOOKUP($B11,'11 Tracks'!$A$3:$S$66,9)</f>
        <v/>
      </c>
      <c r="K11" s="3">
        <f>VLOOKUP($B11,'11 Tracks'!$A$3:$S$66,10)</f>
        <v/>
      </c>
      <c r="L11" s="3">
        <f>VLOOKUP($B11,'11 Tracks'!$A$3:$S$66,11)</f>
        <v/>
      </c>
      <c r="M11" s="3">
        <f>VLOOKUP($B11,'11 Tracks'!$A$3:$S$66,12)</f>
        <v/>
      </c>
      <c r="N11" s="3">
        <f>VLOOKUP($B11,'11 Tracks'!$A$3:$S$66,13)</f>
        <v/>
      </c>
      <c r="O11" s="3">
        <f>VLOOKUP($B11,'11 Tracks'!$A$3:$S$66,14)</f>
        <v/>
      </c>
      <c r="P11" s="3">
        <f>VLOOKUP($B11,'11 Tracks'!$A$3:$S$66,15)</f>
        <v/>
      </c>
      <c r="Q11" s="3">
        <f>VLOOKUP($B11,'11 Tracks'!$A$3:$S$66,16)</f>
        <v/>
      </c>
      <c r="R11" s="15">
        <f>VLOOKUP($B11,'11 Tracks'!$A$3:$S$66,17)</f>
        <v/>
      </c>
      <c r="S11" s="16">
        <f>VLOOKUP($B11,'11 Tracks'!$A$3:$S$66,18)</f>
        <v/>
      </c>
      <c r="T11" s="17">
        <f>VLOOKUP($B11,'11 Tracks'!$A$3:$S$66,19)</f>
        <v/>
      </c>
    </row>
    <row r="12" ht="14.25" customHeight="1" s="267">
      <c r="A12" s="13" t="n">
        <v>7</v>
      </c>
      <c r="B12" s="14" t="inlineStr">
        <is>
          <t>Jeddah</t>
        </is>
      </c>
      <c r="C12" s="13">
        <f>VLOOKUP($B12,'11 Tracks'!$A$3:$S$66,2)</f>
        <v/>
      </c>
      <c r="D12" s="3">
        <f>VLOOKUP($B12,'11 Tracks'!$A$3:$S$66,3)</f>
        <v/>
      </c>
      <c r="E12" s="3">
        <f>VLOOKUP($B12,'11 Tracks'!$A$3:$S$66,4)</f>
        <v/>
      </c>
      <c r="F12" s="3">
        <f>VLOOKUP($B12,'11 Tracks'!$A$3:$S$66,5)</f>
        <v/>
      </c>
      <c r="G12" s="3">
        <f>VLOOKUP($B12,'11 Tracks'!$A$3:$S$66,6)</f>
        <v/>
      </c>
      <c r="H12" s="3">
        <f>VLOOKUP($B12,'11 Tracks'!$A$3:$S$66,7)</f>
        <v/>
      </c>
      <c r="I12" s="3">
        <f>VLOOKUP($B12,'11 Tracks'!$A$3:$S$66,8)</f>
        <v/>
      </c>
      <c r="J12" s="3">
        <f>VLOOKUP($B12,'11 Tracks'!$A$3:$S$66,9)</f>
        <v/>
      </c>
      <c r="K12" s="3">
        <f>VLOOKUP($B12,'11 Tracks'!$A$3:$S$66,10)</f>
        <v/>
      </c>
      <c r="L12" s="3">
        <f>VLOOKUP($B12,'11 Tracks'!$A$3:$S$66,11)</f>
        <v/>
      </c>
      <c r="M12" s="3">
        <f>VLOOKUP($B12,'11 Tracks'!$A$3:$S$66,12)</f>
        <v/>
      </c>
      <c r="N12" s="3">
        <f>VLOOKUP($B12,'11 Tracks'!$A$3:$S$66,13)</f>
        <v/>
      </c>
      <c r="O12" s="3">
        <f>VLOOKUP($B12,'11 Tracks'!$A$3:$S$66,14)</f>
        <v/>
      </c>
      <c r="P12" s="3">
        <f>VLOOKUP($B12,'11 Tracks'!$A$3:$S$66,15)</f>
        <v/>
      </c>
      <c r="Q12" s="3">
        <f>VLOOKUP($B12,'11 Tracks'!$A$3:$S$66,16)</f>
        <v/>
      </c>
      <c r="R12" s="15">
        <f>VLOOKUP($B12,'11 Tracks'!$A$3:$S$66,17)</f>
        <v/>
      </c>
      <c r="S12" s="16">
        <f>VLOOKUP($B12,'11 Tracks'!$A$3:$S$66,18)</f>
        <v/>
      </c>
      <c r="T12" s="17">
        <f>VLOOKUP($B12,'11 Tracks'!$A$3:$S$66,19)</f>
        <v/>
      </c>
    </row>
    <row r="13" ht="14.25" customHeight="1" s="267">
      <c r="A13" s="13" t="n">
        <v>8</v>
      </c>
      <c r="B13" s="14" t="inlineStr">
        <is>
          <t>A1-Ring</t>
        </is>
      </c>
      <c r="C13" s="13">
        <f>VLOOKUP($B13,'11 Tracks'!$A$3:$S$66,2)</f>
        <v/>
      </c>
      <c r="D13" s="3">
        <f>VLOOKUP($B13,'11 Tracks'!$A$3:$S$66,3)</f>
        <v/>
      </c>
      <c r="E13" s="3">
        <f>VLOOKUP($B13,'11 Tracks'!$A$3:$S$66,4)</f>
        <v/>
      </c>
      <c r="F13" s="3">
        <f>VLOOKUP($B13,'11 Tracks'!$A$3:$S$66,5)</f>
        <v/>
      </c>
      <c r="G13" s="3">
        <f>VLOOKUP($B13,'11 Tracks'!$A$3:$S$66,6)</f>
        <v/>
      </c>
      <c r="H13" s="3">
        <f>VLOOKUP($B13,'11 Tracks'!$A$3:$S$66,7)</f>
        <v/>
      </c>
      <c r="I13" s="3">
        <f>VLOOKUP($B13,'11 Tracks'!$A$3:$S$66,8)</f>
        <v/>
      </c>
      <c r="J13" s="3">
        <f>VLOOKUP($B13,'11 Tracks'!$A$3:$S$66,9)</f>
        <v/>
      </c>
      <c r="K13" s="3">
        <f>VLOOKUP($B13,'11 Tracks'!$A$3:$S$66,10)</f>
        <v/>
      </c>
      <c r="L13" s="3">
        <f>VLOOKUP($B13,'11 Tracks'!$A$3:$S$66,11)</f>
        <v/>
      </c>
      <c r="M13" s="3">
        <f>VLOOKUP($B13,'11 Tracks'!$A$3:$S$66,12)</f>
        <v/>
      </c>
      <c r="N13" s="3">
        <f>VLOOKUP($B13,'11 Tracks'!$A$3:$S$66,13)</f>
        <v/>
      </c>
      <c r="O13" s="3">
        <f>VLOOKUP($B13,'11 Tracks'!$A$3:$S$66,14)</f>
        <v/>
      </c>
      <c r="P13" s="3">
        <f>VLOOKUP($B13,'11 Tracks'!$A$3:$S$66,15)</f>
        <v/>
      </c>
      <c r="Q13" s="3">
        <f>VLOOKUP($B13,'11 Tracks'!$A$3:$S$66,16)</f>
        <v/>
      </c>
      <c r="R13" s="15">
        <f>VLOOKUP($B13,'11 Tracks'!$A$3:$S$66,17)</f>
        <v/>
      </c>
      <c r="S13" s="16">
        <f>VLOOKUP($B13,'11 Tracks'!$A$3:$S$66,18)</f>
        <v/>
      </c>
      <c r="T13" s="17">
        <f>VLOOKUP($B13,'11 Tracks'!$A$3:$S$66,19)</f>
        <v/>
      </c>
    </row>
    <row r="14" ht="14.25" customHeight="1" s="267">
      <c r="A14" s="13" t="n">
        <v>9</v>
      </c>
      <c r="B14" s="14" t="inlineStr">
        <is>
          <t>Poznan</t>
        </is>
      </c>
      <c r="C14" s="13">
        <f>VLOOKUP($B14,'11 Tracks'!$A$3:$S$66,2)</f>
        <v/>
      </c>
      <c r="D14" s="3">
        <f>VLOOKUP($B14,'11 Tracks'!$A$3:$S$66,3)</f>
        <v/>
      </c>
      <c r="E14" s="3">
        <f>VLOOKUP($B14,'11 Tracks'!$A$3:$S$66,4)</f>
        <v/>
      </c>
      <c r="F14" s="3">
        <f>VLOOKUP($B14,'11 Tracks'!$A$3:$S$66,5)</f>
        <v/>
      </c>
      <c r="G14" s="3">
        <f>VLOOKUP($B14,'11 Tracks'!$A$3:$S$66,6)</f>
        <v/>
      </c>
      <c r="H14" s="3">
        <f>VLOOKUP($B14,'11 Tracks'!$A$3:$S$66,7)</f>
        <v/>
      </c>
      <c r="I14" s="3">
        <f>VLOOKUP($B14,'11 Tracks'!$A$3:$S$66,8)</f>
        <v/>
      </c>
      <c r="J14" s="3">
        <f>VLOOKUP($B14,'11 Tracks'!$A$3:$S$66,9)</f>
        <v/>
      </c>
      <c r="K14" s="3">
        <f>VLOOKUP($B14,'11 Tracks'!$A$3:$S$66,10)</f>
        <v/>
      </c>
      <c r="L14" s="3">
        <f>VLOOKUP($B14,'11 Tracks'!$A$3:$S$66,11)</f>
        <v/>
      </c>
      <c r="M14" s="3">
        <f>VLOOKUP($B14,'11 Tracks'!$A$3:$S$66,12)</f>
        <v/>
      </c>
      <c r="N14" s="3">
        <f>VLOOKUP($B14,'11 Tracks'!$A$3:$S$66,13)</f>
        <v/>
      </c>
      <c r="O14" s="3">
        <f>VLOOKUP($B14,'11 Tracks'!$A$3:$S$66,14)</f>
        <v/>
      </c>
      <c r="P14" s="3">
        <f>VLOOKUP($B14,'11 Tracks'!$A$3:$S$66,15)</f>
        <v/>
      </c>
      <c r="Q14" s="3">
        <f>VLOOKUP($B14,'11 Tracks'!$A$3:$S$66,16)</f>
        <v/>
      </c>
      <c r="R14" s="15">
        <f>VLOOKUP($B14,'11 Tracks'!$A$3:$S$66,17)</f>
        <v/>
      </c>
      <c r="S14" s="16">
        <f>VLOOKUP($B14,'11 Tracks'!$A$3:$S$66,18)</f>
        <v/>
      </c>
      <c r="T14" s="17">
        <f>VLOOKUP($B14,'11 Tracks'!$A$3:$S$66,19)</f>
        <v/>
      </c>
    </row>
    <row r="15" ht="14.25" customHeight="1" s="267">
      <c r="A15" s="13" t="n">
        <v>10</v>
      </c>
      <c r="B15" s="14" t="inlineStr">
        <is>
          <t>Hockenheim</t>
        </is>
      </c>
      <c r="C15" s="13">
        <f>VLOOKUP($B15,'11 Tracks'!$A$3:$S$66,2)</f>
        <v/>
      </c>
      <c r="D15" s="3">
        <f>VLOOKUP($B15,'11 Tracks'!$A$3:$S$66,3)</f>
        <v/>
      </c>
      <c r="E15" s="3">
        <f>VLOOKUP($B15,'11 Tracks'!$A$3:$S$66,4)</f>
        <v/>
      </c>
      <c r="F15" s="3">
        <f>VLOOKUP($B15,'11 Tracks'!$A$3:$S$66,5)</f>
        <v/>
      </c>
      <c r="G15" s="3">
        <f>VLOOKUP($B15,'11 Tracks'!$A$3:$S$66,6)</f>
        <v/>
      </c>
      <c r="H15" s="3">
        <f>VLOOKUP($B15,'11 Tracks'!$A$3:$S$66,7)</f>
        <v/>
      </c>
      <c r="I15" s="3">
        <f>VLOOKUP($B15,'11 Tracks'!$A$3:$S$66,8)</f>
        <v/>
      </c>
      <c r="J15" s="3">
        <f>VLOOKUP($B15,'11 Tracks'!$A$3:$S$66,9)</f>
        <v/>
      </c>
      <c r="K15" s="3">
        <f>VLOOKUP($B15,'11 Tracks'!$A$3:$S$66,10)</f>
        <v/>
      </c>
      <c r="L15" s="3">
        <f>VLOOKUP($B15,'11 Tracks'!$A$3:$S$66,11)</f>
        <v/>
      </c>
      <c r="M15" s="3">
        <f>VLOOKUP($B15,'11 Tracks'!$A$3:$S$66,12)</f>
        <v/>
      </c>
      <c r="N15" s="3">
        <f>VLOOKUP($B15,'11 Tracks'!$A$3:$S$66,13)</f>
        <v/>
      </c>
      <c r="O15" s="3">
        <f>VLOOKUP($B15,'11 Tracks'!$A$3:$S$66,14)</f>
        <v/>
      </c>
      <c r="P15" s="3">
        <f>VLOOKUP($B15,'11 Tracks'!$A$3:$S$66,15)</f>
        <v/>
      </c>
      <c r="Q15" s="3">
        <f>VLOOKUP($B15,'11 Tracks'!$A$3:$S$66,16)</f>
        <v/>
      </c>
      <c r="R15" s="15">
        <f>VLOOKUP($B15,'11 Tracks'!$A$3:$S$66,17)</f>
        <v/>
      </c>
      <c r="S15" s="16">
        <f>VLOOKUP($B15,'11 Tracks'!$A$3:$S$66,18)</f>
        <v/>
      </c>
      <c r="T15" s="17">
        <f>VLOOKUP($B15,'11 Tracks'!$A$3:$S$66,19)</f>
        <v/>
      </c>
    </row>
    <row r="16" ht="14.25" customHeight="1" s="267">
      <c r="A16" s="13" t="n">
        <v>11</v>
      </c>
      <c r="B16" s="14" t="inlineStr">
        <is>
          <t>Melbourne</t>
        </is>
      </c>
      <c r="C16" s="13">
        <f>VLOOKUP($B16,'11 Tracks'!$A$3:$S$66,2)</f>
        <v/>
      </c>
      <c r="D16" s="3">
        <f>VLOOKUP($B16,'11 Tracks'!$A$3:$S$66,3)</f>
        <v/>
      </c>
      <c r="E16" s="3">
        <f>VLOOKUP($B16,'11 Tracks'!$A$3:$S$66,4)</f>
        <v/>
      </c>
      <c r="F16" s="3">
        <f>VLOOKUP($B16,'11 Tracks'!$A$3:$S$66,5)</f>
        <v/>
      </c>
      <c r="G16" s="3">
        <f>VLOOKUP($B16,'11 Tracks'!$A$3:$S$66,6)</f>
        <v/>
      </c>
      <c r="H16" s="3">
        <f>VLOOKUP($B16,'11 Tracks'!$A$3:$S$66,7)</f>
        <v/>
      </c>
      <c r="I16" s="3">
        <f>VLOOKUP($B16,'11 Tracks'!$A$3:$S$66,8)</f>
        <v/>
      </c>
      <c r="J16" s="3">
        <f>VLOOKUP($B16,'11 Tracks'!$A$3:$S$66,9)</f>
        <v/>
      </c>
      <c r="K16" s="3">
        <f>VLOOKUP($B16,'11 Tracks'!$A$3:$S$66,10)</f>
        <v/>
      </c>
      <c r="L16" s="3">
        <f>VLOOKUP($B16,'11 Tracks'!$A$3:$S$66,11)</f>
        <v/>
      </c>
      <c r="M16" s="3">
        <f>VLOOKUP($B16,'11 Tracks'!$A$3:$S$66,12)</f>
        <v/>
      </c>
      <c r="N16" s="3">
        <f>VLOOKUP($B16,'11 Tracks'!$A$3:$S$66,13)</f>
        <v/>
      </c>
      <c r="O16" s="3">
        <f>VLOOKUP($B16,'11 Tracks'!$A$3:$S$66,14)</f>
        <v/>
      </c>
      <c r="P16" s="3">
        <f>VLOOKUP($B16,'11 Tracks'!$A$3:$S$66,15)</f>
        <v/>
      </c>
      <c r="Q16" s="3">
        <f>VLOOKUP($B16,'11 Tracks'!$A$3:$S$66,16)</f>
        <v/>
      </c>
      <c r="R16" s="15">
        <f>VLOOKUP($B16,'11 Tracks'!$A$3:$S$66,17)</f>
        <v/>
      </c>
      <c r="S16" s="16">
        <f>VLOOKUP($B16,'11 Tracks'!$A$3:$S$66,18)</f>
        <v/>
      </c>
      <c r="T16" s="17">
        <f>VLOOKUP($B16,'11 Tracks'!$A$3:$S$66,19)</f>
        <v/>
      </c>
    </row>
    <row r="17" ht="14.25" customHeight="1" s="267">
      <c r="A17" s="13" t="n">
        <v>12</v>
      </c>
      <c r="B17" s="14" t="inlineStr">
        <is>
          <t>Kyalami</t>
        </is>
      </c>
      <c r="C17" s="13">
        <f>VLOOKUP($B17,'11 Tracks'!$A$3:$S$66,2)</f>
        <v/>
      </c>
      <c r="D17" s="3">
        <f>VLOOKUP($B17,'11 Tracks'!$A$3:$S$66,3)</f>
        <v/>
      </c>
      <c r="E17" s="3">
        <f>VLOOKUP($B17,'11 Tracks'!$A$3:$S$66,4)</f>
        <v/>
      </c>
      <c r="F17" s="3">
        <f>VLOOKUP($B17,'11 Tracks'!$A$3:$S$66,5)</f>
        <v/>
      </c>
      <c r="G17" s="3">
        <f>VLOOKUP($B17,'11 Tracks'!$A$3:$S$66,6)</f>
        <v/>
      </c>
      <c r="H17" s="3">
        <f>VLOOKUP($B17,'11 Tracks'!$A$3:$S$66,7)</f>
        <v/>
      </c>
      <c r="I17" s="3">
        <f>VLOOKUP($B17,'11 Tracks'!$A$3:$S$66,8)</f>
        <v/>
      </c>
      <c r="J17" s="3">
        <f>VLOOKUP($B17,'11 Tracks'!$A$3:$S$66,9)</f>
        <v/>
      </c>
      <c r="K17" s="3">
        <f>VLOOKUP($B17,'11 Tracks'!$A$3:$S$66,10)</f>
        <v/>
      </c>
      <c r="L17" s="3">
        <f>VLOOKUP($B17,'11 Tracks'!$A$3:$S$66,11)</f>
        <v/>
      </c>
      <c r="M17" s="3">
        <f>VLOOKUP($B17,'11 Tracks'!$A$3:$S$66,12)</f>
        <v/>
      </c>
      <c r="N17" s="3">
        <f>VLOOKUP($B17,'11 Tracks'!$A$3:$S$66,13)</f>
        <v/>
      </c>
      <c r="O17" s="3">
        <f>VLOOKUP($B17,'11 Tracks'!$A$3:$S$66,14)</f>
        <v/>
      </c>
      <c r="P17" s="3">
        <f>VLOOKUP($B17,'11 Tracks'!$A$3:$S$66,15)</f>
        <v/>
      </c>
      <c r="Q17" s="3">
        <f>VLOOKUP($B17,'11 Tracks'!$A$3:$S$66,16)</f>
        <v/>
      </c>
      <c r="R17" s="15">
        <f>VLOOKUP($B17,'11 Tracks'!$A$3:$S$66,17)</f>
        <v/>
      </c>
      <c r="S17" s="16">
        <f>VLOOKUP($B17,'11 Tracks'!$A$3:$S$66,18)</f>
        <v/>
      </c>
      <c r="T17" s="17">
        <f>VLOOKUP($B17,'11 Tracks'!$A$3:$S$66,19)</f>
        <v/>
      </c>
    </row>
    <row r="18" ht="14.25" customHeight="1" s="267">
      <c r="A18" s="13" t="n">
        <v>13</v>
      </c>
      <c r="B18" s="14" t="inlineStr">
        <is>
          <t>Rafaela Oval</t>
        </is>
      </c>
      <c r="C18" s="13">
        <f>VLOOKUP($B18,'11 Tracks'!$A$3:$S$66,2)</f>
        <v/>
      </c>
      <c r="D18" s="3">
        <f>VLOOKUP($B18,'11 Tracks'!$A$3:$S$66,3)</f>
        <v/>
      </c>
      <c r="E18" s="3">
        <f>VLOOKUP($B18,'11 Tracks'!$A$3:$S$66,4)</f>
        <v/>
      </c>
      <c r="F18" s="3">
        <f>VLOOKUP($B18,'11 Tracks'!$A$3:$S$66,5)</f>
        <v/>
      </c>
      <c r="G18" s="3">
        <f>VLOOKUP($B18,'11 Tracks'!$A$3:$S$66,6)</f>
        <v/>
      </c>
      <c r="H18" s="3">
        <f>VLOOKUP($B18,'11 Tracks'!$A$3:$S$66,7)</f>
        <v/>
      </c>
      <c r="I18" s="3">
        <f>VLOOKUP($B18,'11 Tracks'!$A$3:$S$66,8)</f>
        <v/>
      </c>
      <c r="J18" s="3">
        <f>VLOOKUP($B18,'11 Tracks'!$A$3:$S$66,9)</f>
        <v/>
      </c>
      <c r="K18" s="3">
        <f>VLOOKUP($B18,'11 Tracks'!$A$3:$S$66,10)</f>
        <v/>
      </c>
      <c r="L18" s="3">
        <f>VLOOKUP($B18,'11 Tracks'!$A$3:$S$66,11)</f>
        <v/>
      </c>
      <c r="M18" s="3">
        <f>VLOOKUP($B18,'11 Tracks'!$A$3:$S$66,12)</f>
        <v/>
      </c>
      <c r="N18" s="3">
        <f>VLOOKUP($B18,'11 Tracks'!$A$3:$S$66,13)</f>
        <v/>
      </c>
      <c r="O18" s="3">
        <f>VLOOKUP($B18,'11 Tracks'!$A$3:$S$66,14)</f>
        <v/>
      </c>
      <c r="P18" s="3">
        <f>VLOOKUP($B18,'11 Tracks'!$A$3:$S$66,15)</f>
        <v/>
      </c>
      <c r="Q18" s="3">
        <f>VLOOKUP($B18,'11 Tracks'!$A$3:$S$66,16)</f>
        <v/>
      </c>
      <c r="R18" s="15">
        <f>VLOOKUP($B18,'11 Tracks'!$A$3:$S$66,17)</f>
        <v/>
      </c>
      <c r="S18" s="16">
        <f>VLOOKUP($B18,'11 Tracks'!$A$3:$S$66,18)</f>
        <v/>
      </c>
      <c r="T18" s="17">
        <f>VLOOKUP($B18,'11 Tracks'!$A$3:$S$66,19)</f>
        <v/>
      </c>
    </row>
    <row r="19" ht="14.25" customHeight="1" s="267">
      <c r="A19" s="13" t="n">
        <v>14</v>
      </c>
      <c r="B19" s="14" t="inlineStr">
        <is>
          <t>Brasilia</t>
        </is>
      </c>
      <c r="C19" s="13">
        <f>VLOOKUP($B19,'11 Tracks'!$A$3:$S$66,2)</f>
        <v/>
      </c>
      <c r="D19" s="3">
        <f>VLOOKUP($B19,'11 Tracks'!$A$3:$S$66,3)</f>
        <v/>
      </c>
      <c r="E19" s="3">
        <f>VLOOKUP($B19,'11 Tracks'!$A$3:$S$66,4)</f>
        <v/>
      </c>
      <c r="F19" s="3">
        <f>VLOOKUP($B19,'11 Tracks'!$A$3:$S$66,5)</f>
        <v/>
      </c>
      <c r="G19" s="3">
        <f>VLOOKUP($B19,'11 Tracks'!$A$3:$S$66,6)</f>
        <v/>
      </c>
      <c r="H19" s="3">
        <f>VLOOKUP($B19,'11 Tracks'!$A$3:$S$66,7)</f>
        <v/>
      </c>
      <c r="I19" s="3">
        <f>VLOOKUP($B19,'11 Tracks'!$A$3:$S$66,8)</f>
        <v/>
      </c>
      <c r="J19" s="3">
        <f>VLOOKUP($B19,'11 Tracks'!$A$3:$S$66,9)</f>
        <v/>
      </c>
      <c r="K19" s="3">
        <f>VLOOKUP($B19,'11 Tracks'!$A$3:$S$66,10)</f>
        <v/>
      </c>
      <c r="L19" s="3">
        <f>VLOOKUP($B19,'11 Tracks'!$A$3:$S$66,11)</f>
        <v/>
      </c>
      <c r="M19" s="3">
        <f>VLOOKUP($B19,'11 Tracks'!$A$3:$S$66,12)</f>
        <v/>
      </c>
      <c r="N19" s="3">
        <f>VLOOKUP($B19,'11 Tracks'!$A$3:$S$66,13)</f>
        <v/>
      </c>
      <c r="O19" s="3">
        <f>VLOOKUP($B19,'11 Tracks'!$A$3:$S$66,14)</f>
        <v/>
      </c>
      <c r="P19" s="3">
        <f>VLOOKUP($B19,'11 Tracks'!$A$3:$S$66,15)</f>
        <v/>
      </c>
      <c r="Q19" s="3">
        <f>VLOOKUP($B19,'11 Tracks'!$A$3:$S$66,16)</f>
        <v/>
      </c>
      <c r="R19" s="15">
        <f>VLOOKUP($B19,'11 Tracks'!$A$3:$S$66,17)</f>
        <v/>
      </c>
      <c r="S19" s="16">
        <f>VLOOKUP($B19,'11 Tracks'!$A$3:$S$66,18)</f>
        <v/>
      </c>
      <c r="T19" s="17">
        <f>VLOOKUP($B19,'11 Tracks'!$A$3:$S$66,19)</f>
        <v/>
      </c>
    </row>
    <row r="20" ht="14.25" customHeight="1" s="267">
      <c r="A20" s="13" t="n">
        <v>15</v>
      </c>
      <c r="B20" s="14" t="inlineStr">
        <is>
          <t>Miami</t>
        </is>
      </c>
      <c r="C20" s="13">
        <f>VLOOKUP($B20,'11 Tracks'!$A$3:$S$66,2)</f>
        <v/>
      </c>
      <c r="D20" s="3">
        <f>VLOOKUP($B20,'11 Tracks'!$A$3:$S$66,3)</f>
        <v/>
      </c>
      <c r="E20" s="3">
        <f>VLOOKUP($B20,'11 Tracks'!$A$3:$S$66,4)</f>
        <v/>
      </c>
      <c r="F20" s="3">
        <f>VLOOKUP($B20,'11 Tracks'!$A$3:$S$66,5)</f>
        <v/>
      </c>
      <c r="G20" s="3">
        <f>VLOOKUP($B20,'11 Tracks'!$A$3:$S$66,6)</f>
        <v/>
      </c>
      <c r="H20" s="3">
        <f>VLOOKUP($B20,'11 Tracks'!$A$3:$S$66,7)</f>
        <v/>
      </c>
      <c r="I20" s="3">
        <f>VLOOKUP($B20,'11 Tracks'!$A$3:$S$66,8)</f>
        <v/>
      </c>
      <c r="J20" s="3">
        <f>VLOOKUP($B20,'11 Tracks'!$A$3:$S$66,9)</f>
        <v/>
      </c>
      <c r="K20" s="3">
        <f>VLOOKUP($B20,'11 Tracks'!$A$3:$S$66,10)</f>
        <v/>
      </c>
      <c r="L20" s="3">
        <f>VLOOKUP($B20,'11 Tracks'!$A$3:$S$66,11)</f>
        <v/>
      </c>
      <c r="M20" s="3">
        <f>VLOOKUP($B20,'11 Tracks'!$A$3:$S$66,12)</f>
        <v/>
      </c>
      <c r="N20" s="3">
        <f>VLOOKUP($B20,'11 Tracks'!$A$3:$S$66,13)</f>
        <v/>
      </c>
      <c r="O20" s="3">
        <f>VLOOKUP($B20,'11 Tracks'!$A$3:$S$66,14)</f>
        <v/>
      </c>
      <c r="P20" s="3">
        <f>VLOOKUP($B20,'11 Tracks'!$A$3:$S$66,15)</f>
        <v/>
      </c>
      <c r="Q20" s="3">
        <f>VLOOKUP($B20,'11 Tracks'!$A$3:$S$66,16)</f>
        <v/>
      </c>
      <c r="R20" s="15">
        <f>VLOOKUP($B20,'11 Tracks'!$A$3:$S$66,17)</f>
        <v/>
      </c>
      <c r="S20" s="16">
        <f>VLOOKUP($B20,'11 Tracks'!$A$3:$S$66,18)</f>
        <v/>
      </c>
      <c r="T20" s="17">
        <f>VLOOKUP($B20,'11 Tracks'!$A$3:$S$66,19)</f>
        <v/>
      </c>
    </row>
    <row r="21" ht="14.25" customHeight="1" s="267">
      <c r="A21" s="13" t="n">
        <v>16</v>
      </c>
      <c r="B21" s="14" t="inlineStr">
        <is>
          <t>Slovakiaring</t>
        </is>
      </c>
      <c r="C21" s="13">
        <f>VLOOKUP($B21,'11 Tracks'!$A$3:$S$66,2)</f>
        <v/>
      </c>
      <c r="D21" s="3">
        <f>VLOOKUP($B21,'11 Tracks'!$A$3:$S$66,3)</f>
        <v/>
      </c>
      <c r="E21" s="3">
        <f>VLOOKUP($B21,'11 Tracks'!$A$3:$S$66,4)</f>
        <v/>
      </c>
      <c r="F21" s="3">
        <f>VLOOKUP($B21,'11 Tracks'!$A$3:$S$66,5)</f>
        <v/>
      </c>
      <c r="G21" s="3">
        <f>VLOOKUP($B21,'11 Tracks'!$A$3:$S$66,6)</f>
        <v/>
      </c>
      <c r="H21" s="3">
        <f>VLOOKUP($B21,'11 Tracks'!$A$3:$S$66,7)</f>
        <v/>
      </c>
      <c r="I21" s="3">
        <f>VLOOKUP($B21,'11 Tracks'!$A$3:$S$66,8)</f>
        <v/>
      </c>
      <c r="J21" s="3">
        <f>VLOOKUP($B21,'11 Tracks'!$A$3:$S$66,9)</f>
        <v/>
      </c>
      <c r="K21" s="3">
        <f>VLOOKUP($B21,'11 Tracks'!$A$3:$S$66,10)</f>
        <v/>
      </c>
      <c r="L21" s="3">
        <f>VLOOKUP($B21,'11 Tracks'!$A$3:$S$66,11)</f>
        <v/>
      </c>
      <c r="M21" s="3">
        <f>VLOOKUP($B21,'11 Tracks'!$A$3:$S$66,12)</f>
        <v/>
      </c>
      <c r="N21" s="3">
        <f>VLOOKUP($B21,'11 Tracks'!$A$3:$S$66,13)</f>
        <v/>
      </c>
      <c r="O21" s="3">
        <f>VLOOKUP($B21,'11 Tracks'!$A$3:$S$66,14)</f>
        <v/>
      </c>
      <c r="P21" s="3">
        <f>VLOOKUP($B21,'11 Tracks'!$A$3:$S$66,15)</f>
        <v/>
      </c>
      <c r="Q21" s="3">
        <f>VLOOKUP($B21,'11 Tracks'!$A$3:$S$66,16)</f>
        <v/>
      </c>
      <c r="R21" s="15">
        <f>VLOOKUP($B21,'11 Tracks'!$A$3:$S$66,17)</f>
        <v/>
      </c>
      <c r="S21" s="16">
        <f>VLOOKUP($B21,'11 Tracks'!$A$3:$S$66,18)</f>
        <v/>
      </c>
      <c r="T21" s="17">
        <f>VLOOKUP($B21,'11 Tracks'!$A$3:$S$66,19)</f>
        <v/>
      </c>
    </row>
    <row r="22" ht="14.25" customHeight="1" s="267">
      <c r="A22" s="18" t="n">
        <v>17</v>
      </c>
      <c r="B22" s="19" t="inlineStr">
        <is>
          <t>Fiorano</t>
        </is>
      </c>
      <c r="C22" s="18">
        <f>VLOOKUP($B22,'11 Tracks'!$A$3:$S$66,2)</f>
        <v/>
      </c>
      <c r="D22" s="20">
        <f>VLOOKUP($B22,'11 Tracks'!$A$3:$S$66,3)</f>
        <v/>
      </c>
      <c r="E22" s="20">
        <f>VLOOKUP($B22,'11 Tracks'!$A$3:$S$66,4)</f>
        <v/>
      </c>
      <c r="F22" s="20">
        <f>VLOOKUP($B22,'11 Tracks'!$A$3:$S$66,5)</f>
        <v/>
      </c>
      <c r="G22" s="20">
        <f>VLOOKUP($B22,'11 Tracks'!$A$3:$S$66,6)</f>
        <v/>
      </c>
      <c r="H22" s="20">
        <f>VLOOKUP($B22,'11 Tracks'!$A$3:$S$66,7)</f>
        <v/>
      </c>
      <c r="I22" s="20">
        <f>VLOOKUP($B22,'11 Tracks'!$A$3:$S$66,8)</f>
        <v/>
      </c>
      <c r="J22" s="20">
        <f>VLOOKUP($B22,'11 Tracks'!$A$3:$S$66,9)</f>
        <v/>
      </c>
      <c r="K22" s="20">
        <f>VLOOKUP($B22,'11 Tracks'!$A$3:$S$66,10)</f>
        <v/>
      </c>
      <c r="L22" s="20">
        <f>VLOOKUP($B22,'11 Tracks'!$A$3:$S$66,11)</f>
        <v/>
      </c>
      <c r="M22" s="20">
        <f>VLOOKUP($B22,'11 Tracks'!$A$3:$S$66,12)</f>
        <v/>
      </c>
      <c r="N22" s="20">
        <f>VLOOKUP($B22,'11 Tracks'!$A$3:$S$66,13)</f>
        <v/>
      </c>
      <c r="O22" s="20">
        <f>VLOOKUP($B22,'11 Tracks'!$A$3:$S$66,14)</f>
        <v/>
      </c>
      <c r="P22" s="20">
        <f>VLOOKUP($B22,'11 Tracks'!$A$3:$S$66,15)</f>
        <v/>
      </c>
      <c r="Q22" s="20">
        <f>VLOOKUP($B22,'11 Tracks'!$A$3:$S$66,16)</f>
        <v/>
      </c>
      <c r="R22" s="21">
        <f>VLOOKUP($B22,'11 Tracks'!$A$3:$S$66,17)</f>
        <v/>
      </c>
      <c r="S22" s="22">
        <f>VLOOKUP($B22,'11 Tracks'!$A$3:$S$66,18)</f>
        <v/>
      </c>
      <c r="T22" s="23">
        <f>VLOOKUP($B22,'11 Tracks'!$A$3:$S$66,19)</f>
        <v/>
      </c>
    </row>
    <row r="23" ht="14.25" customHeight="1" s="267">
      <c r="A23" s="4" t="n"/>
      <c r="B23" s="3" t="inlineStr">
        <is>
          <t>Mexico City</t>
        </is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</row>
    <row r="24" ht="14.25" customHeight="1" s="267">
      <c r="A24" s="4" t="inlineStr">
        <is>
          <t>Tyres</t>
        </is>
      </c>
      <c r="B24" s="5" t="inlineStr">
        <is>
          <t>Yokomama</t>
        </is>
      </c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</row>
    <row r="25" ht="14.25" customHeight="1" s="267">
      <c r="A25" s="4" t="n"/>
      <c r="B25" s="3" t="n"/>
      <c r="C25" s="3">
        <f>AVERAGE(C6:C22)</f>
        <v/>
      </c>
      <c r="D25" s="3">
        <f>AVERAGE(D6:D22)</f>
        <v/>
      </c>
      <c r="E25" s="3">
        <f>AVERAGE(E6:E22)</f>
        <v/>
      </c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</row>
    <row r="26" ht="14.25" customHeight="1" s="267">
      <c r="A26" s="4" t="inlineStr">
        <is>
          <t>Start money</t>
        </is>
      </c>
      <c r="B26" s="24" t="n">
        <v>41023925</v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 ht="14.25" customHeight="1" s="267">
      <c r="A27" s="4" t="n"/>
      <c r="B27" s="4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 ht="14.25" customHeight="1" s="267">
      <c r="A28" s="4" t="n"/>
      <c r="B28" s="4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 ht="14.25" customHeight="1" s="267">
      <c r="A29" s="4" t="n"/>
      <c r="B29" s="4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 ht="14.25" customHeight="1" s="267">
      <c r="A30" s="4" t="n"/>
      <c r="B30" s="4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 ht="14.25" customHeight="1" s="267">
      <c r="A31" s="4" t="n"/>
      <c r="B31" s="4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  <row r="32" ht="14.25" customHeight="1" s="267">
      <c r="A32" s="4" t="n"/>
      <c r="B32" s="4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</row>
    <row r="33" ht="14.25" customHeight="1" s="267">
      <c r="A33" s="4" t="n"/>
      <c r="B33" s="4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 ht="14.25" customHeight="1" s="267">
      <c r="A34" s="4" t="n"/>
      <c r="B34" s="4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</row>
    <row r="35" ht="14.25" customHeight="1" s="267">
      <c r="A35" s="4" t="n"/>
      <c r="B35" s="4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</row>
    <row r="36" ht="14.25" customHeight="1" s="267">
      <c r="A36" s="4" t="n"/>
      <c r="B36" s="4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</row>
    <row r="37" ht="14.25" customHeight="1" s="267">
      <c r="A37" s="4" t="n"/>
      <c r="B37" s="4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</row>
    <row r="38" ht="14.25" customHeight="1" s="267">
      <c r="A38" s="4" t="n"/>
      <c r="B38" s="4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</row>
    <row r="39" ht="14.25" customHeight="1" s="267">
      <c r="A39" s="4" t="n"/>
      <c r="B39" s="4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</row>
    <row r="40" ht="14.25" customHeight="1" s="267">
      <c r="A40" s="4" t="n"/>
      <c r="B40" s="4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</row>
    <row r="41" ht="14.25" customHeight="1" s="267">
      <c r="A41" s="4" t="n"/>
      <c r="B41" s="4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</row>
    <row r="42" ht="14.25" customHeight="1" s="267">
      <c r="A42" s="4" t="n"/>
      <c r="B42" s="4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</row>
    <row r="43" ht="14.25" customHeight="1" s="267">
      <c r="A43" s="4" t="n"/>
      <c r="B43" s="4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</row>
    <row r="44" ht="14.25" customHeight="1" s="267">
      <c r="A44" s="4" t="n"/>
      <c r="B44" s="4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</row>
    <row r="45" ht="14.25" customHeight="1" s="267">
      <c r="A45" s="4" t="n"/>
      <c r="B45" s="4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</row>
    <row r="46" ht="14.25" customHeight="1" s="267">
      <c r="A46" s="4" t="n"/>
      <c r="B46" s="4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</row>
    <row r="47" ht="14.25" customHeight="1" s="267">
      <c r="A47" s="4" t="n"/>
      <c r="B47" s="4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</row>
    <row r="48" ht="14.25" customHeight="1" s="267">
      <c r="A48" s="4" t="n"/>
      <c r="B48" s="4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</row>
    <row r="49" ht="14.25" customHeight="1" s="267">
      <c r="A49" s="4" t="n"/>
      <c r="B49" s="4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</row>
    <row r="50" ht="14.25" customHeight="1" s="267">
      <c r="A50" s="4" t="n"/>
      <c r="B50" s="4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</row>
    <row r="51" ht="14.25" customHeight="1" s="267">
      <c r="A51" s="4" t="n"/>
      <c r="B51" s="4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</row>
    <row r="52" ht="14.25" customHeight="1" s="267">
      <c r="A52" s="4" t="n"/>
      <c r="B52" s="4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</row>
    <row r="53" ht="14.25" customHeight="1" s="267">
      <c r="A53" s="4" t="n"/>
      <c r="B53" s="4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</row>
    <row r="54" ht="14.25" customHeight="1" s="267">
      <c r="A54" s="4" t="n"/>
      <c r="B54" s="4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</row>
    <row r="55" ht="14.25" customHeight="1" s="267">
      <c r="A55" s="4" t="n"/>
      <c r="B55" s="4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</row>
    <row r="56" ht="14.25" customHeight="1" s="267">
      <c r="A56" s="4" t="n"/>
      <c r="B56" s="4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</row>
    <row r="57" ht="14.25" customHeight="1" s="267">
      <c r="A57" s="4" t="n"/>
      <c r="B57" s="4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</row>
    <row r="58" ht="14.25" customHeight="1" s="267">
      <c r="A58" s="4" t="n"/>
      <c r="B58" s="4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</row>
    <row r="59" ht="14.25" customHeight="1" s="267">
      <c r="A59" s="4" t="n"/>
      <c r="B59" s="4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</row>
    <row r="60" ht="14.25" customHeight="1" s="267">
      <c r="A60" s="4" t="n"/>
      <c r="B60" s="4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</row>
    <row r="61" ht="14.25" customHeight="1" s="267">
      <c r="A61" s="4" t="n"/>
      <c r="B61" s="4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</row>
    <row r="62" ht="14.25" customHeight="1" s="267">
      <c r="A62" s="4" t="n"/>
      <c r="B62" s="4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</row>
    <row r="63" ht="14.25" customHeight="1" s="267">
      <c r="A63" s="4" t="n"/>
      <c r="B63" s="4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</row>
    <row r="64" ht="14.25" customHeight="1" s="267">
      <c r="A64" s="4" t="n"/>
      <c r="B64" s="4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</row>
    <row r="65" ht="14.25" customHeight="1" s="267">
      <c r="A65" s="4" t="n"/>
      <c r="B65" s="4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</row>
    <row r="66" ht="14.25" customHeight="1" s="267">
      <c r="A66" s="4" t="n"/>
      <c r="B66" s="4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</row>
    <row r="67" ht="14.25" customHeight="1" s="267">
      <c r="A67" s="4" t="n"/>
      <c r="B67" s="4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</row>
    <row r="68" ht="14.25" customHeight="1" s="267">
      <c r="A68" s="4" t="n"/>
      <c r="B68" s="4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</row>
    <row r="69" ht="14.25" customHeight="1" s="267">
      <c r="A69" s="4" t="n"/>
      <c r="B69" s="4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</row>
    <row r="70" ht="14.25" customHeight="1" s="267">
      <c r="A70" s="4" t="n"/>
      <c r="B70" s="4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</row>
    <row r="71" ht="14.25" customHeight="1" s="267">
      <c r="A71" s="4" t="n"/>
      <c r="B71" s="4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</row>
    <row r="72" ht="14.25" customHeight="1" s="267">
      <c r="A72" s="4" t="n"/>
      <c r="B72" s="4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</row>
    <row r="73" ht="14.25" customHeight="1" s="267">
      <c r="A73" s="4" t="n"/>
      <c r="B73" s="4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</row>
    <row r="74" ht="14.25" customHeight="1" s="267">
      <c r="A74" s="4" t="n"/>
      <c r="B74" s="4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</row>
    <row r="75" ht="14.25" customHeight="1" s="267">
      <c r="A75" s="4" t="n"/>
      <c r="B75" s="4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</row>
    <row r="76" ht="14.25" customHeight="1" s="267">
      <c r="A76" s="4" t="n"/>
      <c r="B76" s="4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</row>
    <row r="77" ht="14.25" customHeight="1" s="267">
      <c r="A77" s="4" t="n"/>
      <c r="B77" s="4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</row>
    <row r="78" ht="14.25" customHeight="1" s="267">
      <c r="A78" s="4" t="n"/>
      <c r="B78" s="4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</row>
    <row r="79" ht="14.25" customHeight="1" s="267">
      <c r="A79" s="4" t="n"/>
      <c r="B79" s="4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</row>
    <row r="80" ht="14.25" customHeight="1" s="267">
      <c r="A80" s="4" t="n"/>
      <c r="B80" s="4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</row>
    <row r="81" ht="14.25" customHeight="1" s="267">
      <c r="A81" s="4" t="n"/>
      <c r="B81" s="4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</row>
    <row r="82" ht="14.25" customHeight="1" s="267">
      <c r="A82" s="4" t="n"/>
      <c r="B82" s="4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</row>
    <row r="83" ht="14.25" customHeight="1" s="267">
      <c r="A83" s="4" t="n"/>
      <c r="B83" s="4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</row>
    <row r="84" ht="14.25" customHeight="1" s="267">
      <c r="A84" s="4" t="n"/>
      <c r="B84" s="4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</row>
    <row r="85" ht="14.25" customHeight="1" s="267">
      <c r="A85" s="4" t="n"/>
      <c r="B85" s="4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</row>
    <row r="86" ht="14.25" customHeight="1" s="267">
      <c r="A86" s="4" t="n"/>
      <c r="B86" s="4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</row>
    <row r="87" ht="14.25" customHeight="1" s="267">
      <c r="A87" s="4" t="n"/>
      <c r="B87" s="4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</row>
    <row r="88" ht="14.25" customHeight="1" s="267">
      <c r="A88" s="4" t="n"/>
      <c r="B88" s="4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</row>
    <row r="89" ht="14.25" customHeight="1" s="267">
      <c r="A89" s="4" t="n"/>
      <c r="B89" s="4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</row>
    <row r="90" ht="14.25" customHeight="1" s="267">
      <c r="A90" s="4" t="n"/>
      <c r="B90" s="4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</row>
    <row r="91" ht="14.25" customHeight="1" s="267">
      <c r="A91" s="4" t="n"/>
      <c r="B91" s="4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</row>
    <row r="92" ht="14.25" customHeight="1" s="267">
      <c r="A92" s="4" t="n"/>
      <c r="B92" s="4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</row>
    <row r="93" ht="14.25" customHeight="1" s="267">
      <c r="A93" s="4" t="n"/>
      <c r="B93" s="4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</row>
    <row r="94" ht="14.25" customHeight="1" s="267">
      <c r="A94" s="4" t="n"/>
      <c r="B94" s="4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</row>
    <row r="95" ht="14.25" customHeight="1" s="267">
      <c r="A95" s="4" t="n"/>
      <c r="B95" s="4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</row>
    <row r="96" ht="14.25" customHeight="1" s="267">
      <c r="A96" s="4" t="n"/>
      <c r="B96" s="4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</row>
    <row r="97" ht="14.25" customHeight="1" s="267">
      <c r="A97" s="4" t="n"/>
      <c r="B97" s="4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</row>
    <row r="98" ht="14.25" customHeight="1" s="267">
      <c r="A98" s="4" t="n"/>
      <c r="B98" s="4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</row>
    <row r="99" ht="14.25" customHeight="1" s="267">
      <c r="A99" s="4" t="n"/>
      <c r="B99" s="4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</row>
    <row r="100" ht="14.25" customHeight="1" s="267">
      <c r="A100" s="4" t="n"/>
      <c r="B100" s="4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</row>
  </sheetData>
  <dataValidations count="3">
    <dataValidation sqref="B3" showDropDown="0" showInputMessage="0" showErrorMessage="1" allowBlank="0" type="list">
      <formula1>Levels</formula1>
    </dataValidation>
    <dataValidation sqref="B24" showDropDown="0" showInputMessage="0" showErrorMessage="1" allowBlank="0" type="list">
      <formula1>Tyres</formula1>
    </dataValidation>
    <dataValidation sqref="B6:B22" showDropDown="0" showInputMessage="0" showErrorMessage="1" allowBlank="0" type="list">
      <formula1>Tracks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E17" sqref="E17"/>
    </sheetView>
  </sheetViews>
  <sheetFormatPr baseColWidth="10" defaultColWidth="14.5" defaultRowHeight="15" customHeight="1"/>
  <cols>
    <col width="26.33203125" customWidth="1" style="267" min="1" max="1"/>
    <col width="11.5" customWidth="1" style="267" min="2" max="18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4.25" customHeight="1" s="267">
      <c r="A4" s="25" t="inlineStr">
        <is>
          <t>Driver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4.25" customHeight="1" s="267">
      <c r="A5" s="4" t="inlineStr">
        <is>
          <t>OA</t>
        </is>
      </c>
      <c r="B5" s="26" t="n">
        <v>111</v>
      </c>
      <c r="C5" s="26" t="n">
        <v>111</v>
      </c>
      <c r="D5" s="26" t="n">
        <v>111</v>
      </c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</row>
    <row r="6" ht="14.25" customHeight="1" s="267">
      <c r="A6" s="4" t="inlineStr">
        <is>
          <t>Concentration</t>
        </is>
      </c>
      <c r="B6" s="27" t="n">
        <v>234</v>
      </c>
      <c r="C6" s="27" t="n">
        <v>234</v>
      </c>
      <c r="D6" s="27" t="n">
        <v>234</v>
      </c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 ht="14.25" customHeight="1" s="267">
      <c r="A7" s="4" t="inlineStr">
        <is>
          <t>Talent</t>
        </is>
      </c>
      <c r="B7" s="27" t="n">
        <v>68</v>
      </c>
      <c r="C7" s="27" t="n">
        <v>68</v>
      </c>
      <c r="D7" s="27" t="n">
        <v>68</v>
      </c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</row>
    <row r="8" ht="14.25" customHeight="1" s="267">
      <c r="A8" s="4" t="inlineStr">
        <is>
          <t>Aggressiveness</t>
        </is>
      </c>
      <c r="B8" s="27" t="n">
        <v>0</v>
      </c>
      <c r="C8" s="27" t="n">
        <v>0</v>
      </c>
      <c r="D8" s="27" t="n">
        <v>0</v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 ht="14.25" customHeight="1" s="267">
      <c r="A9" s="4" t="inlineStr">
        <is>
          <t>Experience</t>
        </is>
      </c>
      <c r="B9" s="27" t="n">
        <v>162</v>
      </c>
      <c r="C9" s="27" t="n">
        <v>162</v>
      </c>
      <c r="D9" s="27" t="n">
        <v>162</v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 ht="14.25" customHeight="1" s="267">
      <c r="A10" s="4" t="inlineStr">
        <is>
          <t>Technical</t>
        </is>
      </c>
      <c r="B10" s="27" t="n">
        <v>224</v>
      </c>
      <c r="C10" s="27" t="n">
        <v>224</v>
      </c>
      <c r="D10" s="27" t="n">
        <v>224</v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 ht="14.25" customHeight="1" s="267">
      <c r="A11" s="4" t="inlineStr">
        <is>
          <t>Stamina</t>
        </is>
      </c>
      <c r="B11" s="27" t="n">
        <v>79</v>
      </c>
      <c r="C11" s="27" t="n">
        <v>79</v>
      </c>
      <c r="D11" s="27" t="n">
        <v>79</v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 ht="14.25" customHeight="1" s="267">
      <c r="A12" s="4" t="inlineStr">
        <is>
          <t>Charisma</t>
        </is>
      </c>
      <c r="B12" s="27" t="n">
        <v>99</v>
      </c>
      <c r="C12" s="27" t="n">
        <v>99</v>
      </c>
      <c r="D12" s="27" t="n">
        <v>99</v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14.25" customHeight="1" s="267">
      <c r="A13" s="4" t="inlineStr">
        <is>
          <t>Motivation</t>
        </is>
      </c>
      <c r="B13" s="27" t="n">
        <v>7</v>
      </c>
      <c r="C13" s="27" t="n">
        <v>7</v>
      </c>
      <c r="D13" s="27" t="n">
        <v>7</v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 ht="14.25" customHeight="1" s="267">
      <c r="A14" s="4" t="inlineStr">
        <is>
          <t>Reputation</t>
        </is>
      </c>
      <c r="B14" s="27" t="n">
        <v>0</v>
      </c>
      <c r="C14" s="27" t="n">
        <v>0</v>
      </c>
      <c r="D14" s="27" t="n">
        <v>0</v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 ht="14.25" customHeight="1" s="267">
      <c r="A15" s="4" t="inlineStr">
        <is>
          <t>Weight</t>
        </is>
      </c>
      <c r="B15" s="27" t="n">
        <v>84</v>
      </c>
      <c r="C15" s="27" t="n">
        <v>84</v>
      </c>
      <c r="D15" s="27" t="n">
        <v>84</v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 ht="14.25" customHeight="1" s="267">
      <c r="A16" s="4" t="inlineStr">
        <is>
          <t>Age</t>
        </is>
      </c>
      <c r="B16" s="28" t="n">
        <v>32</v>
      </c>
      <c r="C16" s="28" t="n">
        <v>32</v>
      </c>
      <c r="D16" s="28" t="n">
        <v>32</v>
      </c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 ht="14.25" customHeight="1" s="267">
      <c r="A17" s="4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 ht="14.25" customHeight="1" s="267">
      <c r="A18" s="4" t="inlineStr">
        <is>
          <t>Salary</t>
        </is>
      </c>
      <c r="B18" s="29" t="n">
        <v>1120000</v>
      </c>
      <c r="C18" s="29" t="n">
        <v>1120000</v>
      </c>
      <c r="D18" s="29" t="n">
        <v>1120000</v>
      </c>
      <c r="E18" s="29" t="n">
        <v>1120000</v>
      </c>
      <c r="F18" s="29" t="n">
        <v>1120000</v>
      </c>
      <c r="G18" s="29" t="n">
        <v>1120000</v>
      </c>
      <c r="H18" s="29" t="n">
        <v>1120000</v>
      </c>
      <c r="I18" s="29" t="n">
        <v>1120000</v>
      </c>
      <c r="J18" s="29" t="n">
        <v>1120000</v>
      </c>
      <c r="K18" s="29" t="n">
        <v>1120000</v>
      </c>
      <c r="L18" s="29" t="n">
        <v>1120000</v>
      </c>
      <c r="M18" s="29" t="n">
        <v>1120000</v>
      </c>
      <c r="N18" s="29" t="n">
        <v>1120000</v>
      </c>
      <c r="O18" s="29" t="n">
        <v>1120000</v>
      </c>
      <c r="P18" s="29" t="n">
        <v>1120000</v>
      </c>
      <c r="Q18" s="29" t="n">
        <v>1120000</v>
      </c>
      <c r="R18" s="29" t="n">
        <v>1120000</v>
      </c>
    </row>
    <row r="19" ht="14.25" customHeight="1" s="267">
      <c r="A19" s="4" t="inlineStr">
        <is>
          <t>Points bonus</t>
        </is>
      </c>
      <c r="B19" s="30" t="n">
        <v>1000</v>
      </c>
      <c r="C19" s="30" t="n">
        <v>1000</v>
      </c>
      <c r="D19" s="30" t="n">
        <v>1000</v>
      </c>
      <c r="E19" s="30" t="n">
        <v>1000</v>
      </c>
      <c r="F19" s="30" t="n">
        <v>1000</v>
      </c>
      <c r="G19" s="30" t="n">
        <v>1000</v>
      </c>
      <c r="H19" s="30" t="n">
        <v>1000</v>
      </c>
      <c r="I19" s="30" t="n">
        <v>1000</v>
      </c>
      <c r="J19" s="30" t="n">
        <v>1000</v>
      </c>
      <c r="K19" s="30" t="n">
        <v>1000</v>
      </c>
      <c r="L19" s="30" t="n">
        <v>1000</v>
      </c>
      <c r="M19" s="30" t="n">
        <v>1000</v>
      </c>
      <c r="N19" s="30" t="n">
        <v>1000</v>
      </c>
      <c r="O19" s="30" t="n">
        <v>1000</v>
      </c>
      <c r="P19" s="30" t="n">
        <v>1000</v>
      </c>
      <c r="Q19" s="30" t="n">
        <v>1000</v>
      </c>
      <c r="R19" s="30" t="n">
        <v>1000</v>
      </c>
    </row>
    <row r="20" ht="14.25" customHeight="1" s="267">
      <c r="A20" s="4" t="inlineStr">
        <is>
          <t>Podium bonus</t>
        </is>
      </c>
      <c r="B20" s="30" t="n">
        <v>10000</v>
      </c>
      <c r="C20" s="30" t="n">
        <v>10000</v>
      </c>
      <c r="D20" s="30" t="n">
        <v>10000</v>
      </c>
      <c r="E20" s="30" t="n">
        <v>10000</v>
      </c>
      <c r="F20" s="30" t="n">
        <v>10000</v>
      </c>
      <c r="G20" s="30" t="n">
        <v>10000</v>
      </c>
      <c r="H20" s="30" t="n">
        <v>10000</v>
      </c>
      <c r="I20" s="30" t="n">
        <v>10000</v>
      </c>
      <c r="J20" s="30" t="n">
        <v>10000</v>
      </c>
      <c r="K20" s="30" t="n">
        <v>10000</v>
      </c>
      <c r="L20" s="30" t="n">
        <v>10000</v>
      </c>
      <c r="M20" s="30" t="n">
        <v>10000</v>
      </c>
      <c r="N20" s="30" t="n">
        <v>10000</v>
      </c>
      <c r="O20" s="30" t="n">
        <v>10000</v>
      </c>
      <c r="P20" s="30" t="n">
        <v>10000</v>
      </c>
      <c r="Q20" s="30" t="n">
        <v>10000</v>
      </c>
      <c r="R20" s="30" t="n">
        <v>10000</v>
      </c>
    </row>
    <row r="21" ht="14.25" customHeight="1" s="267">
      <c r="A21" s="4" t="inlineStr">
        <is>
          <t>Win bonus</t>
        </is>
      </c>
      <c r="B21" s="31" t="n">
        <v>100000</v>
      </c>
      <c r="C21" s="31" t="n">
        <v>100000</v>
      </c>
      <c r="D21" s="31" t="n">
        <v>100000</v>
      </c>
      <c r="E21" s="31" t="n">
        <v>100000</v>
      </c>
      <c r="F21" s="31" t="n">
        <v>100000</v>
      </c>
      <c r="G21" s="31" t="n">
        <v>100000</v>
      </c>
      <c r="H21" s="31" t="n">
        <v>100000</v>
      </c>
      <c r="I21" s="31" t="n">
        <v>100000</v>
      </c>
      <c r="J21" s="31" t="n">
        <v>100000</v>
      </c>
      <c r="K21" s="31" t="n">
        <v>100000</v>
      </c>
      <c r="L21" s="31" t="n">
        <v>100000</v>
      </c>
      <c r="M21" s="31" t="n">
        <v>100000</v>
      </c>
      <c r="N21" s="31" t="n">
        <v>100000</v>
      </c>
      <c r="O21" s="31" t="n">
        <v>100000</v>
      </c>
      <c r="P21" s="31" t="n">
        <v>100000</v>
      </c>
      <c r="Q21" s="31" t="n">
        <v>100000</v>
      </c>
      <c r="R21" s="31" t="n">
        <v>100000</v>
      </c>
    </row>
    <row r="22" ht="14.25" customHeight="1" s="267">
      <c r="A22" s="4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 ht="14.25" customHeight="1" s="267">
      <c r="A23" s="25" t="inlineStr">
        <is>
          <t>TD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 ht="14.25" customHeight="1" s="267">
      <c r="A24" s="4" t="inlineStr">
        <is>
          <t>Overall</t>
        </is>
      </c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</row>
    <row r="25" ht="14.25" customHeight="1" s="267">
      <c r="A25" s="4" t="inlineStr">
        <is>
          <t>Leadership</t>
        </is>
      </c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 ht="14.25" customHeight="1" s="267">
      <c r="A26" s="4" t="inlineStr">
        <is>
          <t>R&amp;D Mechanics</t>
        </is>
      </c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 ht="14.25" customHeight="1" s="267">
      <c r="A27" s="4" t="inlineStr">
        <is>
          <t>R&amp;D Electronics</t>
        </is>
      </c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 ht="14.25" customHeight="1" s="267">
      <c r="A28" s="4" t="inlineStr">
        <is>
          <t>R&amp;D Aerodynamics</t>
        </is>
      </c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 ht="14.25" customHeight="1" s="267">
      <c r="A29" s="4" t="inlineStr">
        <is>
          <t>Experience</t>
        </is>
      </c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 ht="14.25" customHeight="1" s="267">
      <c r="A30" s="4" t="inlineStr">
        <is>
          <t>Pit Coordination</t>
        </is>
      </c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 ht="14.25" customHeight="1" s="267">
      <c r="A31" s="4" t="inlineStr">
        <is>
          <t>Motivation</t>
        </is>
      </c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 ht="14.25" customHeight="1" s="267">
      <c r="A32" s="4" t="inlineStr">
        <is>
          <t>Age</t>
        </is>
      </c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 ht="14.25" customHeight="1" s="267">
      <c r="A33" s="4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 ht="14.25" customHeight="1" s="267">
      <c r="A34" s="4" t="inlineStr">
        <is>
          <t>Salary</t>
        </is>
      </c>
      <c r="B34" s="29" t="n">
        <v>250000</v>
      </c>
      <c r="C34" s="29" t="n">
        <v>250000</v>
      </c>
      <c r="D34" s="29" t="n">
        <v>250000</v>
      </c>
      <c r="E34" s="29" t="n">
        <v>250000</v>
      </c>
      <c r="F34" s="29" t="n">
        <v>250000</v>
      </c>
      <c r="G34" s="29" t="n">
        <v>250000</v>
      </c>
      <c r="H34" s="29" t="n">
        <v>250000</v>
      </c>
      <c r="I34" s="29" t="n">
        <v>250000</v>
      </c>
      <c r="J34" s="29" t="n">
        <v>250000</v>
      </c>
      <c r="K34" s="29" t="n">
        <v>250000</v>
      </c>
      <c r="L34" s="29" t="n">
        <v>250000</v>
      </c>
      <c r="M34" s="29" t="n">
        <v>250000</v>
      </c>
      <c r="N34" s="29" t="n">
        <v>250000</v>
      </c>
      <c r="O34" s="29" t="n">
        <v>250000</v>
      </c>
      <c r="P34" s="29" t="n">
        <v>250000</v>
      </c>
      <c r="Q34" s="29" t="n">
        <v>250000</v>
      </c>
      <c r="R34" s="29" t="n">
        <v>250000</v>
      </c>
    </row>
    <row r="35" ht="14.25" customHeight="1" s="267">
      <c r="A35" s="4" t="inlineStr">
        <is>
          <t>Points bonus</t>
        </is>
      </c>
      <c r="B35" s="30" t="n">
        <v>0</v>
      </c>
      <c r="C35" s="30" t="n">
        <v>0</v>
      </c>
      <c r="D35" s="30" t="n">
        <v>0</v>
      </c>
      <c r="E35" s="30" t="n">
        <v>0</v>
      </c>
      <c r="F35" s="30" t="n">
        <v>0</v>
      </c>
      <c r="G35" s="30" t="n">
        <v>0</v>
      </c>
      <c r="H35" s="30" t="n">
        <v>0</v>
      </c>
      <c r="I35" s="30" t="n">
        <v>0</v>
      </c>
      <c r="J35" s="30" t="n">
        <v>0</v>
      </c>
      <c r="K35" s="30" t="n">
        <v>0</v>
      </c>
      <c r="L35" s="30" t="n">
        <v>0</v>
      </c>
      <c r="M35" s="30" t="n">
        <v>0</v>
      </c>
      <c r="N35" s="30" t="n">
        <v>0</v>
      </c>
      <c r="O35" s="30" t="n">
        <v>0</v>
      </c>
      <c r="P35" s="30" t="n">
        <v>0</v>
      </c>
      <c r="Q35" s="30" t="n">
        <v>0</v>
      </c>
      <c r="R35" s="30" t="n">
        <v>0</v>
      </c>
    </row>
    <row r="36" ht="14.25" customHeight="1" s="267">
      <c r="A36" s="4" t="inlineStr">
        <is>
          <t>Podium bonus</t>
        </is>
      </c>
      <c r="B36" s="30" t="n">
        <v>0</v>
      </c>
      <c r="C36" s="30" t="n">
        <v>0</v>
      </c>
      <c r="D36" s="30" t="n">
        <v>0</v>
      </c>
      <c r="E36" s="30" t="n">
        <v>0</v>
      </c>
      <c r="F36" s="30" t="n">
        <v>0</v>
      </c>
      <c r="G36" s="30" t="n">
        <v>0</v>
      </c>
      <c r="H36" s="30" t="n">
        <v>0</v>
      </c>
      <c r="I36" s="30" t="n">
        <v>0</v>
      </c>
      <c r="J36" s="30" t="n">
        <v>0</v>
      </c>
      <c r="K36" s="30" t="n">
        <v>0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</row>
    <row r="37" ht="14.25" customHeight="1" s="267">
      <c r="A37" s="4" t="inlineStr">
        <is>
          <t>Win bonus</t>
        </is>
      </c>
      <c r="B37" s="31" t="n">
        <v>0</v>
      </c>
      <c r="C37" s="31" t="n">
        <v>0</v>
      </c>
      <c r="D37" s="31" t="n">
        <v>0</v>
      </c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0</v>
      </c>
      <c r="N37" s="31" t="n">
        <v>0</v>
      </c>
      <c r="O37" s="31" t="n">
        <v>0</v>
      </c>
      <c r="P37" s="31" t="n">
        <v>0</v>
      </c>
      <c r="Q37" s="31" t="n">
        <v>0</v>
      </c>
      <c r="R37" s="31" t="n">
        <v>0</v>
      </c>
    </row>
    <row r="38" ht="14.25" customHeight="1" s="267">
      <c r="A38" s="4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 ht="14.25" customHeight="1" s="267">
      <c r="A39" s="25" t="inlineStr">
        <is>
          <t>Staff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 ht="14.25" customHeight="1" s="267">
      <c r="A40" s="4" t="inlineStr">
        <is>
          <t>Experience</t>
        </is>
      </c>
      <c r="B40" s="26" t="n">
        <v>10</v>
      </c>
      <c r="C40" s="26" t="n">
        <v>10</v>
      </c>
      <c r="D40" s="26" t="n">
        <v>10</v>
      </c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4.25" customHeight="1" s="267">
      <c r="A41" s="4" t="inlineStr">
        <is>
          <t>Motivation</t>
        </is>
      </c>
      <c r="B41" s="27" t="inlineStr">
        <is>
          <t>0</t>
        </is>
      </c>
      <c r="C41" s="27" t="inlineStr">
        <is>
          <t>0</t>
        </is>
      </c>
      <c r="D41" s="27" t="inlineStr">
        <is>
          <t>0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 ht="14.25" customHeight="1" s="267">
      <c r="A42" s="4" t="inlineStr">
        <is>
          <t>Technical skill</t>
        </is>
      </c>
      <c r="B42" s="27" t="inlineStr">
        <is>
          <t>10</t>
        </is>
      </c>
      <c r="C42" s="27" t="inlineStr">
        <is>
          <t>10</t>
        </is>
      </c>
      <c r="D42" s="27" t="inlineStr">
        <is>
          <t>10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 ht="14.25" customHeight="1" s="267">
      <c r="A43" s="4" t="inlineStr">
        <is>
          <t>Stress handling</t>
        </is>
      </c>
      <c r="B43" s="27" t="inlineStr">
        <is>
          <t>9</t>
        </is>
      </c>
      <c r="C43" s="27" t="inlineStr">
        <is>
          <t>9</t>
        </is>
      </c>
      <c r="D43" s="27" t="inlineStr">
        <is>
          <t>9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 ht="14.25" customHeight="1" s="267">
      <c r="A44" s="4" t="inlineStr">
        <is>
          <t>Concentration</t>
        </is>
      </c>
      <c r="B44" s="27" t="inlineStr">
        <is>
          <t>9</t>
        </is>
      </c>
      <c r="C44" s="27" t="inlineStr">
        <is>
          <t>9</t>
        </is>
      </c>
      <c r="D44" s="27" t="inlineStr">
        <is>
          <t>9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 ht="14.25" customHeight="1" s="267">
      <c r="A45" s="4" t="inlineStr">
        <is>
          <t>Efficiency</t>
        </is>
      </c>
      <c r="B45" s="28" t="inlineStr">
        <is>
          <t>9</t>
        </is>
      </c>
      <c r="C45" s="28" t="inlineStr">
        <is>
          <t>9</t>
        </is>
      </c>
      <c r="D45" s="28" t="inlineStr">
        <is>
          <t>9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 ht="14.25" customHeight="1" s="267">
      <c r="A46" s="4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 ht="14.25" customHeight="1" s="267">
      <c r="A47" s="25" t="inlineStr">
        <is>
          <t>Facilities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 ht="14.25" customHeight="1" s="267">
      <c r="A48" s="4" t="inlineStr">
        <is>
          <t>Windtunnel</t>
        </is>
      </c>
      <c r="B48" s="26" t="n">
        <v>17</v>
      </c>
      <c r="C48" s="26" t="n">
        <v>17</v>
      </c>
      <c r="D48" s="26" t="n">
        <v>17</v>
      </c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</row>
    <row r="49" ht="14.25" customHeight="1" s="267">
      <c r="A49" s="4" t="inlineStr">
        <is>
          <t>Pit Stop Training Centre</t>
        </is>
      </c>
      <c r="B49" s="27" t="inlineStr">
        <is>
          <t>17</t>
        </is>
      </c>
      <c r="C49" s="27" t="inlineStr">
        <is>
          <t>17</t>
        </is>
      </c>
      <c r="D49" s="27" t="inlineStr">
        <is>
          <t>17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 ht="14.25" customHeight="1" s="267">
      <c r="A50" s="4" t="inlineStr">
        <is>
          <t>R&amp;D Workshop</t>
        </is>
      </c>
      <c r="B50" s="27" t="inlineStr">
        <is>
          <t>17</t>
        </is>
      </c>
      <c r="C50" s="27" t="inlineStr">
        <is>
          <t>17</t>
        </is>
      </c>
      <c r="D50" s="27" t="inlineStr">
        <is>
          <t>17</t>
        </is>
      </c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 ht="14.25" customHeight="1" s="267">
      <c r="A51" s="4" t="inlineStr">
        <is>
          <t>R&amp;D Design Centre</t>
        </is>
      </c>
      <c r="B51" s="27" t="inlineStr">
        <is>
          <t>0</t>
        </is>
      </c>
      <c r="C51" s="27" t="inlineStr">
        <is>
          <t>0</t>
        </is>
      </c>
      <c r="D51" s="27" t="inlineStr">
        <is>
          <t>0</t>
        </is>
      </c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 ht="14.25" customHeight="1" s="267">
      <c r="A52" s="4" t="inlineStr">
        <is>
          <t>Engineering Workshop</t>
        </is>
      </c>
      <c r="B52" s="27" t="inlineStr">
        <is>
          <t>18</t>
        </is>
      </c>
      <c r="C52" s="27" t="inlineStr">
        <is>
          <t>18</t>
        </is>
      </c>
      <c r="D52" s="27" t="inlineStr">
        <is>
          <t>18</t>
        </is>
      </c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 ht="14.25" customHeight="1" s="267">
      <c r="A53" s="4" t="inlineStr">
        <is>
          <t>Alloy &amp; Chemical Lab</t>
        </is>
      </c>
      <c r="B53" s="27" t="inlineStr">
        <is>
          <t>19</t>
        </is>
      </c>
      <c r="C53" s="27" t="inlineStr">
        <is>
          <t>19</t>
        </is>
      </c>
      <c r="D53" s="27" t="inlineStr">
        <is>
          <t>19</t>
        </is>
      </c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4.25" customHeight="1" s="267">
      <c r="A54" s="4" t="inlineStr">
        <is>
          <t>Commercial</t>
        </is>
      </c>
      <c r="B54" s="28" t="inlineStr">
        <is>
          <t>17</t>
        </is>
      </c>
      <c r="C54" s="28" t="inlineStr">
        <is>
          <t>17</t>
        </is>
      </c>
      <c r="D54" s="28" t="inlineStr">
        <is>
          <t>17</t>
        </is>
      </c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</row>
    <row r="55" ht="14.25" customHeight="1" s="267">
      <c r="A55" s="4" t="n"/>
      <c r="B55" s="3" t="n"/>
      <c r="C55" s="32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 ht="14.25" customHeight="1" s="267">
      <c r="A56" s="25" t="inlineStr">
        <is>
          <t>Fav Track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 ht="14.25" customHeight="1" s="267">
      <c r="A57" s="4" t="inlineStr">
        <is>
          <t>Track 1</t>
        </is>
      </c>
      <c r="B57" s="3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  <row r="58" ht="14.25" customHeight="1" s="267">
      <c r="A58" s="4" t="inlineStr">
        <is>
          <t>Track 2</t>
        </is>
      </c>
      <c r="B58" s="34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</row>
    <row r="59" ht="14.25" customHeight="1" s="267">
      <c r="A59" s="4" t="inlineStr">
        <is>
          <t>Track 3</t>
        </is>
      </c>
      <c r="B59" s="35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</row>
    <row r="60" ht="14.25" customHeight="1" s="267">
      <c r="A60" s="4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 ht="14.25" customHeight="1" s="267">
      <c r="A61" s="4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</row>
    <row r="62" ht="14.25" customHeight="1" s="267">
      <c r="A62" s="4" t="n"/>
      <c r="B62" s="3" t="n"/>
      <c r="C62" s="3" t="n"/>
      <c r="D62" s="3" t="n"/>
      <c r="E62" s="3" t="n"/>
      <c r="F62" s="3" t="n"/>
      <c r="G62" s="32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</row>
    <row r="63" ht="14.25" customHeight="1" s="267">
      <c r="A63" s="4" t="n"/>
      <c r="B63" s="3" t="n"/>
      <c r="C63" s="3" t="n"/>
      <c r="D63" s="3" t="n"/>
      <c r="E63" s="3" t="n"/>
      <c r="F63" s="3" t="n"/>
      <c r="G63" s="3" t="n"/>
      <c r="H63" s="32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</row>
    <row r="64" ht="14.25" customHeight="1" s="267">
      <c r="A64" s="4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</row>
    <row r="65" ht="14.25" customHeight="1" s="267">
      <c r="A65" s="4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</row>
    <row r="66" ht="14.25" customHeight="1" s="267">
      <c r="A66" s="4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</row>
    <row r="67" ht="14.25" customHeight="1" s="267">
      <c r="A67" s="4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</row>
    <row r="68" ht="14.25" customHeight="1" s="267">
      <c r="A68" s="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</row>
    <row r="69" ht="14.25" customHeight="1" s="267">
      <c r="A69" s="4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</row>
    <row r="70" ht="14.25" customHeight="1" s="267">
      <c r="A70" s="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</row>
    <row r="71" ht="14.25" customHeight="1" s="267">
      <c r="A71" s="4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 ht="14.25" customHeight="1" s="267">
      <c r="A72" s="4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</row>
    <row r="73" ht="14.25" customHeight="1" s="267">
      <c r="A73" s="4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</row>
    <row r="74" ht="14.25" customHeight="1" s="267">
      <c r="A74" s="4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</row>
    <row r="75" ht="14.25" customHeight="1" s="267">
      <c r="A75" s="4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</row>
    <row r="76" ht="14.25" customHeight="1" s="267">
      <c r="A76" s="4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 ht="14.25" customHeight="1" s="267">
      <c r="A77" s="4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</row>
    <row r="78" ht="14.25" customHeight="1" s="267">
      <c r="A78" s="4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</row>
    <row r="79" ht="14.25" customHeight="1" s="267">
      <c r="A79" s="4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 ht="14.25" customHeight="1" s="267">
      <c r="A80" s="4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</row>
    <row r="81" ht="14.25" customHeight="1" s="267">
      <c r="A81" s="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 ht="14.25" customHeight="1" s="267">
      <c r="A82" s="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 ht="14.25" customHeight="1" s="267">
      <c r="A84" s="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</row>
    <row r="85" ht="14.25" customHeight="1" s="267">
      <c r="A85" s="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</row>
    <row r="86" ht="14.25" customHeight="1" s="267">
      <c r="A86" s="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</row>
    <row r="87" ht="14.25" customHeight="1" s="267">
      <c r="A87" s="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</row>
    <row r="88" ht="14.25" customHeight="1" s="267">
      <c r="A88" s="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</row>
    <row r="89" ht="14.25" customHeight="1" s="267">
      <c r="A89" s="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</row>
    <row r="90" ht="14.25" customHeight="1" s="267">
      <c r="A90" s="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</row>
    <row r="91" ht="14.25" customHeight="1" s="267">
      <c r="A91" s="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  <row r="92" ht="14.25" customHeight="1" s="267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</row>
    <row r="93" ht="14.25" customHeight="1" s="267">
      <c r="A93" s="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</row>
    <row r="94" ht="14.25" customHeight="1" s="267">
      <c r="A94" s="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</row>
    <row r="95" ht="14.25" customHeight="1" s="267">
      <c r="A95" s="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</row>
    <row r="97" ht="14.25" customHeight="1" s="267">
      <c r="A97" s="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</row>
    <row r="98" ht="14.25" customHeight="1" s="267">
      <c r="A98" s="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</row>
    <row r="99" ht="14.25" customHeight="1" s="267">
      <c r="A99" s="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</row>
    <row r="100" ht="14.25" customHeight="1" s="267">
      <c r="A100" s="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</row>
  </sheetData>
  <dataValidations count="1">
    <dataValidation sqref="B57:B59" showDropDown="0" showInputMessage="0" showErrorMessage="1" allowBlank="0" type="list">
      <formula1>SeasonTracks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F50" sqref="F50"/>
    </sheetView>
  </sheetViews>
  <sheetFormatPr baseColWidth="10" defaultColWidth="14.5" defaultRowHeight="15" customHeight="1"/>
  <cols>
    <col width="32.5" customWidth="1" style="267" min="1" max="1"/>
    <col width="11.5" customWidth="1" style="267" min="2" max="18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4.25" customHeight="1" s="267">
      <c r="A4" s="25" t="inlineStr">
        <is>
          <t>Part level after update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</row>
    <row r="5" ht="14.25" customHeight="1" s="267">
      <c r="A5" s="4" t="inlineStr">
        <is>
          <t>Chassis</t>
        </is>
      </c>
      <c r="B5" s="36" t="n">
        <v>4</v>
      </c>
      <c r="C5" s="36" t="n">
        <v>4</v>
      </c>
      <c r="D5" s="36" t="n">
        <v>4</v>
      </c>
      <c r="E5" s="36" t="n"/>
      <c r="F5" s="36" t="n"/>
      <c r="G5" s="36" t="n"/>
      <c r="H5" s="36" t="n"/>
      <c r="I5" s="36" t="n"/>
      <c r="J5" s="26" t="n"/>
      <c r="K5" s="26" t="n"/>
      <c r="L5" s="26" t="n"/>
      <c r="M5" s="26" t="n"/>
      <c r="N5" s="26" t="n"/>
      <c r="O5" s="26" t="n"/>
      <c r="P5" s="26" t="n"/>
      <c r="Q5" s="26" t="n"/>
      <c r="R5" s="36" t="n"/>
    </row>
    <row r="6" ht="14.25" customHeight="1" s="267">
      <c r="A6" s="4" t="inlineStr">
        <is>
          <t>Engine</t>
        </is>
      </c>
      <c r="B6" s="37" t="n">
        <v>4</v>
      </c>
      <c r="C6" s="37" t="n">
        <v>4</v>
      </c>
      <c r="D6" s="37" t="n">
        <v>5</v>
      </c>
      <c r="E6" s="37" t="n"/>
      <c r="F6" s="37" t="n"/>
      <c r="G6" s="37" t="n"/>
      <c r="H6" s="37" t="n"/>
      <c r="I6" s="37" t="n"/>
      <c r="J6" s="27" t="n"/>
      <c r="K6" s="27" t="n"/>
      <c r="L6" s="27" t="n"/>
      <c r="M6" s="27" t="n"/>
      <c r="N6" s="27" t="n"/>
      <c r="O6" s="27" t="n"/>
      <c r="P6" s="27" t="n"/>
      <c r="Q6" s="27" t="n"/>
      <c r="R6" s="36" t="n"/>
    </row>
    <row r="7" ht="14.25" customHeight="1" s="267">
      <c r="A7" s="4" t="inlineStr">
        <is>
          <t>Front Wing</t>
        </is>
      </c>
      <c r="B7" s="37" t="n">
        <v>4</v>
      </c>
      <c r="C7" s="37" t="n">
        <v>4</v>
      </c>
      <c r="D7" s="37" t="n">
        <v>4</v>
      </c>
      <c r="E7" s="37" t="n"/>
      <c r="F7" s="37" t="n"/>
      <c r="G7" s="37" t="n"/>
      <c r="H7" s="37" t="n"/>
      <c r="I7" s="37" t="n"/>
      <c r="J7" s="27" t="n"/>
      <c r="K7" s="27" t="n"/>
      <c r="L7" s="27" t="n"/>
      <c r="M7" s="27" t="n"/>
      <c r="N7" s="27" t="n"/>
      <c r="O7" s="27" t="n"/>
      <c r="P7" s="27" t="n"/>
      <c r="Q7" s="27" t="n"/>
      <c r="R7" s="36" t="n"/>
    </row>
    <row r="8" ht="14.25" customHeight="1" s="267">
      <c r="A8" s="4" t="inlineStr">
        <is>
          <t>Rear Wing</t>
        </is>
      </c>
      <c r="B8" s="37" t="n">
        <v>4</v>
      </c>
      <c r="C8" s="37" t="n">
        <v>4</v>
      </c>
      <c r="D8" s="37" t="n">
        <v>4</v>
      </c>
      <c r="E8" s="37" t="n"/>
      <c r="F8" s="37" t="n"/>
      <c r="G8" s="37" t="n"/>
      <c r="H8" s="37" t="n"/>
      <c r="I8" s="37" t="n"/>
      <c r="J8" s="27" t="n"/>
      <c r="K8" s="27" t="n"/>
      <c r="L8" s="27" t="n"/>
      <c r="M8" s="27" t="n"/>
      <c r="N8" s="27" t="n"/>
      <c r="O8" s="27" t="n"/>
      <c r="P8" s="27" t="n"/>
      <c r="Q8" s="27" t="n"/>
      <c r="R8" s="36" t="n"/>
    </row>
    <row r="9" ht="14.25" customHeight="1" s="267">
      <c r="A9" s="4" t="inlineStr">
        <is>
          <t>Underbody</t>
        </is>
      </c>
      <c r="B9" s="37" t="n">
        <v>4</v>
      </c>
      <c r="C9" s="37" t="n">
        <v>4</v>
      </c>
      <c r="D9" s="37" t="n">
        <v>4</v>
      </c>
      <c r="E9" s="37" t="n"/>
      <c r="F9" s="37" t="n"/>
      <c r="G9" s="37" t="n"/>
      <c r="H9" s="37" t="n"/>
      <c r="I9" s="37" t="n"/>
      <c r="J9" s="27" t="n"/>
      <c r="K9" s="27" t="n"/>
      <c r="L9" s="27" t="n"/>
      <c r="M9" s="27" t="n"/>
      <c r="N9" s="27" t="n"/>
      <c r="O9" s="27" t="n"/>
      <c r="P9" s="27" t="n"/>
      <c r="Q9" s="27" t="n"/>
      <c r="R9" s="36" t="n"/>
    </row>
    <row r="10" ht="14.25" customHeight="1" s="267">
      <c r="A10" s="4" t="inlineStr">
        <is>
          <t>Sidepods</t>
        </is>
      </c>
      <c r="B10" s="37" t="n">
        <v>3</v>
      </c>
      <c r="C10" s="37" t="n">
        <v>3</v>
      </c>
      <c r="D10" s="37" t="n">
        <v>3</v>
      </c>
      <c r="E10" s="37" t="n"/>
      <c r="F10" s="37" t="n"/>
      <c r="G10" s="37" t="n"/>
      <c r="H10" s="37" t="n"/>
      <c r="I10" s="3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36" t="n"/>
    </row>
    <row r="11" ht="14.25" customHeight="1" s="267">
      <c r="A11" s="4" t="inlineStr">
        <is>
          <t>Cooling</t>
        </is>
      </c>
      <c r="B11" s="37" t="n">
        <v>3</v>
      </c>
      <c r="C11" s="37" t="n">
        <v>3</v>
      </c>
      <c r="D11" s="37" t="n">
        <v>3</v>
      </c>
      <c r="E11" s="37" t="n"/>
      <c r="F11" s="37" t="n"/>
      <c r="G11" s="37" t="n"/>
      <c r="H11" s="37" t="n"/>
      <c r="I11" s="3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36" t="n"/>
    </row>
    <row r="12" ht="14.25" customHeight="1" s="267">
      <c r="A12" s="4" t="inlineStr">
        <is>
          <t>Gearbox</t>
        </is>
      </c>
      <c r="B12" s="37" t="n">
        <v>4</v>
      </c>
      <c r="C12" s="37" t="n">
        <v>4</v>
      </c>
      <c r="D12" s="37" t="n">
        <v>4</v>
      </c>
      <c r="E12" s="37" t="n"/>
      <c r="F12" s="37" t="n"/>
      <c r="G12" s="37" t="n"/>
      <c r="H12" s="37" t="n"/>
      <c r="I12" s="3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36" t="n"/>
    </row>
    <row r="13" ht="14.25" customHeight="1" s="267">
      <c r="A13" s="4" t="inlineStr">
        <is>
          <t>Brakes</t>
        </is>
      </c>
      <c r="B13" s="37" t="n">
        <v>3</v>
      </c>
      <c r="C13" s="37" t="n">
        <v>3</v>
      </c>
      <c r="D13" s="37" t="n">
        <v>3</v>
      </c>
      <c r="E13" s="37" t="n"/>
      <c r="F13" s="37" t="n"/>
      <c r="G13" s="37" t="n"/>
      <c r="H13" s="37" t="n"/>
      <c r="I13" s="3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36" t="n"/>
    </row>
    <row r="14" ht="14.25" customHeight="1" s="267">
      <c r="A14" s="4" t="inlineStr">
        <is>
          <t>Suspension</t>
        </is>
      </c>
      <c r="B14" s="37" t="n">
        <v>4</v>
      </c>
      <c r="C14" s="37" t="n">
        <v>4</v>
      </c>
      <c r="D14" s="37" t="n">
        <v>4</v>
      </c>
      <c r="E14" s="37" t="n"/>
      <c r="F14" s="37" t="n"/>
      <c r="G14" s="37" t="n"/>
      <c r="H14" s="37" t="n"/>
      <c r="I14" s="3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36" t="n"/>
    </row>
    <row r="15" ht="14.25" customHeight="1" s="267">
      <c r="A15" s="4" t="inlineStr">
        <is>
          <t>Electronics</t>
        </is>
      </c>
      <c r="B15" s="38" t="n">
        <v>3</v>
      </c>
      <c r="C15" s="38" t="n">
        <v>3</v>
      </c>
      <c r="D15" s="38" t="n">
        <v>3</v>
      </c>
      <c r="E15" s="38" t="n"/>
      <c r="F15" s="38" t="n"/>
      <c r="G15" s="38" t="n"/>
      <c r="H15" s="38" t="n"/>
      <c r="I15" s="3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36" t="n"/>
    </row>
    <row r="16" ht="14.25" customHeight="1" s="267">
      <c r="A16" s="4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</row>
    <row r="17" ht="14.25" customHeight="1" s="267">
      <c r="A17" s="25" t="inlineStr">
        <is>
          <t>Wear after the previous race</t>
        </is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 ht="14.25" customHeight="1" s="267">
      <c r="A18" s="4" t="inlineStr">
        <is>
          <t>Chassis</t>
        </is>
      </c>
      <c r="B18" s="259" t="n"/>
      <c r="C18" s="40" t="n"/>
      <c r="D18" s="262" t="n">
        <v>0.45</v>
      </c>
      <c r="E18" s="262" t="n">
        <v>0.45</v>
      </c>
      <c r="F18" s="40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</row>
    <row r="19" ht="14.25" customHeight="1" s="267">
      <c r="A19" s="4" t="inlineStr">
        <is>
          <t>Engine</t>
        </is>
      </c>
      <c r="B19" s="260" t="n"/>
      <c r="C19" s="41" t="n"/>
      <c r="D19" s="41" t="n">
        <v>0</v>
      </c>
      <c r="E19" s="41" t="n">
        <v>0.84</v>
      </c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</row>
    <row r="20" ht="14.25" customHeight="1" s="267">
      <c r="A20" s="4" t="inlineStr">
        <is>
          <t>Front Wing</t>
        </is>
      </c>
      <c r="B20" s="260" t="n"/>
      <c r="C20" s="41" t="n"/>
      <c r="D20" s="41" t="n">
        <v>0.55</v>
      </c>
      <c r="E20" s="41" t="n">
        <v>0.55</v>
      </c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</row>
    <row r="21" ht="14.25" customHeight="1" s="267">
      <c r="A21" s="4" t="inlineStr">
        <is>
          <t>Rear Wing</t>
        </is>
      </c>
      <c r="B21" s="260" t="n"/>
      <c r="C21" s="41" t="n"/>
      <c r="D21" s="41" t="n">
        <v>0.46</v>
      </c>
      <c r="E21" s="41" t="n">
        <v>0.46</v>
      </c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</row>
    <row r="22" ht="14.25" customHeight="1" s="267">
      <c r="A22" s="4" t="inlineStr">
        <is>
          <t>Underbody</t>
        </is>
      </c>
      <c r="B22" s="260" t="n"/>
      <c r="C22" s="41" t="n"/>
      <c r="D22" s="41" t="n">
        <v>0.47</v>
      </c>
      <c r="E22" s="41" t="n">
        <v>0.47</v>
      </c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</row>
    <row r="23" ht="14.25" customHeight="1" s="267">
      <c r="A23" s="4" t="inlineStr">
        <is>
          <t>Sidepods</t>
        </is>
      </c>
      <c r="B23" s="260" t="n"/>
      <c r="C23" s="41" t="n"/>
      <c r="D23" s="41" t="n">
        <v>0.52</v>
      </c>
      <c r="E23" s="41" t="n">
        <v>0.52</v>
      </c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</row>
    <row r="24" ht="14.25" customHeight="1" s="267">
      <c r="A24" s="4" t="inlineStr">
        <is>
          <t>Cooling</t>
        </is>
      </c>
      <c r="B24" s="260" t="n"/>
      <c r="C24" s="41" t="n"/>
      <c r="D24" s="41" t="n">
        <v>0.53</v>
      </c>
      <c r="E24" s="41" t="n">
        <v>0.53</v>
      </c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</row>
    <row r="25" ht="14.25" customHeight="1" s="267">
      <c r="A25" s="4" t="inlineStr">
        <is>
          <t>Gearbox</t>
        </is>
      </c>
      <c r="B25" s="260" t="n"/>
      <c r="C25" s="41" t="n"/>
      <c r="D25" s="41" t="n">
        <v>0.63</v>
      </c>
      <c r="E25" s="41" t="n">
        <v>0.63</v>
      </c>
      <c r="F25" s="41" t="n"/>
      <c r="G25" s="41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</row>
    <row r="26" ht="14.25" customHeight="1" s="267">
      <c r="A26" s="4" t="inlineStr">
        <is>
          <t>Brakes</t>
        </is>
      </c>
      <c r="B26" s="260" t="n"/>
      <c r="C26" s="41" t="n"/>
      <c r="D26" s="41" t="n">
        <v>0.64</v>
      </c>
      <c r="E26" s="41" t="n">
        <v>0.64</v>
      </c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</row>
    <row r="27" ht="14.25" customHeight="1" s="267">
      <c r="A27" s="4" t="inlineStr">
        <is>
          <t>Suspension</t>
        </is>
      </c>
      <c r="B27" s="260" t="n"/>
      <c r="C27" s="41" t="n"/>
      <c r="D27" s="41" t="n">
        <v>0.61</v>
      </c>
      <c r="E27" s="41" t="n">
        <v>0.61</v>
      </c>
      <c r="F27" s="41" t="n"/>
      <c r="G27" s="4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</row>
    <row r="28" ht="14.25" customHeight="1" s="267">
      <c r="A28" s="4" t="inlineStr">
        <is>
          <t>Electronics</t>
        </is>
      </c>
      <c r="B28" s="261" t="n"/>
      <c r="C28" s="42" t="n"/>
      <c r="D28" s="263" t="n">
        <v>0.37</v>
      </c>
      <c r="E28" s="263" t="n">
        <v>0.37</v>
      </c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</row>
    <row r="29" ht="14.25" customHeight="1" s="267">
      <c r="A29" s="4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 ht="14.25" customHeight="1" s="267">
      <c r="A30" s="25" t="inlineStr">
        <is>
          <t>Wear after the pre-update testing</t>
        </is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 ht="14.25" customHeight="1" s="267">
      <c r="A31" s="4" t="inlineStr">
        <is>
          <t>Chassis</t>
        </is>
      </c>
      <c r="B31" s="39" t="n"/>
      <c r="C31" s="40" t="n"/>
      <c r="D31" s="262" t="n">
        <v>0.45</v>
      </c>
      <c r="E31" s="40" t="n"/>
      <c r="F31" s="40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</row>
    <row r="32" ht="14.25" customHeight="1" s="267">
      <c r="A32" s="4" t="inlineStr">
        <is>
          <t>Engine</t>
        </is>
      </c>
      <c r="B32" s="43" t="n"/>
      <c r="C32" s="41" t="n"/>
      <c r="D32" s="41" t="n">
        <v>0</v>
      </c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</row>
    <row r="33" ht="14.25" customHeight="1" s="267">
      <c r="A33" s="4" t="inlineStr">
        <is>
          <t>Front Wing</t>
        </is>
      </c>
      <c r="B33" s="43" t="n"/>
      <c r="C33" s="41" t="n"/>
      <c r="D33" s="41" t="n">
        <v>0.55</v>
      </c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</row>
    <row r="34" ht="14.25" customHeight="1" s="267">
      <c r="A34" s="4" t="inlineStr">
        <is>
          <t>Rear Wing</t>
        </is>
      </c>
      <c r="B34" s="43" t="n"/>
      <c r="C34" s="41" t="n"/>
      <c r="D34" s="41" t="n">
        <v>0.46</v>
      </c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</row>
    <row r="35" ht="14.25" customHeight="1" s="267">
      <c r="A35" s="4" t="inlineStr">
        <is>
          <t>Underbody</t>
        </is>
      </c>
      <c r="B35" s="43" t="n"/>
      <c r="C35" s="41" t="n"/>
      <c r="D35" s="41" t="n">
        <v>0.47</v>
      </c>
      <c r="E35" s="41" t="n"/>
      <c r="F35" s="41" t="n"/>
      <c r="G35" s="41" t="n"/>
      <c r="H35" s="41" t="n"/>
      <c r="I35" s="41" t="n"/>
      <c r="J35" s="41" t="n"/>
      <c r="K35" s="41" t="n"/>
      <c r="L35" s="41" t="n"/>
      <c r="M35" s="41" t="n"/>
      <c r="N35" s="41" t="n"/>
      <c r="O35" s="41" t="n"/>
      <c r="P35" s="41" t="n"/>
      <c r="Q35" s="41" t="n"/>
      <c r="R35" s="41" t="n"/>
    </row>
    <row r="36" ht="14.25" customHeight="1" s="267">
      <c r="A36" s="4" t="inlineStr">
        <is>
          <t>Sidepods</t>
        </is>
      </c>
      <c r="B36" s="43" t="n"/>
      <c r="C36" s="41" t="n"/>
      <c r="D36" s="41" t="n">
        <v>0.52</v>
      </c>
      <c r="E36" s="41" t="n"/>
      <c r="F36" s="41" t="n"/>
      <c r="G36" s="41" t="n"/>
      <c r="H36" s="41" t="n"/>
      <c r="I36" s="41" t="n"/>
      <c r="J36" s="41" t="n"/>
      <c r="K36" s="41" t="n"/>
      <c r="L36" s="41" t="n"/>
      <c r="M36" s="41" t="n"/>
      <c r="N36" s="41" t="n"/>
      <c r="O36" s="41" t="n"/>
      <c r="P36" s="41" t="n"/>
      <c r="Q36" s="41" t="n"/>
      <c r="R36" s="41" t="n"/>
    </row>
    <row r="37" ht="14.25" customHeight="1" s="267">
      <c r="A37" s="4" t="inlineStr">
        <is>
          <t>Cooling</t>
        </is>
      </c>
      <c r="B37" s="43" t="n"/>
      <c r="C37" s="41" t="n"/>
      <c r="D37" s="41" t="n">
        <v>0.53</v>
      </c>
      <c r="E37" s="41" t="n"/>
      <c r="F37" s="41" t="n"/>
      <c r="G37" s="41" t="n"/>
      <c r="H37" s="41" t="n"/>
      <c r="I37" s="41" t="n"/>
      <c r="J37" s="41" t="n"/>
      <c r="K37" s="41" t="n"/>
      <c r="L37" s="41" t="n"/>
      <c r="M37" s="41" t="n"/>
      <c r="N37" s="41" t="n"/>
      <c r="O37" s="41" t="n"/>
      <c r="P37" s="41" t="n"/>
      <c r="Q37" s="41" t="n"/>
      <c r="R37" s="41" t="n"/>
    </row>
    <row r="38" ht="14.25" customHeight="1" s="267">
      <c r="A38" s="4" t="inlineStr">
        <is>
          <t>Gearbox</t>
        </is>
      </c>
      <c r="B38" s="43" t="n"/>
      <c r="C38" s="41" t="n"/>
      <c r="D38" s="41" t="n">
        <v>0.63</v>
      </c>
      <c r="E38" s="41" t="n"/>
      <c r="F38" s="41" t="n"/>
      <c r="G38" s="41" t="n"/>
      <c r="H38" s="41" t="n"/>
      <c r="I38" s="41" t="n"/>
      <c r="J38" s="41" t="n"/>
      <c r="K38" s="41" t="n"/>
      <c r="L38" s="41" t="n"/>
      <c r="M38" s="41" t="n"/>
      <c r="N38" s="41" t="n"/>
      <c r="O38" s="41" t="n"/>
      <c r="P38" s="41" t="n"/>
      <c r="Q38" s="41" t="n"/>
      <c r="R38" s="41" t="n"/>
    </row>
    <row r="39" ht="14.25" customHeight="1" s="267">
      <c r="A39" s="4" t="inlineStr">
        <is>
          <t>Brakes</t>
        </is>
      </c>
      <c r="B39" s="43" t="n"/>
      <c r="C39" s="41" t="n"/>
      <c r="D39" s="41" t="n">
        <v>0.64</v>
      </c>
      <c r="E39" s="41" t="n"/>
      <c r="F39" s="41" t="n"/>
      <c r="G39" s="41" t="n"/>
      <c r="H39" s="41" t="n"/>
      <c r="I39" s="41" t="n"/>
      <c r="J39" s="41" t="n"/>
      <c r="K39" s="41" t="n"/>
      <c r="L39" s="41" t="n"/>
      <c r="M39" s="41" t="n"/>
      <c r="N39" s="41" t="n"/>
      <c r="O39" s="41" t="n"/>
      <c r="P39" s="41" t="n"/>
      <c r="Q39" s="41" t="n"/>
      <c r="R39" s="41" t="n"/>
    </row>
    <row r="40" ht="14.25" customHeight="1" s="267">
      <c r="A40" s="4" t="inlineStr">
        <is>
          <t>Suspension</t>
        </is>
      </c>
      <c r="B40" s="43" t="n"/>
      <c r="C40" s="41" t="n"/>
      <c r="D40" s="41" t="n">
        <v>0.61</v>
      </c>
      <c r="E40" s="41" t="n"/>
      <c r="F40" s="41" t="n"/>
      <c r="G40" s="41" t="n"/>
      <c r="H40" s="41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</row>
    <row r="41" ht="14.25" customHeight="1" s="267">
      <c r="A41" s="4" t="inlineStr">
        <is>
          <t>Electronics</t>
        </is>
      </c>
      <c r="B41" s="44" t="n"/>
      <c r="C41" s="42" t="n"/>
      <c r="D41" s="263" t="n">
        <v>0.37</v>
      </c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</row>
    <row r="42" ht="14.25" customHeight="1" s="267">
      <c r="A42" s="4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 ht="14.25" customHeight="1" s="267">
      <c r="A43" s="25" t="inlineStr">
        <is>
          <t>Wear after update</t>
        </is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 ht="14.25" customHeight="1" s="267">
      <c r="A44" s="4" t="inlineStr">
        <is>
          <t>Chassis</t>
        </is>
      </c>
      <c r="B44" s="39" t="n"/>
      <c r="C44" s="40" t="n"/>
      <c r="D44" s="40" t="n"/>
      <c r="E44" s="40" t="n">
        <v>0.45</v>
      </c>
      <c r="F44" s="40" t="n"/>
      <c r="G44" s="40" t="n"/>
      <c r="H44" s="40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</row>
    <row r="45" ht="14.25" customHeight="1" s="267">
      <c r="A45" s="4" t="inlineStr">
        <is>
          <t>Engine</t>
        </is>
      </c>
      <c r="B45" s="43" t="n"/>
      <c r="C45" s="41" t="n"/>
      <c r="D45" s="41" t="n"/>
      <c r="E45" s="41" t="n">
        <v>0</v>
      </c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</row>
    <row r="46" ht="14.25" customHeight="1" s="267">
      <c r="A46" s="4" t="inlineStr">
        <is>
          <t>Front Wing</t>
        </is>
      </c>
      <c r="B46" s="43" t="n"/>
      <c r="C46" s="41" t="n"/>
      <c r="D46" s="41" t="n"/>
      <c r="E46" s="41" t="n">
        <v>0.55</v>
      </c>
      <c r="F46" s="41" t="n"/>
      <c r="G46" s="41" t="n"/>
      <c r="H46" s="41" t="n"/>
      <c r="I46" s="41" t="n"/>
      <c r="J46" s="41" t="n"/>
      <c r="K46" s="41" t="n"/>
      <c r="L46" s="41" t="n"/>
      <c r="M46" s="41" t="n"/>
      <c r="N46" s="41" t="n"/>
      <c r="O46" s="41" t="n"/>
      <c r="P46" s="41" t="n"/>
      <c r="Q46" s="41" t="n"/>
      <c r="R46" s="41" t="n"/>
    </row>
    <row r="47" ht="14.25" customHeight="1" s="267">
      <c r="A47" s="4" t="inlineStr">
        <is>
          <t>Rear Wing</t>
        </is>
      </c>
      <c r="B47" s="43" t="n"/>
      <c r="C47" s="41" t="n"/>
      <c r="D47" s="41" t="n"/>
      <c r="E47" s="41" t="n">
        <v>0.46</v>
      </c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41" t="n"/>
    </row>
    <row r="48" ht="14.25" customHeight="1" s="267">
      <c r="A48" s="4" t="inlineStr">
        <is>
          <t>Underbody</t>
        </is>
      </c>
      <c r="B48" s="43" t="n"/>
      <c r="C48" s="41" t="n"/>
      <c r="D48" s="41" t="n"/>
      <c r="E48" s="41" t="n">
        <v>0.47</v>
      </c>
      <c r="F48" s="41" t="n"/>
      <c r="G48" s="41" t="n"/>
      <c r="H48" s="41" t="n"/>
      <c r="I48" s="41" t="n"/>
      <c r="J48" s="41" t="n"/>
      <c r="K48" s="41" t="n"/>
      <c r="L48" s="41" t="n"/>
      <c r="M48" s="41" t="n"/>
      <c r="N48" s="41" t="n"/>
      <c r="O48" s="41" t="n"/>
      <c r="P48" s="41" t="n"/>
      <c r="Q48" s="41" t="n"/>
      <c r="R48" s="41" t="n"/>
    </row>
    <row r="49" ht="14.25" customHeight="1" s="267">
      <c r="A49" s="4" t="inlineStr">
        <is>
          <t>Sidepods</t>
        </is>
      </c>
      <c r="B49" s="43" t="n"/>
      <c r="C49" s="41" t="n"/>
      <c r="D49" s="41" t="n"/>
      <c r="E49" s="41" t="n">
        <v>0.52</v>
      </c>
      <c r="F49" s="41" t="n"/>
      <c r="G49" s="41" t="n"/>
      <c r="H49" s="41" t="n"/>
      <c r="I49" s="41" t="n"/>
      <c r="J49" s="41" t="n"/>
      <c r="K49" s="41" t="n"/>
      <c r="L49" s="41" t="n"/>
      <c r="M49" s="41" t="n"/>
      <c r="N49" s="41" t="n"/>
      <c r="O49" s="41" t="n"/>
      <c r="P49" s="41" t="n"/>
      <c r="Q49" s="41" t="n"/>
      <c r="R49" s="41" t="n"/>
    </row>
    <row r="50" ht="14.25" customHeight="1" s="267">
      <c r="A50" s="4" t="inlineStr">
        <is>
          <t>Cooling</t>
        </is>
      </c>
      <c r="B50" s="43" t="n"/>
      <c r="C50" s="41" t="n"/>
      <c r="D50" s="41" t="n"/>
      <c r="E50" s="41" t="n">
        <v>0.53</v>
      </c>
      <c r="F50" s="41" t="n"/>
      <c r="G50" s="41" t="n"/>
      <c r="H50" s="41" t="n"/>
      <c r="I50" s="41" t="n"/>
      <c r="J50" s="41" t="n"/>
      <c r="K50" s="41" t="n"/>
      <c r="L50" s="41" t="n"/>
      <c r="M50" s="41" t="n"/>
      <c r="N50" s="41" t="n"/>
      <c r="O50" s="41" t="n"/>
      <c r="P50" s="41" t="n"/>
      <c r="Q50" s="41" t="n"/>
      <c r="R50" s="41" t="n"/>
    </row>
    <row r="51" ht="14.25" customHeight="1" s="267">
      <c r="A51" s="4" t="inlineStr">
        <is>
          <t>Gearbox</t>
        </is>
      </c>
      <c r="B51" s="43" t="n"/>
      <c r="C51" s="41" t="n"/>
      <c r="D51" s="41" t="n"/>
      <c r="E51" s="41" t="n">
        <v>0.63</v>
      </c>
      <c r="F51" s="41" t="n"/>
      <c r="G51" s="41" t="n"/>
      <c r="H51" s="41" t="n"/>
      <c r="I51" s="41" t="n"/>
      <c r="J51" s="41" t="n"/>
      <c r="K51" s="41" t="n"/>
      <c r="L51" s="41" t="n"/>
      <c r="M51" s="41" t="n"/>
      <c r="N51" s="41" t="n"/>
      <c r="O51" s="41" t="n"/>
      <c r="P51" s="41" t="n"/>
      <c r="Q51" s="41" t="n"/>
      <c r="R51" s="41" t="n"/>
    </row>
    <row r="52" ht="14.25" customHeight="1" s="267">
      <c r="A52" s="4" t="inlineStr">
        <is>
          <t>Brakes</t>
        </is>
      </c>
      <c r="B52" s="43" t="n"/>
      <c r="C52" s="41" t="n"/>
      <c r="D52" s="41" t="n"/>
      <c r="E52" s="41" t="n">
        <v>0.64</v>
      </c>
      <c r="F52" s="41" t="n"/>
      <c r="G52" s="41" t="n"/>
      <c r="H52" s="41" t="n"/>
      <c r="I52" s="41" t="n"/>
      <c r="J52" s="41" t="n"/>
      <c r="K52" s="41" t="n"/>
      <c r="L52" s="41" t="n"/>
      <c r="M52" s="41" t="n"/>
      <c r="N52" s="41" t="n"/>
      <c r="O52" s="41" t="n"/>
      <c r="P52" s="41" t="n"/>
      <c r="Q52" s="41" t="n"/>
      <c r="R52" s="41" t="n"/>
    </row>
    <row r="53" ht="14.25" customHeight="1" s="267">
      <c r="A53" s="4" t="inlineStr">
        <is>
          <t>Suspension</t>
        </is>
      </c>
      <c r="B53" s="43" t="n"/>
      <c r="C53" s="41" t="n"/>
      <c r="D53" s="41" t="n"/>
      <c r="E53" s="41" t="n">
        <v>0.61</v>
      </c>
      <c r="F53" s="41" t="n"/>
      <c r="G53" s="41" t="n"/>
      <c r="H53" s="41" t="n"/>
      <c r="I53" s="41" t="n"/>
      <c r="J53" s="41" t="n"/>
      <c r="K53" s="41" t="n"/>
      <c r="L53" s="41" t="n"/>
      <c r="M53" s="41" t="n"/>
      <c r="N53" s="41" t="n"/>
      <c r="O53" s="41" t="n"/>
      <c r="P53" s="41" t="n"/>
      <c r="Q53" s="41" t="n"/>
      <c r="R53" s="41" t="n"/>
    </row>
    <row r="54" ht="14.25" customHeight="1" s="267">
      <c r="A54" s="4" t="inlineStr">
        <is>
          <t>Electronics</t>
        </is>
      </c>
      <c r="B54" s="44" t="n"/>
      <c r="C54" s="42" t="n"/>
      <c r="D54" s="42" t="n"/>
      <c r="E54" s="42" t="n">
        <v>0.37</v>
      </c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</row>
    <row r="55" ht="14.25" customHeight="1" s="267">
      <c r="A55" s="4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 ht="14.25" customHeight="1" s="267">
      <c r="A56" s="25" t="inlineStr">
        <is>
          <t>Wear before the race</t>
        </is>
      </c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 ht="14.25" customHeight="1" s="267">
      <c r="A57" s="4" t="inlineStr">
        <is>
          <t>Chassis</t>
        </is>
      </c>
      <c r="B57" s="39" t="n"/>
      <c r="C57" s="40" t="n"/>
      <c r="D57" s="262" t="n">
        <v>0.45</v>
      </c>
      <c r="E57" s="40" t="n">
        <v>0.45</v>
      </c>
      <c r="F57" s="40" t="n"/>
      <c r="G57" s="40" t="n"/>
      <c r="H57" s="40" t="n"/>
      <c r="I57" s="40" t="n"/>
      <c r="J57" s="40" t="n"/>
      <c r="K57" s="40" t="n"/>
      <c r="L57" s="40" t="n"/>
      <c r="M57" s="40" t="n"/>
      <c r="N57" s="40" t="n"/>
      <c r="O57" s="40" t="n"/>
      <c r="P57" s="40" t="n"/>
      <c r="Q57" s="40" t="n"/>
      <c r="R57" s="40" t="n"/>
    </row>
    <row r="58" ht="14.25" customHeight="1" s="267">
      <c r="A58" s="4" t="inlineStr">
        <is>
          <t>Engine</t>
        </is>
      </c>
      <c r="B58" s="43" t="n"/>
      <c r="C58" s="41" t="n"/>
      <c r="D58" s="41" t="n">
        <v>0</v>
      </c>
      <c r="E58" s="41" t="n">
        <v>0</v>
      </c>
      <c r="F58" s="41" t="n"/>
      <c r="G58" s="41" t="n"/>
      <c r="H58" s="41" t="n"/>
      <c r="I58" s="41" t="n"/>
      <c r="J58" s="41" t="n"/>
      <c r="K58" s="41" t="n"/>
      <c r="L58" s="41" t="n"/>
      <c r="M58" s="41" t="n"/>
      <c r="N58" s="41" t="n"/>
      <c r="O58" s="41" t="n"/>
      <c r="P58" s="41" t="n"/>
      <c r="Q58" s="41" t="n"/>
      <c r="R58" s="41" t="n"/>
    </row>
    <row r="59" ht="14.25" customHeight="1" s="267">
      <c r="A59" s="4" t="inlineStr">
        <is>
          <t>Front Wing</t>
        </is>
      </c>
      <c r="B59" s="43" t="n"/>
      <c r="C59" s="41" t="n"/>
      <c r="D59" s="41" t="n">
        <v>0.55</v>
      </c>
      <c r="E59" s="41" t="n">
        <v>0.55</v>
      </c>
      <c r="F59" s="41" t="n"/>
      <c r="G59" s="41" t="n"/>
      <c r="H59" s="41" t="n"/>
      <c r="I59" s="41" t="n"/>
      <c r="J59" s="41" t="n"/>
      <c r="K59" s="41" t="n"/>
      <c r="L59" s="41" t="n"/>
      <c r="M59" s="41" t="n"/>
      <c r="N59" s="41" t="n"/>
      <c r="O59" s="41" t="n"/>
      <c r="P59" s="41" t="n"/>
      <c r="Q59" s="41" t="n"/>
      <c r="R59" s="41" t="n"/>
    </row>
    <row r="60" ht="14.25" customHeight="1" s="267">
      <c r="A60" s="4" t="inlineStr">
        <is>
          <t>Rear Wing</t>
        </is>
      </c>
      <c r="B60" s="43" t="n"/>
      <c r="C60" s="41" t="n"/>
      <c r="D60" s="41" t="n">
        <v>0.46</v>
      </c>
      <c r="E60" s="41" t="n">
        <v>0.46</v>
      </c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41" t="n"/>
    </row>
    <row r="61" ht="14.25" customHeight="1" s="267">
      <c r="A61" s="4" t="inlineStr">
        <is>
          <t>Underbody</t>
        </is>
      </c>
      <c r="B61" s="43" t="n"/>
      <c r="C61" s="41" t="n"/>
      <c r="D61" s="41" t="n">
        <v>0.47</v>
      </c>
      <c r="E61" s="41" t="n">
        <v>0.47</v>
      </c>
      <c r="F61" s="41" t="n"/>
      <c r="G61" s="41" t="n"/>
      <c r="H61" s="41" t="n"/>
      <c r="I61" s="41" t="n"/>
      <c r="J61" s="41" t="n"/>
      <c r="K61" s="41" t="n"/>
      <c r="L61" s="41" t="n"/>
      <c r="M61" s="41" t="n"/>
      <c r="N61" s="41" t="n"/>
      <c r="O61" s="41" t="n"/>
      <c r="P61" s="41" t="n"/>
      <c r="Q61" s="41" t="n"/>
      <c r="R61" s="41" t="n"/>
    </row>
    <row r="62" ht="14.25" customHeight="1" s="267">
      <c r="A62" s="4" t="inlineStr">
        <is>
          <t>Sidepods</t>
        </is>
      </c>
      <c r="B62" s="43" t="n"/>
      <c r="C62" s="41" t="n"/>
      <c r="D62" s="41" t="n">
        <v>0.52</v>
      </c>
      <c r="E62" s="41" t="n">
        <v>0.52</v>
      </c>
      <c r="F62" s="41" t="n"/>
      <c r="G62" s="41" t="n"/>
      <c r="H62" s="41" t="n"/>
      <c r="I62" s="41" t="n"/>
      <c r="J62" s="41" t="n"/>
      <c r="K62" s="41" t="n"/>
      <c r="L62" s="41" t="n"/>
      <c r="M62" s="41" t="n"/>
      <c r="N62" s="41" t="n"/>
      <c r="O62" s="41" t="n"/>
      <c r="P62" s="41" t="n"/>
      <c r="Q62" s="41" t="n"/>
      <c r="R62" s="41" t="n"/>
    </row>
    <row r="63" ht="14.25" customHeight="1" s="267">
      <c r="A63" s="4" t="inlineStr">
        <is>
          <t>Cooling</t>
        </is>
      </c>
      <c r="B63" s="43" t="n"/>
      <c r="C63" s="41" t="n"/>
      <c r="D63" s="41" t="n">
        <v>0.53</v>
      </c>
      <c r="E63" s="41" t="n">
        <v>0.53</v>
      </c>
      <c r="F63" s="41" t="n"/>
      <c r="G63" s="41" t="n"/>
      <c r="H63" s="41" t="n"/>
      <c r="I63" s="41" t="n"/>
      <c r="J63" s="41" t="n"/>
      <c r="K63" s="41" t="n"/>
      <c r="L63" s="41" t="n"/>
      <c r="M63" s="41" t="n"/>
      <c r="N63" s="41" t="n"/>
      <c r="O63" s="41" t="n"/>
      <c r="P63" s="41" t="n"/>
      <c r="Q63" s="41" t="n"/>
      <c r="R63" s="41" t="n"/>
    </row>
    <row r="64" ht="14.25" customHeight="1" s="267">
      <c r="A64" s="4" t="inlineStr">
        <is>
          <t>Gearbox</t>
        </is>
      </c>
      <c r="B64" s="43" t="n"/>
      <c r="C64" s="41" t="n"/>
      <c r="D64" s="41" t="n">
        <v>0.63</v>
      </c>
      <c r="E64" s="41" t="n">
        <v>0.63</v>
      </c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41" t="n"/>
    </row>
    <row r="65" ht="14.25" customHeight="1" s="267">
      <c r="A65" s="4" t="inlineStr">
        <is>
          <t>Brakes</t>
        </is>
      </c>
      <c r="B65" s="43" t="n"/>
      <c r="C65" s="41" t="n"/>
      <c r="D65" s="41" t="n">
        <v>0.64</v>
      </c>
      <c r="E65" s="41" t="n">
        <v>0.64</v>
      </c>
      <c r="F65" s="41" t="n"/>
      <c r="G65" s="41" t="n"/>
      <c r="H65" s="41" t="n"/>
      <c r="I65" s="41" t="n"/>
      <c r="J65" s="41" t="n"/>
      <c r="K65" s="41" t="n"/>
      <c r="L65" s="41" t="n"/>
      <c r="M65" s="41" t="n"/>
      <c r="N65" s="41" t="n"/>
      <c r="O65" s="41" t="n"/>
      <c r="P65" s="41" t="n"/>
      <c r="Q65" s="41" t="n"/>
      <c r="R65" s="41" t="n"/>
    </row>
    <row r="66" ht="14.25" customHeight="1" s="267">
      <c r="A66" s="4" t="inlineStr">
        <is>
          <t>Suspension</t>
        </is>
      </c>
      <c r="B66" s="43" t="n"/>
      <c r="C66" s="41" t="n"/>
      <c r="D66" s="41" t="n">
        <v>0.61</v>
      </c>
      <c r="E66" s="41" t="n">
        <v>0.61</v>
      </c>
      <c r="F66" s="41" t="n"/>
      <c r="G66" s="41" t="n"/>
      <c r="H66" s="41" t="n"/>
      <c r="I66" s="41" t="n"/>
      <c r="J66" s="41" t="n"/>
      <c r="K66" s="41" t="n"/>
      <c r="L66" s="41" t="n"/>
      <c r="M66" s="41" t="n"/>
      <c r="N66" s="41" t="n"/>
      <c r="O66" s="41" t="n"/>
      <c r="P66" s="41" t="n"/>
      <c r="Q66" s="41" t="n"/>
      <c r="R66" s="41" t="n"/>
    </row>
    <row r="67" ht="14.25" customHeight="1" s="267">
      <c r="A67" s="4" t="inlineStr">
        <is>
          <t>Electronics</t>
        </is>
      </c>
      <c r="B67" s="44" t="n"/>
      <c r="C67" s="42" t="n"/>
      <c r="D67" s="263" t="n">
        <v>0.37</v>
      </c>
      <c r="E67" s="42" t="n">
        <v>0.37</v>
      </c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</row>
    <row r="68" ht="14.25" customHeight="1" s="267">
      <c r="A68" s="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</row>
    <row r="69" ht="14.25" customHeight="1" s="267">
      <c r="A69" s="25" t="inlineStr">
        <is>
          <t>Testing wear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</row>
    <row r="70" ht="14.25" customHeight="1" s="267">
      <c r="A70" s="4" t="inlineStr">
        <is>
          <t>Chassis</t>
        </is>
      </c>
      <c r="B70" s="39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</row>
    <row r="71" ht="14.25" customHeight="1" s="267">
      <c r="A71" s="4" t="inlineStr">
        <is>
          <t>Engine</t>
        </is>
      </c>
      <c r="B71" s="4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 ht="14.25" customHeight="1" s="267">
      <c r="A72" s="4" t="inlineStr">
        <is>
          <t>Front Wing</t>
        </is>
      </c>
      <c r="B72" s="4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</row>
    <row r="73" ht="14.25" customHeight="1" s="267">
      <c r="A73" s="4" t="inlineStr">
        <is>
          <t>Rear Wing</t>
        </is>
      </c>
      <c r="B73" s="4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</row>
    <row r="74" ht="14.25" customHeight="1" s="267">
      <c r="A74" s="4" t="inlineStr">
        <is>
          <t>Underbody</t>
        </is>
      </c>
      <c r="B74" s="4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</row>
    <row r="75" ht="14.25" customHeight="1" s="267">
      <c r="A75" s="4" t="inlineStr">
        <is>
          <t>Sidepods</t>
        </is>
      </c>
      <c r="B75" s="4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</row>
    <row r="76" ht="14.25" customHeight="1" s="267">
      <c r="A76" s="4" t="inlineStr">
        <is>
          <t>Cooling</t>
        </is>
      </c>
      <c r="B76" s="4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 ht="14.25" customHeight="1" s="267">
      <c r="A77" s="4" t="inlineStr">
        <is>
          <t>Gearbox</t>
        </is>
      </c>
      <c r="B77" s="4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</row>
    <row r="78" ht="14.25" customHeight="1" s="267">
      <c r="A78" s="4" t="inlineStr">
        <is>
          <t>Brakes</t>
        </is>
      </c>
      <c r="B78" s="4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</row>
    <row r="79" ht="14.25" customHeight="1" s="267">
      <c r="A79" s="4" t="inlineStr">
        <is>
          <t>Suspension</t>
        </is>
      </c>
      <c r="B79" s="4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 ht="14.25" customHeight="1" s="267">
      <c r="A80" s="4" t="inlineStr">
        <is>
          <t>Electronics</t>
        </is>
      </c>
      <c r="B80" s="44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</row>
    <row r="81" ht="14.25" customHeight="1" s="267">
      <c r="A81" s="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 ht="14.25" customHeight="1" s="267">
      <c r="A82" s="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 ht="14.25" customHeight="1" s="267">
      <c r="A84" s="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</row>
    <row r="85" ht="14.25" customHeight="1" s="267">
      <c r="A85" s="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</row>
    <row r="86" ht="14.25" customHeight="1" s="267">
      <c r="A86" s="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</row>
    <row r="87" ht="14.25" customHeight="1" s="267">
      <c r="A87" s="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</row>
    <row r="88" ht="14.25" customHeight="1" s="267">
      <c r="A88" s="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</row>
    <row r="89" ht="14.25" customHeight="1" s="267">
      <c r="A89" s="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</row>
    <row r="90" ht="14.25" customHeight="1" s="267">
      <c r="A90" s="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</row>
    <row r="91" ht="14.25" customHeight="1" s="267">
      <c r="A91" s="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  <row r="92" ht="14.25" customHeight="1" s="267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</row>
    <row r="93" ht="14.25" customHeight="1" s="267">
      <c r="A93" s="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</row>
    <row r="94" ht="14.25" customHeight="1" s="267">
      <c r="A94" s="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</row>
    <row r="95" ht="14.25" customHeight="1" s="267">
      <c r="A95" s="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</row>
    <row r="97" ht="14.25" customHeight="1" s="267">
      <c r="A97" s="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</row>
    <row r="98" ht="14.25" customHeight="1" s="267">
      <c r="A98" s="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</row>
    <row r="99" ht="14.25" customHeight="1" s="267">
      <c r="A99" s="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</row>
    <row r="100" ht="14.25" customHeight="1" s="267">
      <c r="A100" s="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</row>
  </sheetData>
  <pageMargins left="0.75" right="0.75" top="1" bottom="1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baseColWidth="10" defaultColWidth="14.5" defaultRowHeight="15" customHeight="1"/>
  <cols>
    <col width="22.1640625" customWidth="1" style="267" min="1" max="1"/>
    <col width="11.5" customWidth="1" style="267" min="2" max="18"/>
    <col width="9.1640625" customWidth="1" style="267" min="19" max="20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4" t="n"/>
      <c r="T1" s="45" t="n"/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  <c r="S2" s="4" t="n"/>
      <c r="T2" s="45" t="n"/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4" t="n"/>
      <c r="T3" s="45" t="n"/>
    </row>
    <row r="4" ht="14.25" customHeight="1" s="267">
      <c r="A4" s="25" t="inlineStr">
        <is>
          <t>Results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4" t="n"/>
      <c r="T4" s="45" t="n"/>
    </row>
    <row r="5" ht="14.25" customHeight="1" s="267">
      <c r="A5" s="4" t="inlineStr">
        <is>
          <t>Qualify</t>
        </is>
      </c>
      <c r="B5" s="9" t="n">
        <v>0</v>
      </c>
      <c r="C5" s="9" t="n">
        <v>0</v>
      </c>
      <c r="D5" s="9" t="n">
        <v>0</v>
      </c>
      <c r="E5" s="9" t="n">
        <v>15</v>
      </c>
      <c r="F5" s="9" t="n">
        <v>15</v>
      </c>
      <c r="G5" s="9" t="n">
        <v>5</v>
      </c>
      <c r="H5" s="9" t="n">
        <v>15</v>
      </c>
      <c r="I5" s="9" t="n">
        <v>15</v>
      </c>
      <c r="J5" s="9" t="n">
        <v>15</v>
      </c>
      <c r="K5" s="9" t="n">
        <v>15</v>
      </c>
      <c r="L5" s="9" t="n">
        <v>15</v>
      </c>
      <c r="M5" s="9" t="n">
        <v>15</v>
      </c>
      <c r="N5" s="9" t="n">
        <v>15</v>
      </c>
      <c r="O5" s="9" t="n">
        <v>6</v>
      </c>
      <c r="P5" s="9" t="n">
        <v>15</v>
      </c>
      <c r="Q5" s="9" t="n">
        <v>15</v>
      </c>
      <c r="R5" s="9" t="n">
        <v>15</v>
      </c>
      <c r="S5" s="4" t="n"/>
      <c r="T5" s="45" t="inlineStr">
        <is>
          <t>Expected qualify position as number</t>
        </is>
      </c>
    </row>
    <row r="6" ht="14.25" customHeight="1" s="267">
      <c r="A6" s="4" t="inlineStr">
        <is>
          <t>Race</t>
        </is>
      </c>
      <c r="B6" s="3" t="n">
        <v>0</v>
      </c>
      <c r="C6" s="3" t="n">
        <v>0</v>
      </c>
      <c r="D6" s="3" t="n">
        <v>0</v>
      </c>
      <c r="E6" s="3" t="n">
        <v>15</v>
      </c>
      <c r="F6" s="3" t="n">
        <v>15</v>
      </c>
      <c r="G6" s="3" t="n">
        <v>5</v>
      </c>
      <c r="H6" s="3" t="n">
        <v>15</v>
      </c>
      <c r="I6" s="3" t="n">
        <v>15</v>
      </c>
      <c r="J6" s="3" t="n">
        <v>15</v>
      </c>
      <c r="K6" s="3" t="n">
        <v>15</v>
      </c>
      <c r="L6" s="3" t="n">
        <v>15</v>
      </c>
      <c r="M6" s="3" t="n">
        <v>15</v>
      </c>
      <c r="N6" s="3" t="n">
        <v>15</v>
      </c>
      <c r="O6" s="3" t="n">
        <v>5</v>
      </c>
      <c r="P6" s="3" t="n">
        <v>15</v>
      </c>
      <c r="Q6" s="3" t="n">
        <v>15</v>
      </c>
      <c r="R6" s="3" t="n">
        <v>15</v>
      </c>
      <c r="S6" s="4" t="n"/>
      <c r="T6" s="45" t="inlineStr">
        <is>
          <t>Expected race position as number</t>
        </is>
      </c>
    </row>
    <row r="7" ht="14.25" customHeight="1" s="267">
      <c r="A7" s="4" t="inlineStr">
        <is>
          <t>Fastest lap</t>
        </is>
      </c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46" t="n"/>
      <c r="S7" s="4" t="n"/>
      <c r="T7" s="45" t="inlineStr">
        <is>
          <t>"x" or whatever if you think you will get the fastest lap</t>
        </is>
      </c>
    </row>
    <row r="8" ht="14.25" customHeight="1" s="267">
      <c r="A8" s="4" t="inlineStr">
        <is>
          <t>Cup</t>
        </is>
      </c>
      <c r="B8" s="47" t="n"/>
      <c r="C8" s="27" t="inlineStr">
        <is>
          <t>x</t>
        </is>
      </c>
      <c r="D8" s="48" t="n"/>
      <c r="E8" s="49" t="n"/>
      <c r="F8" s="27" t="inlineStr">
        <is>
          <t>x</t>
        </is>
      </c>
      <c r="G8" s="48" t="n"/>
      <c r="H8" s="49" t="n"/>
      <c r="I8" s="27" t="n"/>
      <c r="J8" s="48" t="n"/>
      <c r="K8" s="49" t="n"/>
      <c r="L8" s="27" t="n"/>
      <c r="M8" s="48" t="n"/>
      <c r="N8" s="49" t="n"/>
      <c r="O8" s="27" t="n"/>
      <c r="P8" s="48" t="n"/>
      <c r="Q8" s="49" t="n"/>
      <c r="R8" s="46" t="n"/>
      <c r="S8" s="4" t="n"/>
      <c r="T8" s="45" t="inlineStr">
        <is>
          <t>"x" or whatever if you think you will progress in the cup</t>
        </is>
      </c>
    </row>
    <row r="9" ht="14.25" customHeight="1" s="267">
      <c r="A9" s="4" t="inlineStr">
        <is>
          <t>Non-finish</t>
        </is>
      </c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50" t="n"/>
      <c r="S9" s="4" t="n"/>
      <c r="T9" s="45" t="n"/>
    </row>
    <row r="10" ht="14.25" customHeight="1" s="267">
      <c r="A10" s="4" t="n"/>
      <c r="B10" s="51" t="n"/>
      <c r="C10" s="51" t="n"/>
      <c r="D10" s="51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4" t="n"/>
      <c r="T10" s="45" t="n"/>
    </row>
    <row r="11" ht="14.25" customHeight="1" s="267">
      <c r="A11" s="4" t="inlineStr">
        <is>
          <t>Sponsor income</t>
        </is>
      </c>
      <c r="B11" s="30" t="n">
        <v>798828</v>
      </c>
      <c r="C11" s="30" t="n">
        <v>798828</v>
      </c>
      <c r="D11" s="30" t="n">
        <v>798828</v>
      </c>
      <c r="E11" s="30" t="n">
        <v>798828</v>
      </c>
      <c r="F11" s="30" t="n">
        <v>798828</v>
      </c>
      <c r="G11" s="30" t="n">
        <v>798828</v>
      </c>
      <c r="H11" s="30" t="n">
        <v>798828</v>
      </c>
      <c r="I11" s="30" t="n">
        <v>798828</v>
      </c>
      <c r="J11" s="30" t="n">
        <v>798828</v>
      </c>
      <c r="K11" s="30" t="n">
        <v>798828</v>
      </c>
      <c r="L11" s="30" t="n">
        <v>798828</v>
      </c>
      <c r="M11" s="30" t="n">
        <v>798828</v>
      </c>
      <c r="N11" s="30" t="n">
        <v>798828</v>
      </c>
      <c r="O11" s="30" t="n">
        <v>798828</v>
      </c>
      <c r="P11" s="30" t="n">
        <v>798828</v>
      </c>
      <c r="Q11" s="30" t="n"/>
      <c r="R11" s="30" t="n"/>
      <c r="S11" s="4" t="n"/>
      <c r="T11" s="45" t="n"/>
    </row>
    <row r="12" ht="14.25" customHeight="1" s="267">
      <c r="A12" s="4" t="n"/>
      <c r="B12" s="51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4" t="n"/>
      <c r="T12" s="45" t="n"/>
    </row>
    <row r="13" ht="14.25" customHeight="1" s="267">
      <c r="A13" s="4" t="inlineStr">
        <is>
          <t>Practice laps done</t>
        </is>
      </c>
      <c r="B13" s="27" t="n">
        <v>2</v>
      </c>
      <c r="C13" s="27" t="n">
        <v>2</v>
      </c>
      <c r="D13" s="27" t="n">
        <v>2</v>
      </c>
      <c r="E13" s="27" t="n">
        <v>2</v>
      </c>
      <c r="F13" s="27" t="n">
        <v>2</v>
      </c>
      <c r="G13" s="27" t="n">
        <v>2</v>
      </c>
      <c r="H13" s="27" t="n">
        <v>2</v>
      </c>
      <c r="I13" s="27" t="n">
        <v>2</v>
      </c>
      <c r="J13" s="27" t="n">
        <v>2</v>
      </c>
      <c r="K13" s="27" t="n">
        <v>2</v>
      </c>
      <c r="L13" s="27" t="n">
        <v>2</v>
      </c>
      <c r="M13" s="27" t="n">
        <v>2</v>
      </c>
      <c r="N13" s="27" t="n">
        <v>2</v>
      </c>
      <c r="O13" s="27" t="n">
        <v>2</v>
      </c>
      <c r="P13" s="27" t="n">
        <v>2</v>
      </c>
      <c r="Q13" s="27" t="n">
        <v>2</v>
      </c>
      <c r="R13" s="27" t="n">
        <v>2</v>
      </c>
      <c r="S13" s="4" t="n"/>
      <c r="T13" s="45" t="n"/>
    </row>
    <row r="14" ht="14.25" customHeight="1" s="267">
      <c r="A14" s="4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4" t="n"/>
      <c r="T14" s="45" t="n"/>
    </row>
    <row r="15" ht="14.25" customHeight="1" s="267">
      <c r="A15" s="4" t="inlineStr">
        <is>
          <t>Season position</t>
        </is>
      </c>
      <c r="B15" s="5" t="n">
        <v>15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4" t="n"/>
      <c r="T15" s="45" t="n"/>
    </row>
    <row r="16" ht="14.25" customHeight="1" s="267">
      <c r="A16" s="4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4" t="n"/>
      <c r="T16" s="45" t="n"/>
    </row>
    <row r="17" ht="14.25" customHeight="1" s="267">
      <c r="A17" s="52" t="inlineStr">
        <is>
          <t>DRIVER TRAINING</t>
        </is>
      </c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4" t="n"/>
      <c r="T17" s="45" t="n"/>
    </row>
    <row r="18" ht="14.25" customHeight="1" s="267">
      <c r="A18" s="53" t="inlineStr">
        <is>
          <t>Fitness Class</t>
        </is>
      </c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54" t="n"/>
      <c r="S18" s="4" t="n"/>
      <c r="T18" s="45" t="inlineStr">
        <is>
          <t>"x" or whatever if you plan to do that training</t>
        </is>
      </c>
    </row>
    <row r="19" ht="14.25" customHeight="1" s="267">
      <c r="A19" s="53" t="inlineStr">
        <is>
          <t>Yoga</t>
        </is>
      </c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46" t="n"/>
      <c r="S19" s="4" t="n"/>
      <c r="T19" s="45" t="n"/>
    </row>
    <row r="20" ht="14.25" customHeight="1" s="267">
      <c r="A20" s="53" t="inlineStr">
        <is>
          <t>PR Training</t>
        </is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46" t="n"/>
      <c r="S20" s="4" t="n"/>
      <c r="T20" s="45" t="n"/>
    </row>
    <row r="21" ht="14.25" customHeight="1" s="267">
      <c r="A21" s="53" t="inlineStr">
        <is>
          <t>Tech Training</t>
        </is>
      </c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46" t="n"/>
      <c r="S21" s="4" t="n"/>
      <c r="T21" s="45" t="n"/>
    </row>
    <row r="22" ht="14.25" customHeight="1" s="267">
      <c r="A22" s="53" t="inlineStr">
        <is>
          <t>Sports Psychologist</t>
        </is>
      </c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46" t="n"/>
      <c r="S22" s="4" t="n"/>
      <c r="T22" s="45" t="n"/>
    </row>
    <row r="23" ht="14.25" customHeight="1" s="267">
      <c r="A23" s="53" t="inlineStr">
        <is>
          <t>Ninja Class</t>
        </is>
      </c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4" t="n"/>
      <c r="T23" s="45" t="n"/>
    </row>
    <row r="24" ht="14.25" customHeight="1" s="267">
      <c r="A24" s="53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4" t="n"/>
      <c r="T24" s="45" t="n"/>
    </row>
    <row r="25" ht="14.25" customHeight="1" s="267">
      <c r="A25" s="52" t="inlineStr">
        <is>
          <t>STAFF TRAINING</t>
        </is>
      </c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4" t="n"/>
      <c r="T25" s="45" t="n"/>
    </row>
    <row r="26" ht="14.25" customHeight="1" s="267">
      <c r="A26" s="53" t="inlineStr">
        <is>
          <t>Stress Handling</t>
        </is>
      </c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54" t="n"/>
      <c r="S26" s="4" t="n"/>
      <c r="T26" s="45" t="inlineStr">
        <is>
          <t>"x" or whatever if you plan to do that training</t>
        </is>
      </c>
    </row>
    <row r="27" ht="14.25" customHeight="1" s="267">
      <c r="A27" s="53" t="inlineStr">
        <is>
          <t>Concentration</t>
        </is>
      </c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46" t="n"/>
      <c r="S27" s="4" t="n"/>
      <c r="T27" s="45" t="n"/>
    </row>
    <row r="28" ht="14.25" customHeight="1" s="267">
      <c r="A28" s="53" t="inlineStr">
        <is>
          <t>Efficiency</t>
        </is>
      </c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50" t="n"/>
      <c r="S28" s="4" t="n"/>
      <c r="T28" s="45" t="n"/>
    </row>
    <row r="29" ht="14.25" customHeight="1" s="267">
      <c r="A29" s="53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4" t="n"/>
      <c r="T29" s="45" t="n"/>
    </row>
    <row r="30" ht="14.25" customHeight="1" s="267">
      <c r="A30" s="52" t="inlineStr">
        <is>
          <t>FACILITIES</t>
        </is>
      </c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4" t="n"/>
      <c r="T30" s="45" t="n"/>
    </row>
    <row r="31" ht="14.25" customHeight="1" s="267">
      <c r="A31" s="53" t="inlineStr">
        <is>
          <t>Windtunnel</t>
        </is>
      </c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54" t="n"/>
      <c r="S31" s="4" t="n"/>
      <c r="T31" s="45" t="inlineStr">
        <is>
          <t>Number of levels you plan to upgrade by (not to)</t>
        </is>
      </c>
    </row>
    <row r="32" ht="14.25" customHeight="1" s="267">
      <c r="A32" s="53" t="inlineStr">
        <is>
          <t>Pit Stop Training Centre</t>
        </is>
      </c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46" t="n"/>
      <c r="S32" s="4" t="n"/>
      <c r="T32" s="45" t="inlineStr">
        <is>
          <t>Negative if downgrade</t>
        </is>
      </c>
    </row>
    <row r="33" ht="14.25" customHeight="1" s="267">
      <c r="A33" s="53" t="inlineStr">
        <is>
          <t>R&amp;D Workshop</t>
        </is>
      </c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46" t="n"/>
      <c r="S33" s="4" t="n"/>
      <c r="T33" s="45" t="n"/>
    </row>
    <row r="34" ht="14.25" customHeight="1" s="267">
      <c r="A34" s="53" t="inlineStr">
        <is>
          <t>R&amp;D Design Centre</t>
        </is>
      </c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46" t="n"/>
      <c r="S34" s="4" t="n"/>
      <c r="T34" s="45" t="n"/>
    </row>
    <row r="35" ht="14.25" customHeight="1" s="267">
      <c r="A35" s="53" t="inlineStr">
        <is>
          <t>Engineering Workshop</t>
        </is>
      </c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46" t="n"/>
      <c r="S35" s="4" t="n"/>
      <c r="T35" s="45" t="n"/>
    </row>
    <row r="36" ht="14.25" customHeight="1" s="267">
      <c r="A36" s="53" t="inlineStr">
        <is>
          <t>Alloy &amp; Chemical Lab</t>
        </is>
      </c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46" t="n"/>
      <c r="S36" s="4" t="n"/>
      <c r="T36" s="45" t="n"/>
    </row>
    <row r="37" ht="14.25" customHeight="1" s="267">
      <c r="A37" s="53" t="inlineStr">
        <is>
          <t>Commercial</t>
        </is>
      </c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50" t="n"/>
      <c r="S37" s="4" t="n"/>
      <c r="T37" s="45" t="n"/>
    </row>
    <row r="38" ht="14.25" customHeight="1" s="267">
      <c r="A38" s="4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4" t="n"/>
      <c r="T38" s="45" t="n"/>
    </row>
    <row r="39" ht="14.25" customHeight="1" s="267">
      <c r="A39" s="25" t="inlineStr">
        <is>
          <t>Other costs</t>
        </is>
      </c>
      <c r="B39" s="55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6" t="n"/>
      <c r="S39" s="4" t="n"/>
      <c r="T39" s="45" t="n"/>
    </row>
    <row r="40" ht="14.25" customHeight="1" s="267">
      <c r="A40" s="4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4" t="n"/>
      <c r="T40" s="45" t="n"/>
    </row>
    <row r="41" ht="14.25" customHeight="1" s="267">
      <c r="A41" s="4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4" t="n"/>
      <c r="T41" s="45" t="n"/>
    </row>
    <row r="42" ht="14.25" customHeight="1" s="267">
      <c r="A42" s="4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4" t="n"/>
      <c r="T42" s="45" t="n"/>
    </row>
    <row r="43" ht="14.25" customHeight="1" s="267">
      <c r="A43" s="4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4" t="n"/>
      <c r="T43" s="45" t="n"/>
    </row>
    <row r="44" ht="14.25" customHeight="1" s="267">
      <c r="A44" s="4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4" t="n"/>
      <c r="T44" s="45" t="n"/>
    </row>
    <row r="45" ht="14.25" customHeight="1" s="267">
      <c r="A45" s="4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4" t="n"/>
      <c r="T45" s="45" t="n"/>
    </row>
    <row r="46" ht="14.25" customHeight="1" s="267">
      <c r="A46" s="4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4" t="n"/>
      <c r="T46" s="45" t="n"/>
    </row>
    <row r="47" ht="14.25" customHeight="1" s="267">
      <c r="A47" s="4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4" t="n"/>
      <c r="T47" s="45" t="n"/>
    </row>
    <row r="48" ht="14.25" customHeight="1" s="267">
      <c r="A48" s="4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4" t="n"/>
      <c r="T48" s="45" t="n"/>
    </row>
    <row r="49" ht="14.25" customHeight="1" s="267">
      <c r="A49" s="4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4" t="n"/>
      <c r="T49" s="45" t="n"/>
    </row>
    <row r="50" ht="14.25" customHeight="1" s="267">
      <c r="A50" s="4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4" t="n"/>
      <c r="T50" s="45" t="n"/>
    </row>
    <row r="51" ht="14.25" customHeight="1" s="267">
      <c r="A51" s="4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4" t="n"/>
      <c r="T51" s="45" t="n"/>
    </row>
    <row r="52" ht="14.25" customHeight="1" s="267">
      <c r="A52" s="4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4" t="n"/>
      <c r="T52" s="45" t="n"/>
    </row>
    <row r="53" ht="14.25" customHeight="1" s="267">
      <c r="A53" s="4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4" t="n"/>
      <c r="T53" s="45" t="n"/>
    </row>
    <row r="54" ht="14.25" customHeight="1" s="267">
      <c r="A54" s="4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4" t="n"/>
      <c r="T54" s="45" t="n"/>
    </row>
    <row r="55" ht="14.25" customHeight="1" s="267">
      <c r="A55" s="4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4" t="n"/>
      <c r="T55" s="45" t="n"/>
    </row>
    <row r="56" ht="14.25" customHeight="1" s="267">
      <c r="A56" s="4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4" t="n"/>
      <c r="T56" s="45" t="n"/>
    </row>
    <row r="57" ht="14.25" customHeight="1" s="267">
      <c r="A57" s="4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4" t="n"/>
      <c r="T57" s="45" t="n"/>
    </row>
    <row r="58" ht="14.25" customHeight="1" s="267">
      <c r="A58" s="4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4" t="n"/>
      <c r="T58" s="45" t="n"/>
    </row>
    <row r="59" ht="14.25" customHeight="1" s="267">
      <c r="A59" s="4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4" t="n"/>
      <c r="T59" s="45" t="n"/>
    </row>
    <row r="60" ht="14.25" customHeight="1" s="267">
      <c r="A60" s="4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4" t="n"/>
      <c r="T60" s="45" t="n"/>
    </row>
    <row r="61" ht="14.25" customHeight="1" s="267">
      <c r="A61" s="4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4" t="n"/>
      <c r="T61" s="45" t="n"/>
    </row>
    <row r="62" ht="14.25" customHeight="1" s="267">
      <c r="A62" s="4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4" t="n"/>
      <c r="T62" s="45" t="n"/>
    </row>
    <row r="63" ht="14.25" customHeight="1" s="267">
      <c r="A63" s="4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4" t="n"/>
      <c r="T63" s="45" t="n"/>
    </row>
    <row r="64" ht="14.25" customHeight="1" s="267">
      <c r="A64" s="4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4" t="n"/>
      <c r="T64" s="45" t="n"/>
    </row>
    <row r="65" ht="14.25" customHeight="1" s="267">
      <c r="A65" s="4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4" t="n"/>
      <c r="T65" s="45" t="n"/>
    </row>
    <row r="66" ht="14.25" customHeight="1" s="267">
      <c r="A66" s="4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4" t="n"/>
      <c r="T66" s="45" t="n"/>
    </row>
    <row r="67" ht="14.25" customHeight="1" s="267">
      <c r="A67" s="4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4" t="n"/>
      <c r="T67" s="45" t="n"/>
    </row>
    <row r="68" ht="14.25" customHeight="1" s="267">
      <c r="A68" s="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4" t="n"/>
      <c r="T68" s="45" t="n"/>
    </row>
    <row r="69" ht="14.25" customHeight="1" s="267">
      <c r="A69" s="4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4" t="n"/>
      <c r="T69" s="45" t="n"/>
    </row>
    <row r="70" ht="14.25" customHeight="1" s="267">
      <c r="A70" s="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4" t="n"/>
      <c r="T70" s="45" t="n"/>
    </row>
    <row r="71" ht="14.25" customHeight="1" s="267">
      <c r="A71" s="4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4" t="n"/>
      <c r="T71" s="45" t="n"/>
    </row>
    <row r="72" ht="14.25" customHeight="1" s="267">
      <c r="A72" s="4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4" t="n"/>
      <c r="T72" s="45" t="n"/>
    </row>
    <row r="73" ht="14.25" customHeight="1" s="267">
      <c r="A73" s="4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4" t="n"/>
      <c r="T73" s="45" t="n"/>
    </row>
    <row r="74" ht="14.25" customHeight="1" s="267">
      <c r="A74" s="4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4" t="n"/>
      <c r="T74" s="45" t="n"/>
    </row>
    <row r="75" ht="14.25" customHeight="1" s="267">
      <c r="A75" s="4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4" t="n"/>
      <c r="T75" s="45" t="n"/>
    </row>
    <row r="76" ht="14.25" customHeight="1" s="267">
      <c r="A76" s="4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4" t="n"/>
      <c r="T76" s="45" t="n"/>
    </row>
    <row r="77" ht="14.25" customHeight="1" s="267">
      <c r="A77" s="4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4" t="n"/>
      <c r="T77" s="45" t="n"/>
    </row>
    <row r="78" ht="14.25" customHeight="1" s="267">
      <c r="A78" s="4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4" t="n"/>
      <c r="T78" s="45" t="n"/>
    </row>
    <row r="79" ht="14.25" customHeight="1" s="267">
      <c r="A79" s="4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4" t="n"/>
      <c r="T79" s="45" t="n"/>
    </row>
    <row r="80" ht="14.25" customHeight="1" s="267">
      <c r="A80" s="4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4" t="n"/>
      <c r="T80" s="45" t="n"/>
    </row>
    <row r="81" ht="14.25" customHeight="1" s="267">
      <c r="A81" s="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4" t="n"/>
      <c r="T81" s="45" t="n"/>
    </row>
    <row r="82" ht="14.25" customHeight="1" s="267">
      <c r="A82" s="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4" t="n"/>
      <c r="T82" s="45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4" t="n"/>
      <c r="T83" s="45" t="n"/>
    </row>
    <row r="84" ht="14.25" customHeight="1" s="267">
      <c r="A84" s="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4" t="n"/>
      <c r="T84" s="45" t="n"/>
    </row>
    <row r="85" ht="14.25" customHeight="1" s="267">
      <c r="A85" s="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4" t="n"/>
      <c r="T85" s="45" t="n"/>
    </row>
    <row r="86" ht="14.25" customHeight="1" s="267">
      <c r="A86" s="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4" t="n"/>
      <c r="T86" s="45" t="n"/>
    </row>
    <row r="87" ht="14.25" customHeight="1" s="267">
      <c r="A87" s="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4" t="n"/>
      <c r="T87" s="45" t="n"/>
    </row>
    <row r="88" ht="14.25" customHeight="1" s="267">
      <c r="A88" s="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4" t="n"/>
      <c r="T88" s="45" t="n"/>
    </row>
    <row r="89" ht="14.25" customHeight="1" s="267">
      <c r="A89" s="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4" t="n"/>
      <c r="T89" s="45" t="n"/>
    </row>
    <row r="90" ht="14.25" customHeight="1" s="267">
      <c r="A90" s="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4" t="n"/>
      <c r="T90" s="45" t="n"/>
    </row>
    <row r="91" ht="14.25" customHeight="1" s="267">
      <c r="A91" s="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4" t="n"/>
      <c r="T91" s="45" t="n"/>
    </row>
    <row r="92" ht="14.25" customHeight="1" s="267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4" t="n"/>
      <c r="T92" s="45" t="n"/>
    </row>
    <row r="93" ht="14.25" customHeight="1" s="267">
      <c r="A93" s="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4" t="n"/>
      <c r="T93" s="45" t="n"/>
    </row>
    <row r="94" ht="14.25" customHeight="1" s="267">
      <c r="A94" s="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4" t="n"/>
      <c r="T94" s="45" t="n"/>
    </row>
    <row r="95" ht="14.25" customHeight="1" s="267">
      <c r="A95" s="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4" t="n"/>
      <c r="T95" s="45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4" t="n"/>
      <c r="T96" s="45" t="n"/>
    </row>
    <row r="97" ht="14.25" customHeight="1" s="267">
      <c r="A97" s="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4" t="n"/>
      <c r="T97" s="45" t="n"/>
    </row>
    <row r="98" ht="14.25" customHeight="1" s="267">
      <c r="A98" s="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4" t="n"/>
      <c r="T98" s="45" t="n"/>
    </row>
    <row r="99" ht="14.25" customHeight="1" s="267">
      <c r="A99" s="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4" t="n"/>
      <c r="T99" s="45" t="n"/>
    </row>
    <row r="100" ht="14.25" customHeight="1" s="267">
      <c r="A100" s="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4" t="n"/>
      <c r="T100" s="45" t="n"/>
    </row>
  </sheetData>
  <dataValidations count="1">
    <dataValidation sqref="B9:R9" showDropDown="0" showInputMessage="0" showErrorMessage="1" allowBlank="0" type="list">
      <formula1>Nonfinish</formula1>
    </dataValidation>
  </dataValidation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00"/>
  <sheetViews>
    <sheetView topLeftCell="A7" workbookViewId="0">
      <selection activeCell="E23" sqref="E23"/>
    </sheetView>
  </sheetViews>
  <sheetFormatPr baseColWidth="10" defaultColWidth="14.5" defaultRowHeight="15" customHeight="1"/>
  <cols>
    <col width="10.6640625" customWidth="1" style="267" min="1" max="1"/>
    <col width="2.33203125" customWidth="1" style="267" min="2" max="2"/>
    <col width="11" customWidth="1" style="267" min="3" max="19"/>
    <col width="9.1640625" customWidth="1" style="267" min="20" max="20"/>
    <col width="3.33203125" customWidth="1" style="267" min="21" max="21"/>
    <col width="9" customWidth="1" style="267" min="22" max="22"/>
    <col width="9.1640625" customWidth="1" style="267" min="23" max="29"/>
    <col width="4.6640625" customWidth="1" style="267" min="30" max="46"/>
  </cols>
  <sheetData>
    <row r="1" ht="12.75" customHeight="1" s="267">
      <c r="A1" s="57" t="n"/>
      <c r="B1" s="57" t="n"/>
      <c r="C1" s="58" t="n">
        <v>1</v>
      </c>
      <c r="D1" s="59" t="n">
        <v>2</v>
      </c>
      <c r="E1" s="59" t="n">
        <v>3</v>
      </c>
      <c r="F1" s="59" t="n">
        <v>4</v>
      </c>
      <c r="G1" s="59" t="n">
        <v>5</v>
      </c>
      <c r="H1" s="59" t="n">
        <v>6</v>
      </c>
      <c r="I1" s="59" t="n">
        <v>7</v>
      </c>
      <c r="J1" s="59" t="n">
        <v>8</v>
      </c>
      <c r="K1" s="59" t="n">
        <v>9</v>
      </c>
      <c r="L1" s="59" t="n">
        <v>10</v>
      </c>
      <c r="M1" s="59" t="n">
        <v>11</v>
      </c>
      <c r="N1" s="59" t="n">
        <v>12</v>
      </c>
      <c r="O1" s="59" t="n">
        <v>13</v>
      </c>
      <c r="P1" s="59" t="n">
        <v>14</v>
      </c>
      <c r="Q1" s="59" t="n">
        <v>15</v>
      </c>
      <c r="R1" s="59" t="n">
        <v>16</v>
      </c>
      <c r="S1" s="60" t="n">
        <v>17</v>
      </c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57" t="n"/>
      <c r="AE1" s="57" t="n"/>
      <c r="AF1" s="57" t="n"/>
      <c r="AG1" s="57" t="n"/>
      <c r="AH1" s="57" t="n"/>
      <c r="AI1" s="57" t="n"/>
      <c r="AJ1" s="57" t="n"/>
      <c r="AK1" s="57" t="n"/>
      <c r="AL1" s="57" t="n"/>
      <c r="AM1" s="57" t="n"/>
      <c r="AN1" s="57" t="n"/>
      <c r="AO1" s="57" t="n"/>
      <c r="AP1" s="57" t="n"/>
      <c r="AQ1" s="57" t="n"/>
      <c r="AR1" s="57" t="n"/>
    </row>
    <row r="2" ht="12.75" customHeight="1" s="267">
      <c r="A2" s="61" t="inlineStr">
        <is>
          <t>Test laps</t>
        </is>
      </c>
      <c r="B2" s="62" t="n"/>
      <c r="C2" s="63">
        <f>'1 Season'!B$6</f>
        <v/>
      </c>
      <c r="D2" s="64">
        <f>'1 Season'!B$7</f>
        <v/>
      </c>
      <c r="E2" s="64">
        <f>'1 Season'!B$8</f>
        <v/>
      </c>
      <c r="F2" s="64">
        <f>'1 Season'!B$9</f>
        <v/>
      </c>
      <c r="G2" s="64">
        <f>'1 Season'!B$10</f>
        <v/>
      </c>
      <c r="H2" s="64">
        <f>'1 Season'!B$11</f>
        <v/>
      </c>
      <c r="I2" s="64">
        <f>'1 Season'!B$12</f>
        <v/>
      </c>
      <c r="J2" s="64">
        <f>'1 Season'!B$13</f>
        <v/>
      </c>
      <c r="K2" s="64">
        <f>'1 Season'!B$14</f>
        <v/>
      </c>
      <c r="L2" s="64">
        <f>'1 Season'!B$15</f>
        <v/>
      </c>
      <c r="M2" s="64">
        <f>'1 Season'!B$16</f>
        <v/>
      </c>
      <c r="N2" s="64">
        <f>'1 Season'!B$17</f>
        <v/>
      </c>
      <c r="O2" s="64">
        <f>'1 Season'!B$18</f>
        <v/>
      </c>
      <c r="P2" s="64">
        <f>'1 Season'!B$19</f>
        <v/>
      </c>
      <c r="Q2" s="64">
        <f>'1 Season'!B$20</f>
        <v/>
      </c>
      <c r="R2" s="64">
        <f>'1 Season'!B$21</f>
        <v/>
      </c>
      <c r="S2" s="65">
        <f>'1 Season'!B$22</f>
        <v/>
      </c>
      <c r="T2" s="57" t="n"/>
      <c r="U2" s="57" t="n"/>
      <c r="V2" s="57" t="n"/>
      <c r="W2" s="57" t="n"/>
      <c r="X2" s="57" t="n"/>
      <c r="Y2" s="57" t="n"/>
      <c r="Z2" s="57" t="n"/>
      <c r="AA2" s="57" t="n"/>
      <c r="AB2" s="57" t="n"/>
      <c r="AC2" s="57" t="n"/>
      <c r="AD2" s="57" t="n"/>
      <c r="AE2" s="57" t="n"/>
      <c r="AF2" s="57" t="n"/>
      <c r="AG2" s="57" t="n"/>
      <c r="AH2" s="57" t="n"/>
      <c r="AI2" s="57" t="n"/>
      <c r="AJ2" s="57" t="n"/>
      <c r="AK2" s="57" t="n"/>
      <c r="AL2" s="57" t="n"/>
      <c r="AM2" s="57" t="n"/>
      <c r="AN2" s="57" t="n"/>
      <c r="AO2" s="57" t="n"/>
      <c r="AP2" s="57" t="n"/>
      <c r="AQ2" s="57" t="n"/>
      <c r="AR2" s="57" t="n"/>
    </row>
    <row r="3" ht="12.75" customHeight="1" s="267">
      <c r="A3" s="66" t="inlineStr">
        <is>
          <t>Before upgr.</t>
        </is>
      </c>
      <c r="B3" s="62" t="n"/>
      <c r="C3" s="58" t="n">
        <v>100</v>
      </c>
      <c r="D3" s="59" t="n">
        <v>100</v>
      </c>
      <c r="E3" s="58" t="n">
        <v>100</v>
      </c>
      <c r="F3" s="59" t="n">
        <v>100</v>
      </c>
      <c r="G3" s="58" t="n">
        <v>100</v>
      </c>
      <c r="H3" s="59" t="n">
        <v>100</v>
      </c>
      <c r="I3" s="58" t="n">
        <v>100</v>
      </c>
      <c r="J3" s="59" t="n">
        <v>100</v>
      </c>
      <c r="K3" s="58" t="n">
        <v>100</v>
      </c>
      <c r="L3" s="59" t="n">
        <v>100</v>
      </c>
      <c r="M3" s="58" t="n">
        <v>100</v>
      </c>
      <c r="N3" s="59" t="n">
        <v>100</v>
      </c>
      <c r="O3" s="58" t="n">
        <v>100</v>
      </c>
      <c r="P3" s="59" t="n">
        <v>100</v>
      </c>
      <c r="Q3" s="58" t="n">
        <v>100</v>
      </c>
      <c r="R3" s="59" t="n">
        <v>100</v>
      </c>
      <c r="S3" s="58" t="n">
        <v>100</v>
      </c>
      <c r="T3" s="67" t="inlineStr">
        <is>
          <t>Testlaps</t>
        </is>
      </c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  <c r="AE3" s="57" t="n"/>
      <c r="AF3" s="57" t="n"/>
      <c r="AG3" s="57" t="n"/>
      <c r="AH3" s="57" t="n"/>
      <c r="AI3" s="57" t="n"/>
      <c r="AJ3" s="57" t="n"/>
      <c r="AK3" s="57" t="n"/>
      <c r="AL3" s="57" t="n"/>
      <c r="AM3" s="57" t="n"/>
      <c r="AN3" s="57" t="n"/>
      <c r="AO3" s="57" t="n"/>
      <c r="AP3" s="57" t="n"/>
      <c r="AQ3" s="57" t="n"/>
      <c r="AR3" s="57" t="n"/>
    </row>
    <row r="4" ht="12.75" customHeight="1" s="267">
      <c r="A4" s="68" t="inlineStr">
        <is>
          <t>After upgr.</t>
        </is>
      </c>
      <c r="B4" s="62" t="n"/>
      <c r="C4" s="69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1" t="n"/>
      <c r="T4" s="72">
        <f>SUM(C3:S4)</f>
        <v/>
      </c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57" t="n"/>
      <c r="AE4" s="57" t="n"/>
      <c r="AF4" s="57" t="n"/>
      <c r="AG4" s="57" t="n"/>
      <c r="AH4" s="57" t="n"/>
      <c r="AI4" s="57" t="n"/>
      <c r="AJ4" s="57" t="n"/>
      <c r="AK4" s="57" t="n"/>
      <c r="AL4" s="57" t="n"/>
      <c r="AM4" s="57" t="n"/>
      <c r="AN4" s="57" t="n"/>
      <c r="AO4" s="57" t="n"/>
      <c r="AP4" s="57" t="n"/>
      <c r="AQ4" s="57" t="n"/>
      <c r="AR4" s="57" t="n"/>
    </row>
    <row r="5" ht="12.75" customHeight="1" s="267">
      <c r="A5" s="73" t="inlineStr">
        <is>
          <t>Risk</t>
        </is>
      </c>
      <c r="B5" s="74" t="n"/>
      <c r="C5" s="58" t="n">
        <v>10</v>
      </c>
      <c r="D5" s="58" t="n">
        <v>10</v>
      </c>
      <c r="E5" s="58" t="n">
        <v>10</v>
      </c>
      <c r="F5" s="58" t="n">
        <v>10</v>
      </c>
      <c r="G5" s="58" t="n">
        <v>10</v>
      </c>
      <c r="H5" s="58" t="n">
        <v>10</v>
      </c>
      <c r="I5" s="58" t="n">
        <v>10</v>
      </c>
      <c r="J5" s="58" t="n">
        <v>10</v>
      </c>
      <c r="K5" s="58" t="n">
        <v>10</v>
      </c>
      <c r="L5" s="58" t="n">
        <v>10</v>
      </c>
      <c r="M5" s="58" t="n">
        <v>10</v>
      </c>
      <c r="N5" s="58" t="n">
        <v>10</v>
      </c>
      <c r="O5" s="58" t="n">
        <v>10</v>
      </c>
      <c r="P5" s="58" t="n">
        <v>10</v>
      </c>
      <c r="Q5" s="58" t="n">
        <v>10</v>
      </c>
      <c r="R5" s="58" t="n">
        <v>10</v>
      </c>
      <c r="S5" s="58" t="n">
        <v>10</v>
      </c>
      <c r="T5" s="75" t="n"/>
      <c r="U5" s="57" t="n"/>
      <c r="V5" s="57" t="inlineStr">
        <is>
          <t>Avg (if you haven't changed this will display in first 16 r/q results)</t>
        </is>
      </c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</row>
    <row r="6" ht="12.75" customHeight="1" s="267">
      <c r="A6" s="61" t="inlineStr">
        <is>
          <t>Qualify</t>
        </is>
      </c>
      <c r="B6" s="75" t="n"/>
      <c r="C6" s="58" t="n">
        <v>15</v>
      </c>
      <c r="D6" s="58" t="n">
        <v>15</v>
      </c>
      <c r="E6" s="58" t="n">
        <v>15</v>
      </c>
      <c r="F6" s="58" t="n">
        <v>15</v>
      </c>
      <c r="G6" s="58" t="n">
        <v>15</v>
      </c>
      <c r="H6" s="58" t="n">
        <v>5</v>
      </c>
      <c r="I6" s="58" t="n">
        <v>15</v>
      </c>
      <c r="J6" s="58" t="n">
        <v>15</v>
      </c>
      <c r="K6" s="58" t="n">
        <v>15</v>
      </c>
      <c r="L6" s="58" t="n">
        <v>8</v>
      </c>
      <c r="M6" s="58" t="n">
        <v>8</v>
      </c>
      <c r="N6" s="58" t="n">
        <v>8</v>
      </c>
      <c r="O6" s="58" t="n">
        <v>8</v>
      </c>
      <c r="P6" s="58" t="n">
        <v>8</v>
      </c>
      <c r="Q6" s="58" t="n">
        <v>8</v>
      </c>
      <c r="R6" s="58" t="n">
        <v>1</v>
      </c>
      <c r="S6" s="58" t="n">
        <v>1</v>
      </c>
      <c r="T6" s="62" t="n"/>
      <c r="U6" s="57" t="n"/>
      <c r="V6" s="57" t="n">
        <v>16</v>
      </c>
      <c r="W6" s="57" t="n"/>
      <c r="X6" s="57" t="n"/>
      <c r="Y6" s="57" t="n"/>
      <c r="Z6" s="57" t="n"/>
      <c r="AA6" s="57" t="n"/>
      <c r="AB6" s="57" t="n"/>
      <c r="AC6" s="57" t="n"/>
      <c r="AD6" s="57" t="n"/>
      <c r="AE6" s="57" t="n"/>
      <c r="AF6" s="57" t="n"/>
      <c r="AG6" s="57" t="n"/>
      <c r="AH6" s="57" t="n"/>
      <c r="AI6" s="57" t="n"/>
      <c r="AJ6" s="57" t="n"/>
      <c r="AK6" s="57" t="n"/>
      <c r="AL6" s="57" t="n"/>
      <c r="AM6" s="57" t="n"/>
      <c r="AN6" s="57" t="n"/>
      <c r="AO6" s="57" t="n"/>
      <c r="AP6" s="57" t="n"/>
      <c r="AQ6" s="57" t="n"/>
      <c r="AR6" s="57" t="n"/>
    </row>
    <row r="7" ht="12.75" customHeight="1" s="267">
      <c r="A7" s="68" t="inlineStr">
        <is>
          <t>Race</t>
        </is>
      </c>
      <c r="B7" s="76" t="n"/>
      <c r="C7" s="58" t="n">
        <v>10</v>
      </c>
      <c r="D7" s="58" t="n">
        <v>10</v>
      </c>
      <c r="E7" s="58" t="n">
        <v>10</v>
      </c>
      <c r="F7" s="58" t="n">
        <v>10</v>
      </c>
      <c r="G7" s="58" t="n">
        <v>10</v>
      </c>
      <c r="H7" s="58" t="n">
        <v>5</v>
      </c>
      <c r="I7" s="58" t="n">
        <v>10</v>
      </c>
      <c r="J7" s="58" t="n">
        <v>10</v>
      </c>
      <c r="K7" s="58" t="n">
        <v>10</v>
      </c>
      <c r="L7" s="58" t="n">
        <v>5</v>
      </c>
      <c r="M7" s="58" t="n">
        <v>5</v>
      </c>
      <c r="N7" s="58" t="n">
        <v>5</v>
      </c>
      <c r="O7" s="58" t="n">
        <v>5</v>
      </c>
      <c r="P7" s="58" t="n">
        <v>5</v>
      </c>
      <c r="Q7" s="58" t="n">
        <v>5</v>
      </c>
      <c r="R7" s="58" t="n">
        <v>1</v>
      </c>
      <c r="S7" s="58" t="n">
        <v>1</v>
      </c>
      <c r="T7" s="62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I7" s="57" t="n"/>
      <c r="AJ7" s="57" t="n"/>
      <c r="AK7" s="57" t="n"/>
      <c r="AL7" s="57" t="n"/>
      <c r="AM7" s="57" t="n"/>
      <c r="AN7" s="57" t="n"/>
      <c r="AO7" s="57" t="n"/>
      <c r="AP7" s="57" t="n"/>
      <c r="AQ7" s="57" t="n"/>
      <c r="AR7" s="57" t="n"/>
    </row>
    <row r="8" ht="12.75" customHeight="1" s="267">
      <c r="A8" s="77" t="inlineStr">
        <is>
          <t>FAV TRACK</t>
        </is>
      </c>
      <c r="B8" s="77" t="n"/>
      <c r="C8" s="70">
        <f>IF(ISNA(VLOOKUP(C2,'2 Stuff Data'!$B$57:$B$59,1,FALSE)),"","X")</f>
        <v/>
      </c>
      <c r="D8" s="57" t="n"/>
      <c r="E8" s="70">
        <f>IF(ISNA(VLOOKUP(E2,'2 Stuff Data'!$B$57:$B$59,1,FALSE)),"","X")</f>
        <v/>
      </c>
      <c r="F8" s="57" t="n"/>
      <c r="G8" s="70">
        <f>IF(ISNA(VLOOKUP(G2,'2 Stuff Data'!$B$57:$B$59,1,FALSE)),"","X")</f>
        <v/>
      </c>
      <c r="H8" s="57" t="n"/>
      <c r="I8" s="70">
        <f>IF(ISNA(VLOOKUP(I2,'2 Stuff Data'!$B$57:$B$59,1,FALSE)),"","X")</f>
        <v/>
      </c>
      <c r="J8" s="57" t="n"/>
      <c r="K8" s="70">
        <f>IF(ISNA(VLOOKUP(K2,'2 Stuff Data'!$B$57:$B$59,1,FALSE)),"","X")</f>
        <v/>
      </c>
      <c r="L8" s="57" t="n"/>
      <c r="M8" s="70">
        <f>IF(ISNA(VLOOKUP(M2,'2 Stuff Data'!$B$57:$B$59,1,FALSE)),"","X")</f>
        <v/>
      </c>
      <c r="N8" s="57" t="n"/>
      <c r="O8" s="70">
        <f>IF(ISNA(VLOOKUP(O2,'2 Stuff Data'!$B$57:$B$59,1,FALSE)),"","X")</f>
        <v/>
      </c>
      <c r="P8" s="57" t="n"/>
      <c r="Q8" s="70">
        <f>IF(ISNA(VLOOKUP(Q2,'2 Stuff Data'!$B$57:$B$59,1,FALSE)),"","X")</f>
        <v/>
      </c>
      <c r="R8" s="57" t="n"/>
      <c r="S8" s="78">
        <f>IF(ISNA(VLOOKUP(S2,'2 Stuff Data'!$B$57:$B$59,1,FALSE)),"","X")</f>
        <v/>
      </c>
      <c r="T8" s="57" t="n"/>
      <c r="U8" s="57" t="n"/>
      <c r="V8" s="57" t="n"/>
      <c r="W8" s="57" t="n"/>
      <c r="X8" s="57" t="n"/>
      <c r="Y8" s="57" t="n"/>
      <c r="Z8" s="57" t="n"/>
      <c r="AA8" s="57" t="n"/>
      <c r="AB8" s="57" t="n"/>
      <c r="AC8" s="57" t="n"/>
      <c r="AD8" s="57" t="n"/>
      <c r="AE8" s="57" t="n"/>
      <c r="AF8" s="57" t="n"/>
      <c r="AG8" s="57" t="n"/>
      <c r="AH8" s="57" t="n"/>
      <c r="AI8" s="57" t="n"/>
      <c r="AJ8" s="57" t="n"/>
      <c r="AK8" s="57" t="n"/>
      <c r="AL8" s="57" t="n"/>
      <c r="AM8" s="57" t="n"/>
      <c r="AN8" s="57" t="n"/>
      <c r="AO8" s="57" t="n"/>
      <c r="AP8" s="57" t="n"/>
      <c r="AQ8" s="57" t="n"/>
      <c r="AR8" s="57" t="n"/>
    </row>
    <row r="9" ht="12.75" customHeight="1" s="267">
      <c r="A9" s="57" t="inlineStr">
        <is>
          <t>Chassis</t>
        </is>
      </c>
      <c r="B9" s="57" t="n"/>
      <c r="C9" s="79">
        <f>'10 Calculated Part Data'!B98+'10 Calculated Part Data'!B124+'10 Calculated Part Data'!C59</f>
        <v/>
      </c>
      <c r="D9" s="80">
        <f>'10 Calculated Part Data'!C98+'10 Calculated Part Data'!C124+'10 Calculated Part Data'!D59</f>
        <v/>
      </c>
      <c r="E9" s="80">
        <f>'10 Calculated Part Data'!D98+'10 Calculated Part Data'!D124+'10 Calculated Part Data'!E59</f>
        <v/>
      </c>
      <c r="F9" s="80">
        <f>'10 Calculated Part Data'!E98+'10 Calculated Part Data'!E124+'10 Calculated Part Data'!F59</f>
        <v/>
      </c>
      <c r="G9" s="80">
        <f>'10 Calculated Part Data'!F98+'10 Calculated Part Data'!F124+'10 Calculated Part Data'!G59</f>
        <v/>
      </c>
      <c r="H9" s="80">
        <f>'10 Calculated Part Data'!G98+'10 Calculated Part Data'!G124+'10 Calculated Part Data'!H59</f>
        <v/>
      </c>
      <c r="I9" s="80">
        <f>'10 Calculated Part Data'!H98+'10 Calculated Part Data'!H124+'10 Calculated Part Data'!I59</f>
        <v/>
      </c>
      <c r="J9" s="80">
        <f>'10 Calculated Part Data'!I98+'10 Calculated Part Data'!I124+'10 Calculated Part Data'!J59</f>
        <v/>
      </c>
      <c r="K9" s="80">
        <f>'10 Calculated Part Data'!J98+'10 Calculated Part Data'!J124+'10 Calculated Part Data'!K59</f>
        <v/>
      </c>
      <c r="L9" s="80">
        <f>'10 Calculated Part Data'!K98+'10 Calculated Part Data'!K124+'10 Calculated Part Data'!L59</f>
        <v/>
      </c>
      <c r="M9" s="80">
        <f>'10 Calculated Part Data'!L98+'10 Calculated Part Data'!L124+'10 Calculated Part Data'!M59</f>
        <v/>
      </c>
      <c r="N9" s="80">
        <f>'10 Calculated Part Data'!M98+'10 Calculated Part Data'!M124+'10 Calculated Part Data'!N59</f>
        <v/>
      </c>
      <c r="O9" s="80">
        <f>'10 Calculated Part Data'!N98+'10 Calculated Part Data'!N124+'10 Calculated Part Data'!O59</f>
        <v/>
      </c>
      <c r="P9" s="80">
        <f>'10 Calculated Part Data'!O98+'10 Calculated Part Data'!O124+'10 Calculated Part Data'!P59</f>
        <v/>
      </c>
      <c r="Q9" s="80">
        <f>'10 Calculated Part Data'!P98+'10 Calculated Part Data'!P124+'10 Calculated Part Data'!Q59</f>
        <v/>
      </c>
      <c r="R9" s="80">
        <f>'10 Calculated Part Data'!Q98+'10 Calculated Part Data'!Q124+'10 Calculated Part Data'!R59</f>
        <v/>
      </c>
      <c r="S9" s="81">
        <f>'10 Calculated Part Data'!R98+'10 Calculated Part Data'!R124+'10 Calculated Part Data'!S59</f>
        <v/>
      </c>
      <c r="T9" s="82" t="inlineStr">
        <is>
          <t>Chassis</t>
        </is>
      </c>
      <c r="U9" s="57" t="n"/>
      <c r="V9" s="82">
        <f>SUM(C9:S9)</f>
        <v/>
      </c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I9" s="57" t="n"/>
      <c r="AJ9" s="57" t="n"/>
      <c r="AK9" s="57" t="n"/>
      <c r="AL9" s="57" t="n"/>
      <c r="AM9" s="57" t="n"/>
      <c r="AN9" s="57" t="n"/>
      <c r="AO9" s="57" t="n"/>
      <c r="AP9" s="57" t="n"/>
      <c r="AQ9" s="57" t="n"/>
      <c r="AR9" s="57" t="n"/>
    </row>
    <row r="10" ht="12.75" customHeight="1" s="267">
      <c r="A10" s="57" t="inlineStr">
        <is>
          <t>Engine</t>
        </is>
      </c>
      <c r="B10" s="57" t="n"/>
      <c r="C10" s="83">
        <f>'10 Calculated Part Data'!B99+'10 Calculated Part Data'!B125+'10 Calculated Part Data'!C60</f>
        <v/>
      </c>
      <c r="D10" s="84">
        <f>'10 Calculated Part Data'!C99+'10 Calculated Part Data'!C125+'10 Calculated Part Data'!D60</f>
        <v/>
      </c>
      <c r="E10" s="84">
        <f>'10 Calculated Part Data'!D99+'10 Calculated Part Data'!D125+'10 Calculated Part Data'!E60</f>
        <v/>
      </c>
      <c r="F10" s="84">
        <f>'10 Calculated Part Data'!E99+'10 Calculated Part Data'!E125+'10 Calculated Part Data'!F60</f>
        <v/>
      </c>
      <c r="G10" s="84">
        <f>'10 Calculated Part Data'!F99+'10 Calculated Part Data'!F125+'10 Calculated Part Data'!G60</f>
        <v/>
      </c>
      <c r="H10" s="84">
        <f>'10 Calculated Part Data'!G99+'10 Calculated Part Data'!G125+'10 Calculated Part Data'!H60</f>
        <v/>
      </c>
      <c r="I10" s="84">
        <f>'10 Calculated Part Data'!H99+'10 Calculated Part Data'!H125+'10 Calculated Part Data'!I60</f>
        <v/>
      </c>
      <c r="J10" s="84">
        <f>'10 Calculated Part Data'!I99+'10 Calculated Part Data'!I125+'10 Calculated Part Data'!J60</f>
        <v/>
      </c>
      <c r="K10" s="84">
        <f>'10 Calculated Part Data'!J99+'10 Calculated Part Data'!J125+'10 Calculated Part Data'!K60</f>
        <v/>
      </c>
      <c r="L10" s="84">
        <f>'10 Calculated Part Data'!K99+'10 Calculated Part Data'!K125+'10 Calculated Part Data'!L60</f>
        <v/>
      </c>
      <c r="M10" s="84">
        <f>'10 Calculated Part Data'!L99+'10 Calculated Part Data'!L125+'10 Calculated Part Data'!M60</f>
        <v/>
      </c>
      <c r="N10" s="84">
        <f>'10 Calculated Part Data'!M99+'10 Calculated Part Data'!M125+'10 Calculated Part Data'!N60</f>
        <v/>
      </c>
      <c r="O10" s="84">
        <f>'10 Calculated Part Data'!N99+'10 Calculated Part Data'!N125+'10 Calculated Part Data'!O60</f>
        <v/>
      </c>
      <c r="P10" s="84">
        <f>'10 Calculated Part Data'!O99+'10 Calculated Part Data'!O125+'10 Calculated Part Data'!P60</f>
        <v/>
      </c>
      <c r="Q10" s="84">
        <f>'10 Calculated Part Data'!P99+'10 Calculated Part Data'!P125+'10 Calculated Part Data'!Q60</f>
        <v/>
      </c>
      <c r="R10" s="84">
        <f>'10 Calculated Part Data'!Q99+'10 Calculated Part Data'!Q125+'10 Calculated Part Data'!R60</f>
        <v/>
      </c>
      <c r="S10" s="85">
        <f>'10 Calculated Part Data'!R99+'10 Calculated Part Data'!R125+'10 Calculated Part Data'!S60</f>
        <v/>
      </c>
      <c r="T10" s="57" t="inlineStr">
        <is>
          <t>Engine</t>
        </is>
      </c>
      <c r="U10" s="57" t="n"/>
      <c r="V10" s="82">
        <f>SUM(C10:S10)</f>
        <v/>
      </c>
      <c r="W10" s="57" t="n"/>
      <c r="X10" s="57" t="n"/>
      <c r="Y10" s="57" t="n"/>
      <c r="Z10" s="57" t="n"/>
      <c r="AA10" s="57" t="n"/>
      <c r="AB10" s="57" t="n"/>
      <c r="AC10" s="57" t="n"/>
      <c r="AD10" s="57" t="n"/>
      <c r="AE10" s="57" t="n"/>
      <c r="AF10" s="57" t="n"/>
      <c r="AG10" s="57" t="n"/>
      <c r="AH10" s="57" t="n"/>
      <c r="AI10" s="57" t="n"/>
      <c r="AJ10" s="57" t="n"/>
      <c r="AK10" s="57" t="n"/>
      <c r="AL10" s="57" t="n"/>
      <c r="AM10" s="57" t="n"/>
      <c r="AN10" s="57" t="n"/>
      <c r="AO10" s="57" t="n"/>
      <c r="AP10" s="57" t="n"/>
      <c r="AQ10" s="57" t="n"/>
      <c r="AR10" s="57" t="n"/>
    </row>
    <row r="11" ht="12.75" customHeight="1" s="267">
      <c r="A11" s="57" t="inlineStr">
        <is>
          <t>Front Wing</t>
        </is>
      </c>
      <c r="B11" s="57" t="n"/>
      <c r="C11" s="83">
        <f>'10 Calculated Part Data'!B100+'10 Calculated Part Data'!B126+'10 Calculated Part Data'!C61</f>
        <v/>
      </c>
      <c r="D11" s="84">
        <f>'10 Calculated Part Data'!C100+'10 Calculated Part Data'!C126+'10 Calculated Part Data'!D61</f>
        <v/>
      </c>
      <c r="E11" s="84">
        <f>'10 Calculated Part Data'!D100+'10 Calculated Part Data'!D126+'10 Calculated Part Data'!E61</f>
        <v/>
      </c>
      <c r="F11" s="84">
        <f>'10 Calculated Part Data'!E100+'10 Calculated Part Data'!E126+'10 Calculated Part Data'!F61</f>
        <v/>
      </c>
      <c r="G11" s="84">
        <f>'10 Calculated Part Data'!F100+'10 Calculated Part Data'!F126+'10 Calculated Part Data'!G61</f>
        <v/>
      </c>
      <c r="H11" s="84">
        <f>'10 Calculated Part Data'!G100+'10 Calculated Part Data'!G126+'10 Calculated Part Data'!H61</f>
        <v/>
      </c>
      <c r="I11" s="84">
        <f>'10 Calculated Part Data'!H100+'10 Calculated Part Data'!H126+'10 Calculated Part Data'!I61</f>
        <v/>
      </c>
      <c r="J11" s="84">
        <f>'10 Calculated Part Data'!I100+'10 Calculated Part Data'!I126+'10 Calculated Part Data'!J61</f>
        <v/>
      </c>
      <c r="K11" s="84">
        <f>'10 Calculated Part Data'!J100+'10 Calculated Part Data'!J126+'10 Calculated Part Data'!K61</f>
        <v/>
      </c>
      <c r="L11" s="84">
        <f>'10 Calculated Part Data'!K100+'10 Calculated Part Data'!K126+'10 Calculated Part Data'!L61</f>
        <v/>
      </c>
      <c r="M11" s="84">
        <f>'10 Calculated Part Data'!L100+'10 Calculated Part Data'!L126+'10 Calculated Part Data'!M61</f>
        <v/>
      </c>
      <c r="N11" s="84">
        <f>'10 Calculated Part Data'!M100+'10 Calculated Part Data'!M126+'10 Calculated Part Data'!N61</f>
        <v/>
      </c>
      <c r="O11" s="84">
        <f>'10 Calculated Part Data'!N100+'10 Calculated Part Data'!N126+'10 Calculated Part Data'!O61</f>
        <v/>
      </c>
      <c r="P11" s="84">
        <f>'10 Calculated Part Data'!O100+'10 Calculated Part Data'!O126+'10 Calculated Part Data'!P61</f>
        <v/>
      </c>
      <c r="Q11" s="84">
        <f>'10 Calculated Part Data'!P100+'10 Calculated Part Data'!P126+'10 Calculated Part Data'!Q61</f>
        <v/>
      </c>
      <c r="R11" s="84">
        <f>'10 Calculated Part Data'!Q100+'10 Calculated Part Data'!Q126+'10 Calculated Part Data'!R61</f>
        <v/>
      </c>
      <c r="S11" s="85">
        <f>'10 Calculated Part Data'!R100+'10 Calculated Part Data'!R126+'10 Calculated Part Data'!S61</f>
        <v/>
      </c>
      <c r="T11" s="57" t="inlineStr">
        <is>
          <t>Front Wing</t>
        </is>
      </c>
      <c r="U11" s="57" t="n"/>
      <c r="V11" s="82">
        <f>SUM(C11:S11)</f>
        <v/>
      </c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I11" s="57" t="n"/>
      <c r="AJ11" s="57" t="n"/>
      <c r="AK11" s="57" t="n"/>
      <c r="AL11" s="57" t="n"/>
      <c r="AM11" s="57" t="n"/>
      <c r="AN11" s="57" t="n"/>
      <c r="AO11" s="57" t="n"/>
      <c r="AP11" s="57" t="n"/>
      <c r="AQ11" s="57" t="n"/>
      <c r="AR11" s="57" t="n"/>
    </row>
    <row r="12" ht="12.75" customHeight="1" s="267">
      <c r="A12" s="57" t="inlineStr">
        <is>
          <t>Rear Wing</t>
        </is>
      </c>
      <c r="B12" s="57" t="n"/>
      <c r="C12" s="83">
        <f>'10 Calculated Part Data'!B101+'10 Calculated Part Data'!B127+'10 Calculated Part Data'!C62</f>
        <v/>
      </c>
      <c r="D12" s="84">
        <f>'10 Calculated Part Data'!C101+'10 Calculated Part Data'!C127+'10 Calculated Part Data'!D62</f>
        <v/>
      </c>
      <c r="E12" s="84">
        <f>'10 Calculated Part Data'!D101+'10 Calculated Part Data'!D127+'10 Calculated Part Data'!E62</f>
        <v/>
      </c>
      <c r="F12" s="84">
        <f>'10 Calculated Part Data'!E101+'10 Calculated Part Data'!E127+'10 Calculated Part Data'!F62</f>
        <v/>
      </c>
      <c r="G12" s="84">
        <f>'10 Calculated Part Data'!F101+'10 Calculated Part Data'!F127+'10 Calculated Part Data'!G62</f>
        <v/>
      </c>
      <c r="H12" s="84">
        <f>'10 Calculated Part Data'!G101+'10 Calculated Part Data'!G127+'10 Calculated Part Data'!H62</f>
        <v/>
      </c>
      <c r="I12" s="84">
        <f>'10 Calculated Part Data'!H101+'10 Calculated Part Data'!H127+'10 Calculated Part Data'!I62</f>
        <v/>
      </c>
      <c r="J12" s="84">
        <f>'10 Calculated Part Data'!I101+'10 Calculated Part Data'!I127+'10 Calculated Part Data'!J62</f>
        <v/>
      </c>
      <c r="K12" s="84">
        <f>'10 Calculated Part Data'!J101+'10 Calculated Part Data'!J127+'10 Calculated Part Data'!K62</f>
        <v/>
      </c>
      <c r="L12" s="84">
        <f>'10 Calculated Part Data'!K101+'10 Calculated Part Data'!K127+'10 Calculated Part Data'!L62</f>
        <v/>
      </c>
      <c r="M12" s="84">
        <f>'10 Calculated Part Data'!L101+'10 Calculated Part Data'!L127+'10 Calculated Part Data'!M62</f>
        <v/>
      </c>
      <c r="N12" s="84">
        <f>'10 Calculated Part Data'!M101+'10 Calculated Part Data'!M127+'10 Calculated Part Data'!N62</f>
        <v/>
      </c>
      <c r="O12" s="84">
        <f>'10 Calculated Part Data'!N101+'10 Calculated Part Data'!N127+'10 Calculated Part Data'!O62</f>
        <v/>
      </c>
      <c r="P12" s="84">
        <f>'10 Calculated Part Data'!O101+'10 Calculated Part Data'!O127+'10 Calculated Part Data'!P62</f>
        <v/>
      </c>
      <c r="Q12" s="84">
        <f>'10 Calculated Part Data'!P101+'10 Calculated Part Data'!P127+'10 Calculated Part Data'!Q62</f>
        <v/>
      </c>
      <c r="R12" s="84">
        <f>'10 Calculated Part Data'!Q101+'10 Calculated Part Data'!Q127+'10 Calculated Part Data'!R62</f>
        <v/>
      </c>
      <c r="S12" s="85">
        <f>'10 Calculated Part Data'!R101+'10 Calculated Part Data'!R127+'10 Calculated Part Data'!S62</f>
        <v/>
      </c>
      <c r="T12" s="57" t="inlineStr">
        <is>
          <t>Rear Wing</t>
        </is>
      </c>
      <c r="U12" s="57" t="n"/>
      <c r="V12" s="82">
        <f>SUM(C12:S12)</f>
        <v/>
      </c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12.75" customHeight="1" s="267">
      <c r="A13" s="57" t="inlineStr">
        <is>
          <t>Underbody</t>
        </is>
      </c>
      <c r="B13" s="57" t="n"/>
      <c r="C13" s="83">
        <f>'10 Calculated Part Data'!B102+'10 Calculated Part Data'!B128+'10 Calculated Part Data'!C63</f>
        <v/>
      </c>
      <c r="D13" s="84">
        <f>'10 Calculated Part Data'!C102+'10 Calculated Part Data'!C128+'10 Calculated Part Data'!D63</f>
        <v/>
      </c>
      <c r="E13" s="84">
        <f>'10 Calculated Part Data'!D102+'10 Calculated Part Data'!D128+'10 Calculated Part Data'!E63</f>
        <v/>
      </c>
      <c r="F13" s="84">
        <f>'10 Calculated Part Data'!E102+'10 Calculated Part Data'!E128+'10 Calculated Part Data'!F63</f>
        <v/>
      </c>
      <c r="G13" s="84">
        <f>'10 Calculated Part Data'!F102+'10 Calculated Part Data'!F128+'10 Calculated Part Data'!G63</f>
        <v/>
      </c>
      <c r="H13" s="84">
        <f>'10 Calculated Part Data'!G102+'10 Calculated Part Data'!G128+'10 Calculated Part Data'!H63</f>
        <v/>
      </c>
      <c r="I13" s="84">
        <f>'10 Calculated Part Data'!H102+'10 Calculated Part Data'!H128+'10 Calculated Part Data'!I63</f>
        <v/>
      </c>
      <c r="J13" s="84">
        <f>'10 Calculated Part Data'!I102+'10 Calculated Part Data'!I128+'10 Calculated Part Data'!J63</f>
        <v/>
      </c>
      <c r="K13" s="84">
        <f>'10 Calculated Part Data'!J102+'10 Calculated Part Data'!J128+'10 Calculated Part Data'!K63</f>
        <v/>
      </c>
      <c r="L13" s="84">
        <f>'10 Calculated Part Data'!K102+'10 Calculated Part Data'!K128+'10 Calculated Part Data'!L63</f>
        <v/>
      </c>
      <c r="M13" s="84">
        <f>'10 Calculated Part Data'!L102+'10 Calculated Part Data'!L128+'10 Calculated Part Data'!M63</f>
        <v/>
      </c>
      <c r="N13" s="84">
        <f>'10 Calculated Part Data'!M102+'10 Calculated Part Data'!M128+'10 Calculated Part Data'!N63</f>
        <v/>
      </c>
      <c r="O13" s="84">
        <f>'10 Calculated Part Data'!N102+'10 Calculated Part Data'!N128+'10 Calculated Part Data'!O63</f>
        <v/>
      </c>
      <c r="P13" s="84">
        <f>'10 Calculated Part Data'!O102+'10 Calculated Part Data'!O128+'10 Calculated Part Data'!P63</f>
        <v/>
      </c>
      <c r="Q13" s="84">
        <f>'10 Calculated Part Data'!P102+'10 Calculated Part Data'!P128+'10 Calculated Part Data'!Q63</f>
        <v/>
      </c>
      <c r="R13" s="84">
        <f>'10 Calculated Part Data'!Q102+'10 Calculated Part Data'!Q128+'10 Calculated Part Data'!R63</f>
        <v/>
      </c>
      <c r="S13" s="85">
        <f>'10 Calculated Part Data'!R102+'10 Calculated Part Data'!R128+'10 Calculated Part Data'!S63</f>
        <v/>
      </c>
      <c r="T13" s="57" t="inlineStr">
        <is>
          <t>Underbody</t>
        </is>
      </c>
      <c r="U13" s="57" t="n"/>
      <c r="V13" s="82">
        <f>SUM(C13:S13)</f>
        <v/>
      </c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I13" s="57" t="n"/>
      <c r="AJ13" s="57" t="n"/>
      <c r="AK13" s="57" t="n"/>
      <c r="AL13" s="57" t="n"/>
      <c r="AM13" s="57" t="n"/>
      <c r="AN13" s="57" t="n"/>
      <c r="AO13" s="57" t="n"/>
      <c r="AP13" s="57" t="n"/>
      <c r="AQ13" s="57" t="n"/>
      <c r="AR13" s="57" t="n"/>
    </row>
    <row r="14" ht="12.75" customHeight="1" s="267">
      <c r="A14" s="57" t="inlineStr">
        <is>
          <t>Sidepods</t>
        </is>
      </c>
      <c r="B14" s="57" t="n"/>
      <c r="C14" s="83">
        <f>'10 Calculated Part Data'!B103+'10 Calculated Part Data'!B129+'10 Calculated Part Data'!C64</f>
        <v/>
      </c>
      <c r="D14" s="84">
        <f>'10 Calculated Part Data'!C103+'10 Calculated Part Data'!C129+'10 Calculated Part Data'!D64</f>
        <v/>
      </c>
      <c r="E14" s="84">
        <f>'10 Calculated Part Data'!D103+'10 Calculated Part Data'!D129+'10 Calculated Part Data'!E64</f>
        <v/>
      </c>
      <c r="F14" s="84">
        <f>'10 Calculated Part Data'!E103+'10 Calculated Part Data'!E129+'10 Calculated Part Data'!F64</f>
        <v/>
      </c>
      <c r="G14" s="84">
        <f>'10 Calculated Part Data'!F103+'10 Calculated Part Data'!F129+'10 Calculated Part Data'!G64</f>
        <v/>
      </c>
      <c r="H14" s="84">
        <f>'10 Calculated Part Data'!G103+'10 Calculated Part Data'!G129+'10 Calculated Part Data'!H64</f>
        <v/>
      </c>
      <c r="I14" s="84">
        <f>'10 Calculated Part Data'!H103+'10 Calculated Part Data'!H129+'10 Calculated Part Data'!I64</f>
        <v/>
      </c>
      <c r="J14" s="84">
        <f>'10 Calculated Part Data'!I103+'10 Calculated Part Data'!I129+'10 Calculated Part Data'!J64</f>
        <v/>
      </c>
      <c r="K14" s="84">
        <f>'10 Calculated Part Data'!J103+'10 Calculated Part Data'!J129+'10 Calculated Part Data'!K64</f>
        <v/>
      </c>
      <c r="L14" s="84">
        <f>'10 Calculated Part Data'!K103+'10 Calculated Part Data'!K129+'10 Calculated Part Data'!L64</f>
        <v/>
      </c>
      <c r="M14" s="84">
        <f>'10 Calculated Part Data'!L103+'10 Calculated Part Data'!L129+'10 Calculated Part Data'!M64</f>
        <v/>
      </c>
      <c r="N14" s="84">
        <f>'10 Calculated Part Data'!M103+'10 Calculated Part Data'!M129+'10 Calculated Part Data'!N64</f>
        <v/>
      </c>
      <c r="O14" s="84">
        <f>'10 Calculated Part Data'!N103+'10 Calculated Part Data'!N129+'10 Calculated Part Data'!O64</f>
        <v/>
      </c>
      <c r="P14" s="84">
        <f>'10 Calculated Part Data'!O103+'10 Calculated Part Data'!O129+'10 Calculated Part Data'!P64</f>
        <v/>
      </c>
      <c r="Q14" s="84">
        <f>'10 Calculated Part Data'!P103+'10 Calculated Part Data'!P129+'10 Calculated Part Data'!Q64</f>
        <v/>
      </c>
      <c r="R14" s="84">
        <f>'10 Calculated Part Data'!Q103+'10 Calculated Part Data'!Q129+'10 Calculated Part Data'!R64</f>
        <v/>
      </c>
      <c r="S14" s="85">
        <f>'10 Calculated Part Data'!R103+'10 Calculated Part Data'!R129+'10 Calculated Part Data'!S64</f>
        <v/>
      </c>
      <c r="T14" s="57" t="inlineStr">
        <is>
          <t>Sidepods</t>
        </is>
      </c>
      <c r="U14" s="57" t="n"/>
      <c r="V14" s="82">
        <f>SUM(C14:S14)</f>
        <v/>
      </c>
      <c r="W14" s="57" t="n"/>
      <c r="X14" s="57" t="n"/>
      <c r="Y14" s="57" t="n"/>
      <c r="Z14" s="57" t="n"/>
      <c r="AA14" s="57" t="n"/>
      <c r="AB14" s="57" t="n"/>
      <c r="AC14" s="57" t="n"/>
      <c r="AD14" s="57" t="n"/>
      <c r="AE14" s="57" t="n"/>
      <c r="AF14" s="57" t="n"/>
      <c r="AG14" s="57" t="n"/>
      <c r="AH14" s="57" t="n"/>
      <c r="AI14" s="57" t="n"/>
      <c r="AJ14" s="57" t="n"/>
      <c r="AK14" s="57" t="n"/>
      <c r="AL14" s="57" t="n"/>
      <c r="AM14" s="57" t="n"/>
      <c r="AN14" s="57" t="n"/>
      <c r="AO14" s="57" t="n"/>
      <c r="AP14" s="57" t="n"/>
      <c r="AQ14" s="57" t="n"/>
      <c r="AR14" s="57" t="n"/>
    </row>
    <row r="15" ht="12.75" customHeight="1" s="267">
      <c r="A15" s="57" t="inlineStr">
        <is>
          <t>Cooling</t>
        </is>
      </c>
      <c r="B15" s="57" t="n"/>
      <c r="C15" s="83">
        <f>'10 Calculated Part Data'!B104+'10 Calculated Part Data'!B130+'10 Calculated Part Data'!C65</f>
        <v/>
      </c>
      <c r="D15" s="84">
        <f>'10 Calculated Part Data'!C104+'10 Calculated Part Data'!C130+'10 Calculated Part Data'!D65</f>
        <v/>
      </c>
      <c r="E15" s="84">
        <f>'10 Calculated Part Data'!D104+'10 Calculated Part Data'!D130+'10 Calculated Part Data'!E65</f>
        <v/>
      </c>
      <c r="F15" s="84">
        <f>'10 Calculated Part Data'!E104+'10 Calculated Part Data'!E130+'10 Calculated Part Data'!F65</f>
        <v/>
      </c>
      <c r="G15" s="84">
        <f>'10 Calculated Part Data'!F104+'10 Calculated Part Data'!F130+'10 Calculated Part Data'!G65</f>
        <v/>
      </c>
      <c r="H15" s="84">
        <f>'10 Calculated Part Data'!G104+'10 Calculated Part Data'!G130+'10 Calculated Part Data'!H65</f>
        <v/>
      </c>
      <c r="I15" s="84">
        <f>'10 Calculated Part Data'!H104+'10 Calculated Part Data'!H130+'10 Calculated Part Data'!I65</f>
        <v/>
      </c>
      <c r="J15" s="84">
        <f>'10 Calculated Part Data'!I104+'10 Calculated Part Data'!I130+'10 Calculated Part Data'!J65</f>
        <v/>
      </c>
      <c r="K15" s="84">
        <f>'10 Calculated Part Data'!J104+'10 Calculated Part Data'!J130+'10 Calculated Part Data'!K65</f>
        <v/>
      </c>
      <c r="L15" s="84">
        <f>'10 Calculated Part Data'!K104+'10 Calculated Part Data'!K130+'10 Calculated Part Data'!L65</f>
        <v/>
      </c>
      <c r="M15" s="84">
        <f>'10 Calculated Part Data'!L104+'10 Calculated Part Data'!L130+'10 Calculated Part Data'!M65</f>
        <v/>
      </c>
      <c r="N15" s="84">
        <f>'10 Calculated Part Data'!M104+'10 Calculated Part Data'!M130+'10 Calculated Part Data'!N65</f>
        <v/>
      </c>
      <c r="O15" s="84">
        <f>'10 Calculated Part Data'!N104+'10 Calculated Part Data'!N130+'10 Calculated Part Data'!O65</f>
        <v/>
      </c>
      <c r="P15" s="84">
        <f>'10 Calculated Part Data'!O104+'10 Calculated Part Data'!O130+'10 Calculated Part Data'!P65</f>
        <v/>
      </c>
      <c r="Q15" s="84">
        <f>'10 Calculated Part Data'!P104+'10 Calculated Part Data'!P130+'10 Calculated Part Data'!Q65</f>
        <v/>
      </c>
      <c r="R15" s="84">
        <f>'10 Calculated Part Data'!Q104+'10 Calculated Part Data'!Q130+'10 Calculated Part Data'!R65</f>
        <v/>
      </c>
      <c r="S15" s="85">
        <f>'10 Calculated Part Data'!R104+'10 Calculated Part Data'!R130+'10 Calculated Part Data'!S65</f>
        <v/>
      </c>
      <c r="T15" s="57" t="inlineStr">
        <is>
          <t>Cooling</t>
        </is>
      </c>
      <c r="U15" s="57" t="n"/>
      <c r="V15" s="82">
        <f>SUM(C15:S15)</f>
        <v/>
      </c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57" t="n"/>
      <c r="AG15" s="57" t="n"/>
      <c r="AH15" s="57" t="n"/>
      <c r="AI15" s="57" t="n"/>
      <c r="AJ15" s="57" t="n"/>
      <c r="AK15" s="57" t="n"/>
      <c r="AL15" s="57" t="n"/>
      <c r="AM15" s="57" t="n"/>
      <c r="AN15" s="57" t="n"/>
      <c r="AO15" s="57" t="n"/>
      <c r="AP15" s="57" t="n"/>
      <c r="AQ15" s="57" t="n"/>
      <c r="AR15" s="57" t="n"/>
    </row>
    <row r="16" ht="12.75" customHeight="1" s="267">
      <c r="A16" s="57" t="inlineStr">
        <is>
          <t>Gearbox</t>
        </is>
      </c>
      <c r="B16" s="57" t="n"/>
      <c r="C16" s="83">
        <f>'10 Calculated Part Data'!B105+'10 Calculated Part Data'!B131+'10 Calculated Part Data'!C66</f>
        <v/>
      </c>
      <c r="D16" s="84">
        <f>'10 Calculated Part Data'!C105+'10 Calculated Part Data'!C131+'10 Calculated Part Data'!D66</f>
        <v/>
      </c>
      <c r="E16" s="84">
        <f>'10 Calculated Part Data'!D105+'10 Calculated Part Data'!D131+'10 Calculated Part Data'!E66</f>
        <v/>
      </c>
      <c r="F16" s="84">
        <f>'10 Calculated Part Data'!E105+'10 Calculated Part Data'!E131+'10 Calculated Part Data'!F66</f>
        <v/>
      </c>
      <c r="G16" s="84">
        <f>'10 Calculated Part Data'!F105+'10 Calculated Part Data'!F131+'10 Calculated Part Data'!G66</f>
        <v/>
      </c>
      <c r="H16" s="84">
        <f>'10 Calculated Part Data'!G105+'10 Calculated Part Data'!G131+'10 Calculated Part Data'!H66</f>
        <v/>
      </c>
      <c r="I16" s="84">
        <f>'10 Calculated Part Data'!H105+'10 Calculated Part Data'!H131+'10 Calculated Part Data'!I66</f>
        <v/>
      </c>
      <c r="J16" s="84">
        <f>'10 Calculated Part Data'!I105+'10 Calculated Part Data'!I131+'10 Calculated Part Data'!J66</f>
        <v/>
      </c>
      <c r="K16" s="84">
        <f>'10 Calculated Part Data'!J105+'10 Calculated Part Data'!J131+'10 Calculated Part Data'!K66</f>
        <v/>
      </c>
      <c r="L16" s="84">
        <f>'10 Calculated Part Data'!K105+'10 Calculated Part Data'!K131+'10 Calculated Part Data'!L66</f>
        <v/>
      </c>
      <c r="M16" s="84">
        <f>'10 Calculated Part Data'!L105+'10 Calculated Part Data'!L131+'10 Calculated Part Data'!M66</f>
        <v/>
      </c>
      <c r="N16" s="84">
        <f>'10 Calculated Part Data'!M105+'10 Calculated Part Data'!M131+'10 Calculated Part Data'!N66</f>
        <v/>
      </c>
      <c r="O16" s="84">
        <f>'10 Calculated Part Data'!N105+'10 Calculated Part Data'!N131+'10 Calculated Part Data'!O66</f>
        <v/>
      </c>
      <c r="P16" s="84">
        <f>'10 Calculated Part Data'!O105+'10 Calculated Part Data'!O131+'10 Calculated Part Data'!P66</f>
        <v/>
      </c>
      <c r="Q16" s="84">
        <f>'10 Calculated Part Data'!P105+'10 Calculated Part Data'!P131+'10 Calculated Part Data'!Q66</f>
        <v/>
      </c>
      <c r="R16" s="84">
        <f>'10 Calculated Part Data'!Q105+'10 Calculated Part Data'!Q131+'10 Calculated Part Data'!R66</f>
        <v/>
      </c>
      <c r="S16" s="85">
        <f>'10 Calculated Part Data'!R105+'10 Calculated Part Data'!R131+'10 Calculated Part Data'!S66</f>
        <v/>
      </c>
      <c r="T16" s="57" t="inlineStr">
        <is>
          <t>Gearbox</t>
        </is>
      </c>
      <c r="U16" s="57" t="n"/>
      <c r="V16" s="82">
        <f>SUM(C16:S16)</f>
        <v/>
      </c>
      <c r="W16" s="57" t="n"/>
      <c r="X16" s="57" t="n"/>
      <c r="Y16" s="57" t="n"/>
      <c r="Z16" s="57" t="n"/>
      <c r="AA16" s="57" t="n"/>
      <c r="AB16" s="57" t="n"/>
      <c r="AC16" s="57" t="n"/>
      <c r="AD16" s="57" t="n"/>
      <c r="AE16" s="57" t="n"/>
      <c r="AF16" s="57" t="n"/>
      <c r="AG16" s="57" t="n"/>
      <c r="AH16" s="57" t="n"/>
      <c r="AI16" s="57" t="n"/>
      <c r="AJ16" s="57" t="n"/>
      <c r="AK16" s="57" t="n"/>
      <c r="AL16" s="57" t="n"/>
      <c r="AM16" s="57" t="n"/>
      <c r="AN16" s="57" t="n"/>
      <c r="AO16" s="57" t="n"/>
      <c r="AP16" s="57" t="n"/>
      <c r="AQ16" s="57" t="n"/>
      <c r="AR16" s="57" t="n"/>
    </row>
    <row r="17" ht="12.75" customHeight="1" s="267">
      <c r="A17" s="57" t="inlineStr">
        <is>
          <t>Brakes</t>
        </is>
      </c>
      <c r="B17" s="57" t="n"/>
      <c r="C17" s="83">
        <f>'10 Calculated Part Data'!B106+'10 Calculated Part Data'!B132+'10 Calculated Part Data'!C67</f>
        <v/>
      </c>
      <c r="D17" s="84">
        <f>'10 Calculated Part Data'!C106+'10 Calculated Part Data'!C132+'10 Calculated Part Data'!D67</f>
        <v/>
      </c>
      <c r="E17" s="84">
        <f>'10 Calculated Part Data'!D106+'10 Calculated Part Data'!D132+'10 Calculated Part Data'!E67</f>
        <v/>
      </c>
      <c r="F17" s="84">
        <f>'10 Calculated Part Data'!E106+'10 Calculated Part Data'!E132+'10 Calculated Part Data'!F67</f>
        <v/>
      </c>
      <c r="G17" s="84">
        <f>'10 Calculated Part Data'!F106+'10 Calculated Part Data'!F132+'10 Calculated Part Data'!G67</f>
        <v/>
      </c>
      <c r="H17" s="84">
        <f>'10 Calculated Part Data'!G106+'10 Calculated Part Data'!G132+'10 Calculated Part Data'!H67</f>
        <v/>
      </c>
      <c r="I17" s="84">
        <f>'10 Calculated Part Data'!H106+'10 Calculated Part Data'!H132+'10 Calculated Part Data'!I67</f>
        <v/>
      </c>
      <c r="J17" s="84">
        <f>'10 Calculated Part Data'!I106+'10 Calculated Part Data'!I132+'10 Calculated Part Data'!J67</f>
        <v/>
      </c>
      <c r="K17" s="84">
        <f>'10 Calculated Part Data'!J106+'10 Calculated Part Data'!J132+'10 Calculated Part Data'!K67</f>
        <v/>
      </c>
      <c r="L17" s="84">
        <f>'10 Calculated Part Data'!K106+'10 Calculated Part Data'!K132+'10 Calculated Part Data'!L67</f>
        <v/>
      </c>
      <c r="M17" s="84">
        <f>'10 Calculated Part Data'!L106+'10 Calculated Part Data'!L132+'10 Calculated Part Data'!M67</f>
        <v/>
      </c>
      <c r="N17" s="84">
        <f>'10 Calculated Part Data'!M106+'10 Calculated Part Data'!M132+'10 Calculated Part Data'!N67</f>
        <v/>
      </c>
      <c r="O17" s="84">
        <f>'10 Calculated Part Data'!N106+'10 Calculated Part Data'!N132+'10 Calculated Part Data'!O67</f>
        <v/>
      </c>
      <c r="P17" s="84">
        <f>'10 Calculated Part Data'!O106+'10 Calculated Part Data'!O132+'10 Calculated Part Data'!P67</f>
        <v/>
      </c>
      <c r="Q17" s="84">
        <f>'10 Calculated Part Data'!P106+'10 Calculated Part Data'!P132+'10 Calculated Part Data'!Q67</f>
        <v/>
      </c>
      <c r="R17" s="84">
        <f>'10 Calculated Part Data'!Q106+'10 Calculated Part Data'!Q132+'10 Calculated Part Data'!R67</f>
        <v/>
      </c>
      <c r="S17" s="85">
        <f>'10 Calculated Part Data'!R106+'10 Calculated Part Data'!R132+'10 Calculated Part Data'!S67</f>
        <v/>
      </c>
      <c r="T17" s="57" t="inlineStr">
        <is>
          <t>Brakes</t>
        </is>
      </c>
      <c r="U17" s="57" t="n"/>
      <c r="V17" s="82">
        <f>SUM(C17:S17)</f>
        <v/>
      </c>
      <c r="W17" s="57" t="n"/>
      <c r="X17" s="57" t="n"/>
      <c r="Y17" s="57" t="n"/>
      <c r="Z17" s="57" t="n"/>
      <c r="AA17" s="57" t="n"/>
      <c r="AB17" s="57" t="n"/>
      <c r="AC17" s="57" t="n"/>
      <c r="AD17" s="57" t="n"/>
      <c r="AE17" s="57" t="n"/>
      <c r="AF17" s="57" t="n"/>
      <c r="AG17" s="57" t="n"/>
      <c r="AH17" s="57" t="n"/>
      <c r="AI17" s="57" t="n"/>
      <c r="AJ17" s="57" t="n"/>
      <c r="AK17" s="57" t="n"/>
      <c r="AL17" s="57" t="n"/>
      <c r="AM17" s="57" t="n"/>
      <c r="AN17" s="57" t="n"/>
      <c r="AO17" s="57" t="n"/>
      <c r="AP17" s="57" t="n"/>
      <c r="AQ17" s="57" t="n"/>
      <c r="AR17" s="57" t="n"/>
    </row>
    <row r="18" ht="12.75" customHeight="1" s="267">
      <c r="A18" s="57" t="inlineStr">
        <is>
          <t>Suspension</t>
        </is>
      </c>
      <c r="B18" s="57" t="n"/>
      <c r="C18" s="83">
        <f>'10 Calculated Part Data'!B107+'10 Calculated Part Data'!B133+'10 Calculated Part Data'!C68</f>
        <v/>
      </c>
      <c r="D18" s="84">
        <f>'10 Calculated Part Data'!C107+'10 Calculated Part Data'!C133+'10 Calculated Part Data'!D68</f>
        <v/>
      </c>
      <c r="E18" s="84">
        <f>'10 Calculated Part Data'!D107+'10 Calculated Part Data'!D133+'10 Calculated Part Data'!E68</f>
        <v/>
      </c>
      <c r="F18" s="84">
        <f>'10 Calculated Part Data'!E107+'10 Calculated Part Data'!E133+'10 Calculated Part Data'!F68</f>
        <v/>
      </c>
      <c r="G18" s="84">
        <f>'10 Calculated Part Data'!F107+'10 Calculated Part Data'!F133+'10 Calculated Part Data'!G68</f>
        <v/>
      </c>
      <c r="H18" s="84">
        <f>'10 Calculated Part Data'!G107+'10 Calculated Part Data'!G133+'10 Calculated Part Data'!H68</f>
        <v/>
      </c>
      <c r="I18" s="84">
        <f>'10 Calculated Part Data'!H107+'10 Calculated Part Data'!H133+'10 Calculated Part Data'!I68</f>
        <v/>
      </c>
      <c r="J18" s="84">
        <f>'10 Calculated Part Data'!I107+'10 Calculated Part Data'!I133+'10 Calculated Part Data'!J68</f>
        <v/>
      </c>
      <c r="K18" s="84">
        <f>'10 Calculated Part Data'!J107+'10 Calculated Part Data'!J133+'10 Calculated Part Data'!K68</f>
        <v/>
      </c>
      <c r="L18" s="84">
        <f>'10 Calculated Part Data'!K107+'10 Calculated Part Data'!K133+'10 Calculated Part Data'!L68</f>
        <v/>
      </c>
      <c r="M18" s="84">
        <f>'10 Calculated Part Data'!L107+'10 Calculated Part Data'!L133+'10 Calculated Part Data'!M68</f>
        <v/>
      </c>
      <c r="N18" s="84">
        <f>'10 Calculated Part Data'!M107+'10 Calculated Part Data'!M133+'10 Calculated Part Data'!N68</f>
        <v/>
      </c>
      <c r="O18" s="84">
        <f>'10 Calculated Part Data'!N107+'10 Calculated Part Data'!N133+'10 Calculated Part Data'!O68</f>
        <v/>
      </c>
      <c r="P18" s="84">
        <f>'10 Calculated Part Data'!O107+'10 Calculated Part Data'!O133+'10 Calculated Part Data'!P68</f>
        <v/>
      </c>
      <c r="Q18" s="84">
        <f>'10 Calculated Part Data'!P107+'10 Calculated Part Data'!P133+'10 Calculated Part Data'!Q68</f>
        <v/>
      </c>
      <c r="R18" s="84">
        <f>'10 Calculated Part Data'!Q107+'10 Calculated Part Data'!Q133+'10 Calculated Part Data'!R68</f>
        <v/>
      </c>
      <c r="S18" s="85">
        <f>'10 Calculated Part Data'!R107+'10 Calculated Part Data'!R133+'10 Calculated Part Data'!S68</f>
        <v/>
      </c>
      <c r="T18" s="57" t="inlineStr">
        <is>
          <t>Suspension</t>
        </is>
      </c>
      <c r="U18" s="57" t="n"/>
      <c r="V18" s="82">
        <f>SUM(C18:S18)</f>
        <v/>
      </c>
      <c r="W18" s="57" t="n"/>
      <c r="X18" s="57" t="n"/>
      <c r="Y18" s="57" t="n"/>
      <c r="Z18" s="57" t="n"/>
      <c r="AA18" s="57" t="n"/>
      <c r="AB18" s="57" t="n"/>
      <c r="AC18" s="57" t="n"/>
      <c r="AD18" s="57" t="n"/>
      <c r="AE18" s="57" t="n"/>
      <c r="AF18" s="57" t="n"/>
      <c r="AG18" s="57" t="n"/>
      <c r="AH18" s="57" t="n"/>
      <c r="AI18" s="57" t="n"/>
      <c r="AJ18" s="57" t="n"/>
      <c r="AK18" s="57" t="n"/>
      <c r="AL18" s="57" t="n"/>
      <c r="AM18" s="57" t="n"/>
      <c r="AN18" s="57" t="n"/>
      <c r="AO18" s="57" t="n"/>
      <c r="AP18" s="57" t="n"/>
      <c r="AQ18" s="57" t="n"/>
      <c r="AR18" s="57" t="n"/>
    </row>
    <row r="19" ht="12.75" customHeight="1" s="267">
      <c r="A19" s="57" t="inlineStr">
        <is>
          <t>Electronics</t>
        </is>
      </c>
      <c r="B19" s="57" t="n"/>
      <c r="C19" s="86">
        <f>'10 Calculated Part Data'!B108+'10 Calculated Part Data'!B134+'10 Calculated Part Data'!C69</f>
        <v/>
      </c>
      <c r="D19" s="87">
        <f>'10 Calculated Part Data'!C108+'10 Calculated Part Data'!C134+'10 Calculated Part Data'!D69</f>
        <v/>
      </c>
      <c r="E19" s="87">
        <f>'10 Calculated Part Data'!D108+'10 Calculated Part Data'!D134+'10 Calculated Part Data'!E69</f>
        <v/>
      </c>
      <c r="F19" s="87">
        <f>'10 Calculated Part Data'!E108+'10 Calculated Part Data'!E134+'10 Calculated Part Data'!F69</f>
        <v/>
      </c>
      <c r="G19" s="87">
        <f>'10 Calculated Part Data'!F108+'10 Calculated Part Data'!F134+'10 Calculated Part Data'!G69</f>
        <v/>
      </c>
      <c r="H19" s="87">
        <f>'10 Calculated Part Data'!G108+'10 Calculated Part Data'!G134+'10 Calculated Part Data'!H69</f>
        <v/>
      </c>
      <c r="I19" s="87">
        <f>'10 Calculated Part Data'!H108+'10 Calculated Part Data'!H134+'10 Calculated Part Data'!I69</f>
        <v/>
      </c>
      <c r="J19" s="87">
        <f>'10 Calculated Part Data'!I108+'10 Calculated Part Data'!I134+'10 Calculated Part Data'!J69</f>
        <v/>
      </c>
      <c r="K19" s="87">
        <f>'10 Calculated Part Data'!J108+'10 Calculated Part Data'!J134+'10 Calculated Part Data'!K69</f>
        <v/>
      </c>
      <c r="L19" s="87">
        <f>'10 Calculated Part Data'!K108+'10 Calculated Part Data'!K134+'10 Calculated Part Data'!L69</f>
        <v/>
      </c>
      <c r="M19" s="87">
        <f>'10 Calculated Part Data'!L108+'10 Calculated Part Data'!L134+'10 Calculated Part Data'!M69</f>
        <v/>
      </c>
      <c r="N19" s="87">
        <f>'10 Calculated Part Data'!M108+'10 Calculated Part Data'!M134+'10 Calculated Part Data'!N69</f>
        <v/>
      </c>
      <c r="O19" s="87">
        <f>'10 Calculated Part Data'!N108+'10 Calculated Part Data'!N134+'10 Calculated Part Data'!O69</f>
        <v/>
      </c>
      <c r="P19" s="87">
        <f>'10 Calculated Part Data'!O108+'10 Calculated Part Data'!O134+'10 Calculated Part Data'!P69</f>
        <v/>
      </c>
      <c r="Q19" s="87">
        <f>'10 Calculated Part Data'!P108+'10 Calculated Part Data'!P134+'10 Calculated Part Data'!Q69</f>
        <v/>
      </c>
      <c r="R19" s="87">
        <f>'10 Calculated Part Data'!Q108+'10 Calculated Part Data'!Q134+'10 Calculated Part Data'!R69</f>
        <v/>
      </c>
      <c r="S19" s="88">
        <f>'10 Calculated Part Data'!R108+'10 Calculated Part Data'!R134+'10 Calculated Part Data'!S69</f>
        <v/>
      </c>
      <c r="T19" s="57" t="inlineStr">
        <is>
          <t>Electronics</t>
        </is>
      </c>
      <c r="U19" s="57" t="n"/>
      <c r="V19" s="82">
        <f>SUM(C19:S19)</f>
        <v/>
      </c>
      <c r="W19" s="57" t="n"/>
      <c r="X19" s="57" t="n"/>
      <c r="Y19" s="57" t="n"/>
      <c r="Z19" s="57" t="n"/>
      <c r="AA19" s="57" t="n"/>
      <c r="AB19" s="57" t="n"/>
      <c r="AC19" s="57" t="n"/>
      <c r="AD19" s="57" t="n"/>
      <c r="AE19" s="57" t="n"/>
      <c r="AF19" s="57" t="n"/>
      <c r="AG19" s="57" t="n"/>
      <c r="AH19" s="57" t="n"/>
      <c r="AI19" s="57" t="n"/>
      <c r="AJ19" s="57" t="n"/>
      <c r="AK19" s="57" t="n"/>
      <c r="AL19" s="57" t="n"/>
      <c r="AM19" s="57" t="n"/>
      <c r="AN19" s="57" t="n"/>
      <c r="AO19" s="57" t="n"/>
      <c r="AP19" s="57" t="n"/>
      <c r="AQ19" s="57" t="n"/>
      <c r="AR19" s="57" t="n"/>
    </row>
    <row r="20" ht="11.25" customHeight="1" s="267">
      <c r="A20" s="57" t="n"/>
      <c r="B20" s="57" t="n"/>
      <c r="C20" s="84">
        <f>C2</f>
        <v/>
      </c>
      <c r="D20" s="84">
        <f>D2</f>
        <v/>
      </c>
      <c r="E20" s="84">
        <f>E2</f>
        <v/>
      </c>
      <c r="F20" s="84">
        <f>F2</f>
        <v/>
      </c>
      <c r="G20" s="84">
        <f>G2</f>
        <v/>
      </c>
      <c r="H20" s="84">
        <f>H2</f>
        <v/>
      </c>
      <c r="I20" s="84">
        <f>I2</f>
        <v/>
      </c>
      <c r="J20" s="84">
        <f>J2</f>
        <v/>
      </c>
      <c r="K20" s="84">
        <f>K2</f>
        <v/>
      </c>
      <c r="L20" s="84">
        <f>L2</f>
        <v/>
      </c>
      <c r="M20" s="84">
        <f>M2</f>
        <v/>
      </c>
      <c r="N20" s="84">
        <f>N2</f>
        <v/>
      </c>
      <c r="O20" s="84">
        <f>O2</f>
        <v/>
      </c>
      <c r="P20" s="84">
        <f>P2</f>
        <v/>
      </c>
      <c r="Q20" s="84">
        <f>Q2</f>
        <v/>
      </c>
      <c r="R20" s="84">
        <f>R2</f>
        <v/>
      </c>
      <c r="S20" s="84">
        <f>S2</f>
        <v/>
      </c>
      <c r="T20" s="57" t="n"/>
      <c r="U20" s="57" t="n"/>
      <c r="V20" s="89" t="inlineStr">
        <is>
          <t>P</t>
        </is>
      </c>
      <c r="W20" s="89" t="inlineStr">
        <is>
          <t>H</t>
        </is>
      </c>
      <c r="X20" s="89" t="inlineStr">
        <is>
          <t>A</t>
        </is>
      </c>
      <c r="Y20" s="57" t="n"/>
      <c r="Z20" s="57" t="n"/>
      <c r="AA20" s="57" t="n"/>
      <c r="AB20" s="57" t="n"/>
      <c r="AC20" s="57" t="n"/>
      <c r="AD20" s="57" t="n"/>
      <c r="AE20" s="57" t="n"/>
      <c r="AF20" s="57" t="n"/>
      <c r="AG20" s="57" t="n"/>
      <c r="AH20" s="57" t="n"/>
      <c r="AI20" s="57" t="n"/>
      <c r="AJ20" s="57" t="n"/>
      <c r="AK20" s="57" t="n"/>
      <c r="AL20" s="57" t="n"/>
      <c r="AM20" s="57" t="n"/>
      <c r="AN20" s="57" t="n"/>
      <c r="AO20" s="57" t="n"/>
      <c r="AP20" s="57" t="n"/>
      <c r="AQ20" s="57" t="n"/>
      <c r="AR20" s="57" t="n"/>
    </row>
    <row r="21" hidden="1" ht="18" customHeight="1" s="267">
      <c r="A21" s="57" t="n"/>
      <c r="B21" s="57" t="n"/>
      <c r="C21" s="70" t="n">
        <v>3</v>
      </c>
      <c r="D21" s="70" t="n">
        <v>6</v>
      </c>
      <c r="E21" s="70" t="n">
        <v>9</v>
      </c>
      <c r="F21" s="70" t="n">
        <v>12</v>
      </c>
      <c r="G21" s="70" t="n">
        <v>15</v>
      </c>
      <c r="H21" s="70" t="n">
        <v>18</v>
      </c>
      <c r="I21" s="70" t="n">
        <v>21</v>
      </c>
      <c r="J21" s="70" t="n">
        <v>24</v>
      </c>
      <c r="K21" s="70" t="n">
        <v>27</v>
      </c>
      <c r="L21" s="70" t="n">
        <v>30</v>
      </c>
      <c r="M21" s="70" t="n">
        <v>33</v>
      </c>
      <c r="N21" s="70" t="n">
        <v>36</v>
      </c>
      <c r="O21" s="70" t="n">
        <v>39</v>
      </c>
      <c r="P21" s="70" t="n">
        <v>42</v>
      </c>
      <c r="Q21" s="70" t="n">
        <v>45</v>
      </c>
      <c r="R21" s="70" t="n">
        <v>48</v>
      </c>
      <c r="S21" s="70" t="n">
        <v>51</v>
      </c>
      <c r="T21" s="57" t="n"/>
      <c r="U21" s="57" t="n"/>
      <c r="V21" s="89" t="n">
        <v>66.12</v>
      </c>
      <c r="W21" s="89" t="n">
        <v>159.49</v>
      </c>
      <c r="X21" s="89" t="n">
        <v>131.95</v>
      </c>
      <c r="Y21" s="57" t="n"/>
      <c r="Z21" s="57" t="n"/>
      <c r="AA21" s="57" t="n"/>
      <c r="AB21" s="57" t="n"/>
      <c r="AC21" s="57" t="n"/>
      <c r="AD21" s="57" t="n"/>
      <c r="AE21" s="57" t="n"/>
      <c r="AF21" s="57" t="n"/>
      <c r="AG21" s="57" t="n"/>
      <c r="AH21" s="57" t="n"/>
      <c r="AI21" s="57" t="n"/>
      <c r="AJ21" s="57" t="n"/>
      <c r="AK21" s="57" t="n"/>
      <c r="AL21" s="57" t="n"/>
      <c r="AM21" s="57" t="n"/>
      <c r="AN21" s="57" t="n"/>
      <c r="AO21" s="57" t="n"/>
      <c r="AP21" s="57" t="n"/>
      <c r="AQ21" s="57" t="n"/>
      <c r="AR21" s="57" t="n"/>
    </row>
    <row r="22" ht="12.75" customHeight="1" s="267">
      <c r="A22" s="57" t="inlineStr">
        <is>
          <t>Chassis</t>
        </is>
      </c>
      <c r="B22" s="57" t="n"/>
      <c r="C22" s="79">
        <f>'10 Calculated Part Data'!C72</f>
        <v/>
      </c>
      <c r="D22" s="80">
        <f>'10 Calculated Part Data'!D72</f>
        <v/>
      </c>
      <c r="E22" s="80">
        <f>'10 Calculated Part Data'!E72</f>
        <v/>
      </c>
      <c r="F22" s="80">
        <f>'10 Calculated Part Data'!F72</f>
        <v/>
      </c>
      <c r="G22" s="80">
        <f>'10 Calculated Part Data'!G72</f>
        <v/>
      </c>
      <c r="H22" s="80">
        <f>'10 Calculated Part Data'!H72</f>
        <v/>
      </c>
      <c r="I22" s="80">
        <f>'10 Calculated Part Data'!I72</f>
        <v/>
      </c>
      <c r="J22" s="80">
        <f>'10 Calculated Part Data'!J72</f>
        <v/>
      </c>
      <c r="K22" s="80">
        <f>'10 Calculated Part Data'!K72</f>
        <v/>
      </c>
      <c r="L22" s="80">
        <f>'10 Calculated Part Data'!L72</f>
        <v/>
      </c>
      <c r="M22" s="80">
        <f>'10 Calculated Part Data'!M72</f>
        <v/>
      </c>
      <c r="N22" s="80">
        <f>'10 Calculated Part Data'!N72</f>
        <v/>
      </c>
      <c r="O22" s="80">
        <f>'10 Calculated Part Data'!O72</f>
        <v/>
      </c>
      <c r="P22" s="80">
        <f>'10 Calculated Part Data'!P72</f>
        <v/>
      </c>
      <c r="Q22" s="80">
        <f>'10 Calculated Part Data'!Q72</f>
        <v/>
      </c>
      <c r="R22" s="80">
        <f>'10 Calculated Part Data'!R72</f>
        <v/>
      </c>
      <c r="S22" s="81">
        <f>'10 Calculated Part Data'!R137</f>
        <v/>
      </c>
      <c r="T22" s="57" t="inlineStr">
        <is>
          <t>Chassis</t>
        </is>
      </c>
      <c r="U22" s="57" t="n"/>
      <c r="V22" s="89" t="n">
        <v>66.12</v>
      </c>
      <c r="W22" s="89" t="n">
        <v>159.49</v>
      </c>
      <c r="X22" s="89" t="n">
        <v>131.95</v>
      </c>
      <c r="Y22" s="57" t="n"/>
      <c r="Z22" s="57" t="n"/>
      <c r="AA22" s="57" t="n"/>
      <c r="AB22" s="57" t="n"/>
      <c r="AC22" s="57" t="n"/>
      <c r="AD22" s="57" t="n"/>
      <c r="AE22" s="57" t="n"/>
      <c r="AF22" s="57" t="n"/>
      <c r="AG22" s="57" t="n"/>
      <c r="AH22" s="57" t="n"/>
      <c r="AI22" s="57" t="n"/>
      <c r="AJ22" s="57" t="n"/>
      <c r="AK22" s="57" t="n"/>
      <c r="AL22" s="57" t="n"/>
      <c r="AM22" s="57" t="n"/>
      <c r="AN22" s="57" t="n"/>
      <c r="AO22" s="57" t="n"/>
      <c r="AP22" s="57" t="n"/>
      <c r="AQ22" s="57" t="n"/>
      <c r="AR22" s="57" t="n"/>
    </row>
    <row r="23" ht="12.75" customHeight="1" s="267">
      <c r="A23" s="57" t="inlineStr">
        <is>
          <t>Engine</t>
        </is>
      </c>
      <c r="B23" s="57" t="n"/>
      <c r="C23" s="83">
        <f>'10 Calculated Part Data'!C73+0.03</f>
        <v/>
      </c>
      <c r="D23" s="83">
        <f>'10 Calculated Part Data'!D73+0.03</f>
        <v/>
      </c>
      <c r="E23" s="83">
        <f>'10 Calculated Part Data'!E73+0.03</f>
        <v/>
      </c>
      <c r="F23" s="83">
        <f>'10 Calculated Part Data'!F73+0.03</f>
        <v/>
      </c>
      <c r="G23" s="83">
        <f>'10 Calculated Part Data'!G73+0.03</f>
        <v/>
      </c>
      <c r="H23" s="83">
        <f>'10 Calculated Part Data'!H73+0.03</f>
        <v/>
      </c>
      <c r="I23" s="83">
        <f>'10 Calculated Part Data'!I73+0.03</f>
        <v/>
      </c>
      <c r="J23" s="83">
        <f>'10 Calculated Part Data'!J73+0.03</f>
        <v/>
      </c>
      <c r="K23" s="83">
        <f>'10 Calculated Part Data'!K73+0.03</f>
        <v/>
      </c>
      <c r="L23" s="83">
        <f>'10 Calculated Part Data'!L73+0.03</f>
        <v/>
      </c>
      <c r="M23" s="83">
        <f>'10 Calculated Part Data'!M73+0.03</f>
        <v/>
      </c>
      <c r="N23" s="83">
        <f>'10 Calculated Part Data'!N73+0.03</f>
        <v/>
      </c>
      <c r="O23" s="83">
        <f>'10 Calculated Part Data'!O73+0.03</f>
        <v/>
      </c>
      <c r="P23" s="83">
        <f>'10 Calculated Part Data'!P73+0.03</f>
        <v/>
      </c>
      <c r="Q23" s="83">
        <f>'10 Calculated Part Data'!Q73+0.03</f>
        <v/>
      </c>
      <c r="R23" s="83">
        <f>'10 Calculated Part Data'!R73+0.03</f>
        <v/>
      </c>
      <c r="S23" s="85">
        <f>'10 Calculated Part Data'!R138+0.03</f>
        <v/>
      </c>
      <c r="T23" s="57" t="inlineStr">
        <is>
          <t>Engine</t>
        </is>
      </c>
      <c r="U23" s="57" t="n"/>
      <c r="V23" s="89" t="n">
        <v>597.4</v>
      </c>
      <c r="W23" s="89" t="n">
        <v>66.04000000000001</v>
      </c>
      <c r="X23" s="89" t="n">
        <v>213.08</v>
      </c>
      <c r="Y23" s="57" t="n"/>
      <c r="Z23" s="57" t="n"/>
      <c r="AA23" s="57" t="n"/>
      <c r="AB23" s="57" t="n"/>
      <c r="AC23" s="57" t="n"/>
      <c r="AD23" s="57" t="n"/>
      <c r="AE23" s="57" t="n"/>
      <c r="AF23" s="57" t="n"/>
      <c r="AG23" s="57" t="n"/>
      <c r="AH23" s="57" t="n"/>
      <c r="AI23" s="57" t="n"/>
      <c r="AJ23" s="57" t="n"/>
      <c r="AK23" s="57" t="n"/>
      <c r="AL23" s="57" t="n"/>
      <c r="AM23" s="57" t="n"/>
      <c r="AN23" s="57" t="n"/>
      <c r="AO23" s="57" t="n"/>
      <c r="AP23" s="57" t="n"/>
      <c r="AQ23" s="57" t="n"/>
      <c r="AR23" s="57" t="n"/>
      <c r="AS23" s="57" t="n"/>
      <c r="AT23" s="57" t="n"/>
    </row>
    <row r="24" ht="12.75" customHeight="1" s="267">
      <c r="A24" s="57" t="inlineStr">
        <is>
          <t>Front Wing</t>
        </is>
      </c>
      <c r="B24" s="57" t="n"/>
      <c r="C24" s="83">
        <f>'10 Calculated Part Data'!C74</f>
        <v/>
      </c>
      <c r="D24" s="84">
        <f>'10 Calculated Part Data'!D74</f>
        <v/>
      </c>
      <c r="E24" s="84">
        <f>'10 Calculated Part Data'!E74</f>
        <v/>
      </c>
      <c r="F24" s="84">
        <f>'10 Calculated Part Data'!F74</f>
        <v/>
      </c>
      <c r="G24" s="84">
        <f>'10 Calculated Part Data'!G74</f>
        <v/>
      </c>
      <c r="H24" s="84">
        <f>'10 Calculated Part Data'!H74</f>
        <v/>
      </c>
      <c r="I24" s="84">
        <f>'10 Calculated Part Data'!I74</f>
        <v/>
      </c>
      <c r="J24" s="84">
        <f>'10 Calculated Part Data'!J74</f>
        <v/>
      </c>
      <c r="K24" s="84">
        <f>'10 Calculated Part Data'!K74</f>
        <v/>
      </c>
      <c r="L24" s="84">
        <f>'10 Calculated Part Data'!L74</f>
        <v/>
      </c>
      <c r="M24" s="84">
        <f>'10 Calculated Part Data'!M74</f>
        <v/>
      </c>
      <c r="N24" s="84">
        <f>'10 Calculated Part Data'!N74</f>
        <v/>
      </c>
      <c r="O24" s="84">
        <f>'10 Calculated Part Data'!O74</f>
        <v/>
      </c>
      <c r="P24" s="84">
        <f>'10 Calculated Part Data'!P74</f>
        <v/>
      </c>
      <c r="Q24" s="84">
        <f>'10 Calculated Part Data'!Q74</f>
        <v/>
      </c>
      <c r="R24" s="84">
        <f>'10 Calculated Part Data'!R74</f>
        <v/>
      </c>
      <c r="S24" s="85">
        <f>'10 Calculated Part Data'!R139</f>
        <v/>
      </c>
      <c r="T24" s="57" t="inlineStr">
        <is>
          <t>Front Wing</t>
        </is>
      </c>
      <c r="U24" s="57" t="n"/>
      <c r="V24" s="89" t="n">
        <v>66.14</v>
      </c>
      <c r="W24" s="89" t="n">
        <v>306.19</v>
      </c>
      <c r="X24" s="89" t="n">
        <v>39.78</v>
      </c>
      <c r="Y24" s="57" t="n"/>
      <c r="Z24" s="57" t="n"/>
      <c r="AA24" s="57" t="n"/>
      <c r="AB24" s="57" t="n"/>
      <c r="AC24" s="57" t="n"/>
      <c r="AD24" s="57" t="n"/>
      <c r="AE24" s="57" t="n"/>
      <c r="AF24" s="57" t="n"/>
      <c r="AG24" s="57" t="n"/>
      <c r="AH24" s="57" t="n"/>
      <c r="AI24" s="57" t="n"/>
      <c r="AJ24" s="57" t="n"/>
      <c r="AK24" s="57" t="n"/>
      <c r="AL24" s="57" t="n"/>
      <c r="AM24" s="57" t="n"/>
      <c r="AN24" s="57" t="n"/>
      <c r="AO24" s="57" t="n"/>
      <c r="AP24" s="57" t="n"/>
      <c r="AQ24" s="57" t="n"/>
      <c r="AR24" s="57" t="n"/>
      <c r="AS24" s="57" t="n"/>
      <c r="AT24" s="57" t="n"/>
    </row>
    <row r="25" ht="12.75" customHeight="1" s="267">
      <c r="A25" s="57" t="inlineStr">
        <is>
          <t>Rear Wing</t>
        </is>
      </c>
      <c r="B25" s="57" t="n"/>
      <c r="C25" s="83">
        <f>'10 Calculated Part Data'!C75</f>
        <v/>
      </c>
      <c r="D25" s="84">
        <f>'10 Calculated Part Data'!D75</f>
        <v/>
      </c>
      <c r="E25" s="84">
        <f>'10 Calculated Part Data'!E75</f>
        <v/>
      </c>
      <c r="F25" s="84">
        <f>'10 Calculated Part Data'!F75</f>
        <v/>
      </c>
      <c r="G25" s="84">
        <f>'10 Calculated Part Data'!G75</f>
        <v/>
      </c>
      <c r="H25" s="84">
        <f>'10 Calculated Part Data'!H75</f>
        <v/>
      </c>
      <c r="I25" s="84">
        <f>'10 Calculated Part Data'!I75</f>
        <v/>
      </c>
      <c r="J25" s="84">
        <f>'10 Calculated Part Data'!J75</f>
        <v/>
      </c>
      <c r="K25" s="84">
        <f>'10 Calculated Part Data'!K75</f>
        <v/>
      </c>
      <c r="L25" s="84">
        <f>'10 Calculated Part Data'!L75</f>
        <v/>
      </c>
      <c r="M25" s="84">
        <f>'10 Calculated Part Data'!M75</f>
        <v/>
      </c>
      <c r="N25" s="84">
        <f>'10 Calculated Part Data'!N75</f>
        <v/>
      </c>
      <c r="O25" s="84">
        <f>'10 Calculated Part Data'!O75</f>
        <v/>
      </c>
      <c r="P25" s="84">
        <f>'10 Calculated Part Data'!P75</f>
        <v/>
      </c>
      <c r="Q25" s="84">
        <f>'10 Calculated Part Data'!Q75</f>
        <v/>
      </c>
      <c r="R25" s="84">
        <f>'10 Calculated Part Data'!R75</f>
        <v/>
      </c>
      <c r="S25" s="85">
        <f>'10 Calculated Part Data'!R140</f>
        <v/>
      </c>
      <c r="T25" s="57" t="inlineStr">
        <is>
          <t>Rear Wing</t>
        </is>
      </c>
      <c r="U25" s="57" t="n"/>
      <c r="V25" s="89" t="n">
        <v>0.12</v>
      </c>
      <c r="W25" s="89" t="n">
        <v>185.34</v>
      </c>
      <c r="X25" s="89" t="n">
        <v>212.59</v>
      </c>
      <c r="Y25" s="57" t="n"/>
      <c r="Z25" s="57" t="n"/>
      <c r="AA25" s="57" t="n"/>
      <c r="AB25" s="57" t="n"/>
      <c r="AC25" s="57" t="n"/>
      <c r="AD25" s="57" t="n"/>
      <c r="AE25" s="57" t="n"/>
      <c r="AF25" s="57" t="n"/>
      <c r="AG25" s="57" t="n"/>
      <c r="AH25" s="57" t="n"/>
      <c r="AI25" s="57" t="n"/>
      <c r="AJ25" s="57" t="n"/>
      <c r="AK25" s="57" t="n"/>
      <c r="AL25" s="57" t="n"/>
      <c r="AM25" s="57" t="n"/>
      <c r="AN25" s="57" t="n"/>
      <c r="AO25" s="57" t="n"/>
      <c r="AP25" s="57" t="n"/>
      <c r="AQ25" s="57" t="n"/>
      <c r="AR25" s="57" t="n"/>
      <c r="AS25" s="57" t="n"/>
      <c r="AT25" s="57" t="n"/>
    </row>
    <row r="26" ht="12.75" customHeight="1" s="267">
      <c r="A26" s="57" t="inlineStr">
        <is>
          <t>Underbody</t>
        </is>
      </c>
      <c r="B26" s="57" t="n"/>
      <c r="C26" s="83">
        <f>'10 Calculated Part Data'!C76</f>
        <v/>
      </c>
      <c r="D26" s="84">
        <f>'10 Calculated Part Data'!D76</f>
        <v/>
      </c>
      <c r="E26" s="84">
        <f>'10 Calculated Part Data'!E76</f>
        <v/>
      </c>
      <c r="F26" s="84">
        <f>'10 Calculated Part Data'!F76</f>
        <v/>
      </c>
      <c r="G26" s="84">
        <f>'10 Calculated Part Data'!G76</f>
        <v/>
      </c>
      <c r="H26" s="84">
        <f>'10 Calculated Part Data'!H76</f>
        <v/>
      </c>
      <c r="I26" s="84">
        <f>'10 Calculated Part Data'!I76</f>
        <v/>
      </c>
      <c r="J26" s="84">
        <f>'10 Calculated Part Data'!J76</f>
        <v/>
      </c>
      <c r="K26" s="84">
        <f>'10 Calculated Part Data'!K76</f>
        <v/>
      </c>
      <c r="L26" s="84">
        <f>'10 Calculated Part Data'!L76</f>
        <v/>
      </c>
      <c r="M26" s="84">
        <f>'10 Calculated Part Data'!M76</f>
        <v/>
      </c>
      <c r="N26" s="84">
        <f>'10 Calculated Part Data'!N76</f>
        <v/>
      </c>
      <c r="O26" s="84">
        <f>'10 Calculated Part Data'!O76</f>
        <v/>
      </c>
      <c r="P26" s="84">
        <f>'10 Calculated Part Data'!P76</f>
        <v/>
      </c>
      <c r="Q26" s="84">
        <f>'10 Calculated Part Data'!Q76</f>
        <v/>
      </c>
      <c r="R26" s="84">
        <f>'10 Calculated Part Data'!R76</f>
        <v/>
      </c>
      <c r="S26" s="85">
        <f>'10 Calculated Part Data'!R141</f>
        <v/>
      </c>
      <c r="T26" s="57" t="inlineStr">
        <is>
          <t>Underbody</t>
        </is>
      </c>
      <c r="U26" s="57" t="n"/>
      <c r="V26" s="89" t="n">
        <v>0</v>
      </c>
      <c r="W26" s="89" t="n">
        <v>93.3</v>
      </c>
      <c r="X26" s="89" t="n">
        <v>40.27</v>
      </c>
      <c r="Y26" s="57" t="n"/>
      <c r="Z26" s="57" t="n"/>
      <c r="AA26" s="57" t="n"/>
      <c r="AB26" s="57" t="n"/>
      <c r="AC26" s="57" t="n"/>
      <c r="AD26" s="57" t="n"/>
      <c r="AE26" s="57" t="n"/>
      <c r="AF26" s="57" t="n"/>
      <c r="AG26" s="57" t="n"/>
      <c r="AH26" s="57" t="n"/>
      <c r="AI26" s="57" t="n"/>
      <c r="AJ26" s="57" t="n"/>
      <c r="AK26" s="57" t="n"/>
      <c r="AL26" s="57" t="n"/>
      <c r="AM26" s="57" t="n"/>
      <c r="AN26" s="57" t="n"/>
      <c r="AO26" s="57" t="n"/>
      <c r="AP26" s="57" t="n"/>
      <c r="AQ26" s="57" t="n"/>
      <c r="AR26" s="57" t="n"/>
      <c r="AS26" s="57" t="n"/>
      <c r="AT26" s="57" t="n"/>
    </row>
    <row r="27" ht="12.75" customHeight="1" s="267">
      <c r="A27" s="57" t="inlineStr">
        <is>
          <t>Sidepods</t>
        </is>
      </c>
      <c r="B27" s="57" t="n"/>
      <c r="C27" s="83">
        <f>'10 Calculated Part Data'!C77</f>
        <v/>
      </c>
      <c r="D27" s="84">
        <f>'10 Calculated Part Data'!D77</f>
        <v/>
      </c>
      <c r="E27" s="84">
        <f>'10 Calculated Part Data'!E77</f>
        <v/>
      </c>
      <c r="F27" s="84">
        <f>'10 Calculated Part Data'!F77</f>
        <v/>
      </c>
      <c r="G27" s="84">
        <f>'10 Calculated Part Data'!G77</f>
        <v/>
      </c>
      <c r="H27" s="84">
        <f>'10 Calculated Part Data'!H77</f>
        <v/>
      </c>
      <c r="I27" s="84">
        <f>'10 Calculated Part Data'!I77</f>
        <v/>
      </c>
      <c r="J27" s="84">
        <f>'10 Calculated Part Data'!J77</f>
        <v/>
      </c>
      <c r="K27" s="84">
        <f>'10 Calculated Part Data'!K77</f>
        <v/>
      </c>
      <c r="L27" s="84">
        <f>'10 Calculated Part Data'!L77</f>
        <v/>
      </c>
      <c r="M27" s="84">
        <f>'10 Calculated Part Data'!M77</f>
        <v/>
      </c>
      <c r="N27" s="84">
        <f>'10 Calculated Part Data'!N77</f>
        <v/>
      </c>
      <c r="O27" s="84">
        <f>'10 Calculated Part Data'!O77</f>
        <v/>
      </c>
      <c r="P27" s="84">
        <f>'10 Calculated Part Data'!P77</f>
        <v/>
      </c>
      <c r="Q27" s="84">
        <f>'10 Calculated Part Data'!Q77</f>
        <v/>
      </c>
      <c r="R27" s="84">
        <f>'10 Calculated Part Data'!R77</f>
        <v/>
      </c>
      <c r="S27" s="85">
        <f>'10 Calculated Part Data'!R142</f>
        <v/>
      </c>
      <c r="T27" s="57" t="inlineStr">
        <is>
          <t>Sidepods</t>
        </is>
      </c>
      <c r="U27" s="57" t="n"/>
      <c r="V27" s="89" t="n">
        <v>66.67</v>
      </c>
      <c r="W27" s="89" t="n">
        <v>65.98</v>
      </c>
      <c r="X27" s="89" t="n">
        <v>0</v>
      </c>
      <c r="Y27" s="57" t="n"/>
      <c r="Z27" s="57" t="n"/>
      <c r="AA27" s="57" t="n"/>
      <c r="AB27" s="57" t="n"/>
      <c r="AC27" s="57" t="n"/>
      <c r="AD27" s="57" t="n"/>
      <c r="AE27" s="57" t="n"/>
      <c r="AF27" s="57" t="n"/>
      <c r="AG27" s="57" t="n"/>
      <c r="AH27" s="57" t="n"/>
      <c r="AI27" s="57" t="n"/>
      <c r="AJ27" s="57" t="n"/>
      <c r="AK27" s="57" t="n"/>
      <c r="AL27" s="57" t="n"/>
      <c r="AM27" s="57" t="n"/>
      <c r="AN27" s="57" t="n"/>
      <c r="AO27" s="57" t="n"/>
      <c r="AP27" s="57" t="n"/>
      <c r="AQ27" s="57" t="n"/>
      <c r="AR27" s="57" t="n"/>
      <c r="AS27" s="57" t="n"/>
      <c r="AT27" s="57" t="n"/>
    </row>
    <row r="28" ht="12.75" customHeight="1" s="267">
      <c r="A28" s="57" t="inlineStr">
        <is>
          <t>Cooling</t>
        </is>
      </c>
      <c r="B28" s="57" t="n"/>
      <c r="C28" s="83">
        <f>'10 Calculated Part Data'!C78</f>
        <v/>
      </c>
      <c r="D28" s="84">
        <f>'10 Calculated Part Data'!D78</f>
        <v/>
      </c>
      <c r="E28" s="84">
        <f>'10 Calculated Part Data'!E78</f>
        <v/>
      </c>
      <c r="F28" s="84">
        <f>'10 Calculated Part Data'!F78</f>
        <v/>
      </c>
      <c r="G28" s="84">
        <f>'10 Calculated Part Data'!G78</f>
        <v/>
      </c>
      <c r="H28" s="84">
        <f>'10 Calculated Part Data'!H78</f>
        <v/>
      </c>
      <c r="I28" s="84">
        <f>'10 Calculated Part Data'!I78</f>
        <v/>
      </c>
      <c r="J28" s="84">
        <f>'10 Calculated Part Data'!J78</f>
        <v/>
      </c>
      <c r="K28" s="84">
        <f>'10 Calculated Part Data'!K78</f>
        <v/>
      </c>
      <c r="L28" s="84">
        <f>'10 Calculated Part Data'!L78</f>
        <v/>
      </c>
      <c r="M28" s="84">
        <f>'10 Calculated Part Data'!M78</f>
        <v/>
      </c>
      <c r="N28" s="84">
        <f>'10 Calculated Part Data'!N78</f>
        <v/>
      </c>
      <c r="O28" s="84">
        <f>'10 Calculated Part Data'!O78</f>
        <v/>
      </c>
      <c r="P28" s="84">
        <f>'10 Calculated Part Data'!P78</f>
        <v/>
      </c>
      <c r="Q28" s="84">
        <f>'10 Calculated Part Data'!Q78</f>
        <v/>
      </c>
      <c r="R28" s="84">
        <f>'10 Calculated Part Data'!R78</f>
        <v/>
      </c>
      <c r="S28" s="85">
        <f>'10 Calculated Part Data'!R143</f>
        <v/>
      </c>
      <c r="T28" s="57" t="inlineStr">
        <is>
          <t>Cooling</t>
        </is>
      </c>
      <c r="U28" s="57" t="n"/>
      <c r="V28" s="89" t="n">
        <v>119.26</v>
      </c>
      <c r="W28" s="89" t="n">
        <v>0.1</v>
      </c>
      <c r="X28" s="89" t="n">
        <v>0</v>
      </c>
      <c r="Y28" s="57" t="n"/>
      <c r="Z28" s="57" t="n"/>
      <c r="AA28" s="57" t="n"/>
      <c r="AB28" s="57" t="n"/>
      <c r="AC28" s="57" t="n"/>
      <c r="AD28" s="57" t="n"/>
      <c r="AE28" s="57" t="n"/>
      <c r="AF28" s="57" t="n"/>
      <c r="AG28" s="57" t="n"/>
      <c r="AH28" s="57" t="n"/>
      <c r="AI28" s="57" t="n"/>
      <c r="AJ28" s="57" t="n"/>
      <c r="AK28" s="57" t="n"/>
      <c r="AL28" s="57" t="n"/>
      <c r="AM28" s="57" t="n"/>
      <c r="AN28" s="57" t="n"/>
      <c r="AO28" s="57" t="n"/>
      <c r="AP28" s="57" t="n"/>
      <c r="AQ28" s="57" t="n"/>
      <c r="AR28" s="57" t="n"/>
      <c r="AS28" s="57" t="n"/>
      <c r="AT28" s="57" t="n"/>
    </row>
    <row r="29" ht="12.75" customHeight="1" s="267">
      <c r="A29" s="57" t="inlineStr">
        <is>
          <t>Gearbox</t>
        </is>
      </c>
      <c r="B29" s="57" t="n"/>
      <c r="C29" s="83">
        <f>'10 Calculated Part Data'!C79</f>
        <v/>
      </c>
      <c r="D29" s="84">
        <f>'10 Calculated Part Data'!D79</f>
        <v/>
      </c>
      <c r="E29" s="84">
        <f>'10 Calculated Part Data'!E79</f>
        <v/>
      </c>
      <c r="F29" s="84">
        <f>'10 Calculated Part Data'!F79</f>
        <v/>
      </c>
      <c r="G29" s="84">
        <f>'10 Calculated Part Data'!G79</f>
        <v/>
      </c>
      <c r="H29" s="84">
        <f>'10 Calculated Part Data'!H79</f>
        <v/>
      </c>
      <c r="I29" s="84">
        <f>'10 Calculated Part Data'!I79</f>
        <v/>
      </c>
      <c r="J29" s="84">
        <f>'10 Calculated Part Data'!J79</f>
        <v/>
      </c>
      <c r="K29" s="84">
        <f>'10 Calculated Part Data'!K79</f>
        <v/>
      </c>
      <c r="L29" s="84">
        <f>'10 Calculated Part Data'!L79</f>
        <v/>
      </c>
      <c r="M29" s="84">
        <f>'10 Calculated Part Data'!M79</f>
        <v/>
      </c>
      <c r="N29" s="84">
        <f>'10 Calculated Part Data'!N79</f>
        <v/>
      </c>
      <c r="O29" s="84">
        <f>'10 Calculated Part Data'!O79</f>
        <v/>
      </c>
      <c r="P29" s="84">
        <f>'10 Calculated Part Data'!P79</f>
        <v/>
      </c>
      <c r="Q29" s="84">
        <f>'10 Calculated Part Data'!Q79</f>
        <v/>
      </c>
      <c r="R29" s="84">
        <f>'10 Calculated Part Data'!R79</f>
        <v/>
      </c>
      <c r="S29" s="85">
        <f>'10 Calculated Part Data'!R144</f>
        <v/>
      </c>
      <c r="T29" s="57" t="inlineStr">
        <is>
          <t>Gearbox</t>
        </is>
      </c>
      <c r="U29" s="57" t="n"/>
      <c r="V29" s="89" t="n">
        <v>305.46</v>
      </c>
      <c r="W29" s="89" t="n">
        <v>93.28</v>
      </c>
      <c r="X29" s="89" t="n">
        <v>424.61</v>
      </c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7" t="n"/>
      <c r="AL29" s="57" t="n"/>
      <c r="AM29" s="57" t="n"/>
      <c r="AN29" s="57" t="n"/>
      <c r="AO29" s="57" t="n"/>
      <c r="AP29" s="57" t="n"/>
      <c r="AQ29" s="57" t="n"/>
      <c r="AR29" s="57" t="n"/>
      <c r="AS29" s="57" t="n"/>
      <c r="AT29" s="57" t="n"/>
    </row>
    <row r="30" ht="12.75" customHeight="1" s="267">
      <c r="A30" s="57" t="inlineStr">
        <is>
          <t>Brakes</t>
        </is>
      </c>
      <c r="B30" s="57" t="n"/>
      <c r="C30" s="83">
        <f>'10 Calculated Part Data'!C80</f>
        <v/>
      </c>
      <c r="D30" s="84">
        <f>'10 Calculated Part Data'!D80</f>
        <v/>
      </c>
      <c r="E30" s="84">
        <f>'10 Calculated Part Data'!E80</f>
        <v/>
      </c>
      <c r="F30" s="84">
        <f>'10 Calculated Part Data'!F80</f>
        <v/>
      </c>
      <c r="G30" s="84">
        <f>'10 Calculated Part Data'!G80</f>
        <v/>
      </c>
      <c r="H30" s="84">
        <f>'10 Calculated Part Data'!H80</f>
        <v/>
      </c>
      <c r="I30" s="84">
        <f>'10 Calculated Part Data'!I80</f>
        <v/>
      </c>
      <c r="J30" s="84">
        <f>'10 Calculated Part Data'!J80</f>
        <v/>
      </c>
      <c r="K30" s="84">
        <f>'10 Calculated Part Data'!K80</f>
        <v/>
      </c>
      <c r="L30" s="84">
        <f>'10 Calculated Part Data'!L80</f>
        <v/>
      </c>
      <c r="M30" s="84">
        <f>'10 Calculated Part Data'!M80</f>
        <v/>
      </c>
      <c r="N30" s="84">
        <f>'10 Calculated Part Data'!N80</f>
        <v/>
      </c>
      <c r="O30" s="84">
        <f>'10 Calculated Part Data'!O80</f>
        <v/>
      </c>
      <c r="P30" s="84">
        <f>'10 Calculated Part Data'!P80</f>
        <v/>
      </c>
      <c r="Q30" s="84">
        <f>'10 Calculated Part Data'!Q80</f>
        <v/>
      </c>
      <c r="R30" s="84">
        <f>'10 Calculated Part Data'!R80</f>
        <v/>
      </c>
      <c r="S30" s="85">
        <f>'10 Calculated Part Data'!R145</f>
        <v/>
      </c>
      <c r="T30" s="57" t="inlineStr">
        <is>
          <t>Brakes</t>
        </is>
      </c>
      <c r="U30" s="57" t="n"/>
      <c r="V30" s="89" t="n">
        <v>0.27</v>
      </c>
      <c r="W30" s="89" t="n">
        <v>185.35</v>
      </c>
      <c r="X30" s="89" t="n">
        <v>0</v>
      </c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7" t="n"/>
      <c r="AL30" s="57" t="n"/>
      <c r="AM30" s="57" t="n"/>
      <c r="AN30" s="57" t="n"/>
      <c r="AO30" s="57" t="n"/>
      <c r="AP30" s="57" t="n"/>
      <c r="AQ30" s="57" t="n"/>
      <c r="AR30" s="57" t="n"/>
      <c r="AS30" s="57" t="n"/>
      <c r="AT30" s="57" t="n"/>
    </row>
    <row r="31" ht="12.75" customHeight="1" s="267">
      <c r="A31" s="57" t="inlineStr">
        <is>
          <t>Suspension</t>
        </is>
      </c>
      <c r="B31" s="57" t="n"/>
      <c r="C31" s="83">
        <f>'10 Calculated Part Data'!C81</f>
        <v/>
      </c>
      <c r="D31" s="84">
        <f>'10 Calculated Part Data'!D81</f>
        <v/>
      </c>
      <c r="E31" s="84">
        <f>'10 Calculated Part Data'!E81</f>
        <v/>
      </c>
      <c r="F31" s="84">
        <f>'10 Calculated Part Data'!F81</f>
        <v/>
      </c>
      <c r="G31" s="84">
        <f>'10 Calculated Part Data'!G81</f>
        <v/>
      </c>
      <c r="H31" s="84">
        <f>'10 Calculated Part Data'!H81</f>
        <v/>
      </c>
      <c r="I31" s="84">
        <f>'10 Calculated Part Data'!I81</f>
        <v/>
      </c>
      <c r="J31" s="84">
        <f>'10 Calculated Part Data'!J81</f>
        <v/>
      </c>
      <c r="K31" s="84">
        <f>'10 Calculated Part Data'!K81</f>
        <v/>
      </c>
      <c r="L31" s="84">
        <f>'10 Calculated Part Data'!L81</f>
        <v/>
      </c>
      <c r="M31" s="84">
        <f>'10 Calculated Part Data'!M81</f>
        <v/>
      </c>
      <c r="N31" s="84">
        <f>'10 Calculated Part Data'!N81</f>
        <v/>
      </c>
      <c r="O31" s="84">
        <f>'10 Calculated Part Data'!O81</f>
        <v/>
      </c>
      <c r="P31" s="84">
        <f>'10 Calculated Part Data'!P81</f>
        <v/>
      </c>
      <c r="Q31" s="84">
        <f>'10 Calculated Part Data'!Q81</f>
        <v/>
      </c>
      <c r="R31" s="84">
        <f>'10 Calculated Part Data'!R81</f>
        <v/>
      </c>
      <c r="S31" s="85">
        <f>'10 Calculated Part Data'!R146</f>
        <v/>
      </c>
      <c r="T31" s="57" t="inlineStr">
        <is>
          <t>Suspension</t>
        </is>
      </c>
      <c r="U31" s="57" t="n"/>
      <c r="V31" s="89" t="n">
        <v>0</v>
      </c>
      <c r="W31" s="89" t="n">
        <v>185.46</v>
      </c>
      <c r="X31" s="89" t="n">
        <v>131.95</v>
      </c>
      <c r="Y31" s="57" t="n"/>
      <c r="Z31" s="57" t="n"/>
      <c r="AA31" s="57" t="n"/>
      <c r="AB31" s="57" t="n"/>
      <c r="AC31" s="57" t="n"/>
      <c r="AD31" s="57" t="n"/>
      <c r="AE31" s="57" t="n"/>
      <c r="AF31" s="57" t="n"/>
      <c r="AG31" s="57" t="n"/>
      <c r="AH31" s="57" t="n"/>
      <c r="AI31" s="57" t="n"/>
      <c r="AJ31" s="57" t="n"/>
      <c r="AK31" s="57" t="n"/>
      <c r="AL31" s="57" t="n"/>
      <c r="AM31" s="57" t="n"/>
      <c r="AN31" s="57" t="n"/>
      <c r="AO31" s="57" t="n"/>
      <c r="AP31" s="57" t="n"/>
      <c r="AQ31" s="57" t="n"/>
      <c r="AR31" s="57" t="n"/>
      <c r="AS31" s="57" t="n"/>
      <c r="AT31" s="57" t="n"/>
    </row>
    <row r="32" ht="12.75" customHeight="1" s="267">
      <c r="A32" s="57" t="inlineStr">
        <is>
          <t>Electronics</t>
        </is>
      </c>
      <c r="B32" s="57" t="n"/>
      <c r="C32" s="86">
        <f>'10 Calculated Part Data'!C82</f>
        <v/>
      </c>
      <c r="D32" s="87">
        <f>'10 Calculated Part Data'!D82</f>
        <v/>
      </c>
      <c r="E32" s="87">
        <f>'10 Calculated Part Data'!E82</f>
        <v/>
      </c>
      <c r="F32" s="87">
        <f>'10 Calculated Part Data'!F82</f>
        <v/>
      </c>
      <c r="G32" s="87">
        <f>'10 Calculated Part Data'!G82</f>
        <v/>
      </c>
      <c r="H32" s="87">
        <f>'10 Calculated Part Data'!H82</f>
        <v/>
      </c>
      <c r="I32" s="87">
        <f>'10 Calculated Part Data'!I82</f>
        <v/>
      </c>
      <c r="J32" s="87">
        <f>'10 Calculated Part Data'!J82</f>
        <v/>
      </c>
      <c r="K32" s="87">
        <f>'10 Calculated Part Data'!K82</f>
        <v/>
      </c>
      <c r="L32" s="87">
        <f>'10 Calculated Part Data'!L82</f>
        <v/>
      </c>
      <c r="M32" s="87">
        <f>'10 Calculated Part Data'!M82</f>
        <v/>
      </c>
      <c r="N32" s="87">
        <f>'10 Calculated Part Data'!N82</f>
        <v/>
      </c>
      <c r="O32" s="87">
        <f>'10 Calculated Part Data'!O82</f>
        <v/>
      </c>
      <c r="P32" s="87">
        <f>'10 Calculated Part Data'!P82</f>
        <v/>
      </c>
      <c r="Q32" s="87">
        <f>'10 Calculated Part Data'!Q82</f>
        <v/>
      </c>
      <c r="R32" s="87">
        <f>'10 Calculated Part Data'!R82</f>
        <v/>
      </c>
      <c r="S32" s="88">
        <f>'10 Calculated Part Data'!R147</f>
        <v/>
      </c>
      <c r="T32" s="57" t="inlineStr">
        <is>
          <t>Electronics</t>
        </is>
      </c>
      <c r="U32" s="57" t="n"/>
      <c r="V32" s="89" t="n">
        <v>119.13</v>
      </c>
      <c r="W32" s="89" t="n">
        <v>0.04</v>
      </c>
      <c r="X32" s="89" t="n">
        <v>132.94</v>
      </c>
      <c r="Y32" s="57" t="n"/>
      <c r="Z32" s="57" t="n"/>
      <c r="AA32" s="57" t="n"/>
      <c r="AB32" s="57" t="n"/>
      <c r="AC32" s="57" t="n"/>
      <c r="AD32" s="57" t="n"/>
      <c r="AE32" s="57" t="n"/>
      <c r="AF32" s="57" t="n"/>
      <c r="AG32" s="57" t="n"/>
      <c r="AH32" s="57" t="n"/>
      <c r="AI32" s="57" t="n"/>
      <c r="AJ32" s="57" t="n"/>
      <c r="AK32" s="57" t="n"/>
      <c r="AL32" s="57" t="n"/>
      <c r="AM32" s="57" t="n"/>
      <c r="AN32" s="57" t="n"/>
      <c r="AO32" s="57" t="n"/>
      <c r="AP32" s="57" t="n"/>
      <c r="AQ32" s="57" t="n"/>
      <c r="AR32" s="57" t="n"/>
      <c r="AS32" s="57" t="n"/>
      <c r="AT32" s="57" t="n"/>
    </row>
    <row r="33" ht="12.75" customHeight="1" s="267">
      <c r="A33" s="57" t="n"/>
      <c r="B33" s="57" t="n"/>
      <c r="C33" s="70" t="n"/>
      <c r="D33" s="70" t="n"/>
      <c r="E33" s="70" t="n"/>
      <c r="F33" s="70" t="n"/>
      <c r="G33" s="70" t="n"/>
      <c r="H33" s="70" t="n"/>
      <c r="I33" s="70" t="n"/>
      <c r="J33" s="70" t="n"/>
      <c r="K33" s="70" t="n"/>
      <c r="L33" s="70" t="n"/>
      <c r="M33" s="70" t="n"/>
      <c r="N33" s="70" t="n"/>
      <c r="O33" s="70" t="n"/>
      <c r="P33" s="70" t="n"/>
      <c r="Q33" s="70" t="n"/>
      <c r="R33" s="70" t="n"/>
      <c r="S33" s="70" t="n"/>
      <c r="T33" s="57" t="n"/>
      <c r="U33" s="57" t="inlineStr">
        <is>
          <t>Final</t>
        </is>
      </c>
      <c r="V33" s="57" t="n"/>
      <c r="W33" s="57" t="n"/>
      <c r="X33" s="57" t="n"/>
      <c r="Y33" s="57" t="n"/>
      <c r="Z33" s="57" t="n"/>
      <c r="AA33" s="57" t="n"/>
      <c r="AB33" s="57" t="n"/>
      <c r="AC33" s="57" t="n"/>
      <c r="AD33" s="57" t="n"/>
      <c r="AE33" s="57" t="n"/>
      <c r="AF33" s="57" t="n"/>
      <c r="AG33" s="57" t="n"/>
      <c r="AH33" s="57" t="n"/>
      <c r="AI33" s="57" t="n"/>
      <c r="AJ33" s="57" t="n"/>
      <c r="AK33" s="57" t="n"/>
      <c r="AL33" s="57" t="n"/>
      <c r="AM33" s="57" t="n"/>
      <c r="AN33" s="57" t="n"/>
      <c r="AO33" s="57" t="n"/>
      <c r="AP33" s="57" t="n"/>
      <c r="AQ33" s="57" t="n"/>
      <c r="AR33" s="57" t="n"/>
      <c r="AS33" s="57" t="n"/>
      <c r="AT33" s="57" t="n"/>
    </row>
    <row r="34" ht="12.75" customHeight="1" s="267">
      <c r="A34" s="57" t="inlineStr">
        <is>
          <t>Chassis</t>
        </is>
      </c>
      <c r="B34" s="90">
        <f>'3 Part Data'!B5</f>
        <v/>
      </c>
      <c r="C34" s="91" t="n"/>
      <c r="D34" s="92" t="n"/>
      <c r="E34" s="92" t="n"/>
      <c r="F34" s="92" t="n"/>
      <c r="G34" s="92" t="n"/>
      <c r="H34" s="92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3" t="n"/>
      <c r="R34" s="93" t="n"/>
      <c r="S34" s="94" t="n"/>
      <c r="T34" s="57" t="inlineStr">
        <is>
          <t>Chassis</t>
        </is>
      </c>
      <c r="U34" s="90">
        <f>VLOOKUP(T34,'10 Calculated Part Data'!$A$18:$R$28,17+1,FALSE)</f>
        <v/>
      </c>
      <c r="V34" s="57" t="n"/>
      <c r="W34" s="57" t="n"/>
      <c r="X34" s="57" t="n"/>
      <c r="Y34" s="57" t="n"/>
      <c r="Z34" s="57" t="n"/>
      <c r="AA34" s="57" t="n"/>
      <c r="AB34" s="57" t="n"/>
      <c r="AC34" s="57" t="n"/>
      <c r="AD34" s="95" t="n"/>
      <c r="AE34" s="96" t="n"/>
      <c r="AF34" s="96" t="n"/>
      <c r="AG34" s="96" t="n"/>
      <c r="AH34" s="96" t="inlineStr">
        <is>
          <t>Level 6</t>
        </is>
      </c>
      <c r="AI34" s="96" t="n"/>
      <c r="AJ34" s="96" t="n"/>
      <c r="AK34" s="96" t="n"/>
      <c r="AL34" s="96" t="inlineStr">
        <is>
          <t>Downgrade L5</t>
        </is>
      </c>
      <c r="AM34" s="96" t="inlineStr">
        <is>
          <t>Level 6</t>
        </is>
      </c>
      <c r="AN34" s="96" t="n"/>
      <c r="AO34" s="96" t="n"/>
      <c r="AP34" s="96" t="inlineStr">
        <is>
          <t>Downgrade L5</t>
        </is>
      </c>
      <c r="AQ34" s="96" t="inlineStr">
        <is>
          <t>Level 6</t>
        </is>
      </c>
      <c r="AR34" s="96" t="n"/>
      <c r="AS34" s="96" t="n"/>
      <c r="AT34" s="97" t="n"/>
    </row>
    <row r="35" ht="12.75" customHeight="1" s="267">
      <c r="A35" s="57" t="inlineStr">
        <is>
          <t>Engine</t>
        </is>
      </c>
      <c r="B35" s="90">
        <f>'3 Part Data'!B6</f>
        <v/>
      </c>
      <c r="C35" s="98" t="n"/>
      <c r="D35" s="99" t="n"/>
      <c r="E35" s="99" t="inlineStr">
        <is>
          <t>Level 7</t>
        </is>
      </c>
      <c r="F35" s="99" t="n"/>
      <c r="G35" s="99" t="n"/>
      <c r="H35" s="99" t="n"/>
      <c r="I35" s="96" t="n"/>
      <c r="J35" s="96" t="n"/>
      <c r="K35" s="96" t="n"/>
      <c r="L35" s="96" t="n"/>
      <c r="M35" s="96" t="n"/>
      <c r="N35" s="96" t="n"/>
      <c r="O35" s="96" t="n"/>
      <c r="P35" s="96" t="n"/>
      <c r="Q35" s="96" t="n"/>
      <c r="R35" s="96" t="n"/>
      <c r="S35" s="97" t="n"/>
      <c r="T35" s="57" t="inlineStr">
        <is>
          <t>Engine</t>
        </is>
      </c>
      <c r="U35" s="90">
        <f>VLOOKUP(T35,'10 Calculated Part Data'!$A$18:$R$28,17+1,FALSE)</f>
        <v/>
      </c>
      <c r="V35" s="57" t="n"/>
      <c r="W35" s="57" t="n"/>
      <c r="X35" s="57" t="n"/>
      <c r="Y35" s="57" t="n"/>
      <c r="Z35" s="57" t="n"/>
      <c r="AA35" s="57" t="n"/>
      <c r="AB35" s="57" t="n"/>
      <c r="AC35" s="57" t="n"/>
      <c r="AD35" s="57" t="n"/>
      <c r="AE35" s="57" t="n"/>
      <c r="AF35" s="57" t="n"/>
      <c r="AG35" s="57" t="n"/>
      <c r="AH35" s="57" t="n"/>
      <c r="AI35" s="57" t="n"/>
      <c r="AJ35" s="57" t="n"/>
      <c r="AK35" s="57" t="n"/>
      <c r="AL35" s="57" t="n"/>
      <c r="AM35" s="57" t="n"/>
      <c r="AN35" s="57" t="n"/>
      <c r="AO35" s="57" t="n"/>
      <c r="AP35" s="57" t="n"/>
      <c r="AQ35" s="57" t="n"/>
      <c r="AR35" s="57" t="n"/>
      <c r="AS35" s="57" t="n"/>
      <c r="AT35" s="57" t="n"/>
    </row>
    <row r="36" ht="12.75" customHeight="1" s="267">
      <c r="A36" s="57" t="inlineStr">
        <is>
          <t>Front Wing</t>
        </is>
      </c>
      <c r="B36" s="90">
        <f>'3 Part Data'!B7</f>
        <v/>
      </c>
      <c r="C36" s="98" t="n"/>
      <c r="D36" s="99" t="n"/>
      <c r="E36" s="99" t="n"/>
      <c r="F36" s="99" t="n"/>
      <c r="G36" s="99" t="n"/>
      <c r="H36" s="99" t="n"/>
      <c r="I36" s="96" t="n"/>
      <c r="J36" s="96" t="n"/>
      <c r="K36" s="96" t="n"/>
      <c r="L36" s="96" t="n"/>
      <c r="M36" s="96" t="n"/>
      <c r="N36" s="96" t="n"/>
      <c r="O36" s="96" t="n"/>
      <c r="P36" s="96" t="n"/>
      <c r="Q36" s="96" t="n"/>
      <c r="R36" s="96" t="n"/>
      <c r="S36" s="97" t="n"/>
      <c r="T36" s="57" t="inlineStr">
        <is>
          <t>Front Wing</t>
        </is>
      </c>
      <c r="U36" s="90">
        <f>VLOOKUP(T36,'10 Calculated Part Data'!$A$18:$R$28,17+1,FALSE)</f>
        <v/>
      </c>
      <c r="V36" s="57" t="n"/>
      <c r="W36" s="57" t="n"/>
      <c r="X36" s="57" t="n"/>
      <c r="Y36" s="57" t="n"/>
      <c r="Z36" s="57" t="n"/>
      <c r="AA36" s="57" t="n"/>
      <c r="AB36" s="57" t="n"/>
      <c r="AC36" s="57" t="n"/>
      <c r="AD36" s="57" t="n"/>
      <c r="AE36" s="57" t="n"/>
      <c r="AF36" s="57" t="n"/>
      <c r="AG36" s="57" t="n"/>
      <c r="AH36" s="57" t="n"/>
      <c r="AI36" s="57" t="n"/>
      <c r="AJ36" s="57" t="n"/>
      <c r="AK36" s="57" t="n"/>
      <c r="AL36" s="57" t="n"/>
      <c r="AM36" s="57" t="n"/>
      <c r="AN36" s="57" t="n"/>
      <c r="AO36" s="57" t="n"/>
      <c r="AP36" s="57" t="n"/>
      <c r="AQ36" s="57" t="n"/>
      <c r="AR36" s="57" t="n"/>
      <c r="AS36" s="57" t="n"/>
      <c r="AT36" s="57" t="n"/>
    </row>
    <row r="37" ht="12.75" customHeight="1" s="267">
      <c r="A37" s="57" t="inlineStr">
        <is>
          <t>Rear Wing</t>
        </is>
      </c>
      <c r="B37" s="90">
        <f>'3 Part Data'!B8</f>
        <v/>
      </c>
      <c r="C37" s="98" t="n"/>
      <c r="D37" s="99" t="n"/>
      <c r="E37" s="99" t="n"/>
      <c r="F37" s="99" t="n"/>
      <c r="G37" s="99" t="n"/>
      <c r="H37" s="99" t="n"/>
      <c r="I37" s="96" t="n"/>
      <c r="J37" s="100" t="n"/>
      <c r="K37" s="100" t="n"/>
      <c r="L37" s="100" t="n"/>
      <c r="M37" s="100" t="n"/>
      <c r="N37" s="100" t="n"/>
      <c r="O37" s="100" t="n"/>
      <c r="P37" s="100" t="n"/>
      <c r="Q37" s="100" t="n"/>
      <c r="R37" s="100" t="n"/>
      <c r="S37" s="101" t="n"/>
      <c r="T37" s="57" t="inlineStr">
        <is>
          <t>Rear Wing</t>
        </is>
      </c>
      <c r="U37" s="90">
        <f>VLOOKUP(T37,'10 Calculated Part Data'!$A$18:$R$28,17+1,FALSE)</f>
        <v/>
      </c>
      <c r="V37" s="57" t="n"/>
      <c r="W37" s="57" t="n"/>
      <c r="X37" s="57" t="n"/>
      <c r="Y37" s="57" t="n"/>
      <c r="Z37" s="57" t="n"/>
      <c r="AA37" s="57" t="n"/>
      <c r="AB37" s="57" t="n"/>
      <c r="AC37" s="57" t="n"/>
      <c r="AD37" s="57" t="n"/>
      <c r="AE37" s="57" t="n"/>
      <c r="AF37" s="57" t="n"/>
      <c r="AG37" s="57" t="n"/>
      <c r="AH37" s="57" t="n"/>
      <c r="AI37" s="57" t="n"/>
      <c r="AJ37" s="57" t="n"/>
      <c r="AK37" s="57" t="n"/>
      <c r="AL37" s="57" t="n"/>
      <c r="AM37" s="57" t="n"/>
      <c r="AN37" s="57" t="n"/>
      <c r="AO37" s="57" t="n"/>
      <c r="AP37" s="57" t="n"/>
      <c r="AQ37" s="57" t="n"/>
      <c r="AR37" s="57" t="n"/>
      <c r="AS37" s="57" t="n"/>
      <c r="AT37" s="57" t="n"/>
    </row>
    <row r="38" ht="12.75" customHeight="1" s="267">
      <c r="A38" s="57" t="inlineStr">
        <is>
          <t>Underbody</t>
        </is>
      </c>
      <c r="B38" s="90">
        <f>'3 Part Data'!B9</f>
        <v/>
      </c>
      <c r="C38" s="98" t="n"/>
      <c r="D38" s="99" t="n"/>
      <c r="E38" s="99" t="n"/>
      <c r="F38" s="99" t="n"/>
      <c r="G38" s="99" t="n"/>
      <c r="H38" s="99" t="n"/>
      <c r="I38" s="96" t="n"/>
      <c r="J38" s="96" t="n"/>
      <c r="K38" s="96" t="n"/>
      <c r="L38" s="96" t="n"/>
      <c r="M38" s="96" t="n"/>
      <c r="N38" s="96" t="n"/>
      <c r="O38" s="96" t="n"/>
      <c r="P38" s="96" t="n"/>
      <c r="Q38" s="96" t="n"/>
      <c r="R38" s="96" t="n"/>
      <c r="S38" s="97" t="n"/>
      <c r="T38" s="57" t="inlineStr">
        <is>
          <t>Underbody</t>
        </is>
      </c>
      <c r="U38" s="90">
        <f>VLOOKUP(T38,'10 Calculated Part Data'!$A$18:$R$28,17+1,FALSE)</f>
        <v/>
      </c>
      <c r="V38" s="57" t="n"/>
      <c r="W38" s="57" t="n"/>
      <c r="X38" s="57" t="n"/>
      <c r="Y38" s="57" t="n"/>
      <c r="Z38" s="57" t="n"/>
      <c r="AA38" s="57" t="n"/>
      <c r="AB38" s="57" t="n"/>
      <c r="AC38" s="57" t="n"/>
      <c r="AD38" s="57" t="n"/>
      <c r="AE38" s="57" t="n"/>
      <c r="AF38" s="57" t="n"/>
      <c r="AG38" s="57" t="n"/>
      <c r="AH38" s="57" t="n"/>
      <c r="AI38" s="57" t="n"/>
      <c r="AJ38" s="57" t="n"/>
      <c r="AK38" s="57" t="n"/>
      <c r="AL38" s="57" t="n"/>
      <c r="AM38" s="57" t="n"/>
      <c r="AN38" s="57" t="n"/>
      <c r="AO38" s="57" t="n"/>
      <c r="AP38" s="57" t="n"/>
      <c r="AQ38" s="57" t="n"/>
      <c r="AR38" s="57" t="n"/>
      <c r="AS38" s="57" t="n"/>
      <c r="AT38" s="57" t="n"/>
    </row>
    <row r="39" ht="12.75" customHeight="1" s="267">
      <c r="A39" s="57" t="inlineStr">
        <is>
          <t>Sidepods</t>
        </is>
      </c>
      <c r="B39" s="90">
        <f>'3 Part Data'!B10</f>
        <v/>
      </c>
      <c r="C39" s="98" t="n"/>
      <c r="D39" s="99" t="n"/>
      <c r="E39" s="99" t="n"/>
      <c r="F39" s="99" t="n"/>
      <c r="G39" s="99" t="n"/>
      <c r="H39" s="99" t="n"/>
      <c r="I39" s="96" t="n"/>
      <c r="J39" s="96" t="n"/>
      <c r="K39" s="96" t="n"/>
      <c r="L39" s="96" t="n"/>
      <c r="M39" s="96" t="n"/>
      <c r="N39" s="96" t="n"/>
      <c r="O39" s="96" t="n"/>
      <c r="P39" s="96" t="n"/>
      <c r="Q39" s="96" t="n"/>
      <c r="R39" s="96" t="n"/>
      <c r="S39" s="97" t="n"/>
      <c r="T39" s="57" t="inlineStr">
        <is>
          <t>Sidepods</t>
        </is>
      </c>
      <c r="U39" s="90">
        <f>VLOOKUP(T39,'10 Calculated Part Data'!$A$18:$R$28,17+1,FALSE)</f>
        <v/>
      </c>
      <c r="V39" s="57" t="n"/>
      <c r="W39" s="57" t="n"/>
      <c r="X39" s="57" t="n"/>
      <c r="Y39" s="57" t="n"/>
      <c r="Z39" s="57" t="n"/>
      <c r="AA39" s="57" t="n"/>
      <c r="AB39" s="57" t="n"/>
      <c r="AC39" s="57" t="n"/>
      <c r="AD39" s="57" t="n"/>
      <c r="AE39" s="57" t="n"/>
      <c r="AF39" s="57" t="n"/>
      <c r="AG39" s="57" t="n"/>
      <c r="AH39" s="57" t="n"/>
      <c r="AI39" s="57" t="n"/>
      <c r="AJ39" s="57" t="n"/>
      <c r="AK39" s="57" t="n"/>
      <c r="AL39" s="57" t="n"/>
      <c r="AM39" s="57" t="n"/>
      <c r="AN39" s="57" t="n"/>
      <c r="AO39" s="57" t="n"/>
      <c r="AP39" s="57" t="n"/>
      <c r="AQ39" s="57" t="n"/>
      <c r="AR39" s="57" t="n"/>
      <c r="AS39" s="57" t="n"/>
      <c r="AT39" s="57" t="n"/>
    </row>
    <row r="40" ht="12.75" customHeight="1" s="267">
      <c r="A40" s="57" t="inlineStr">
        <is>
          <t>Cooling</t>
        </is>
      </c>
      <c r="B40" s="90">
        <f>'3 Part Data'!B11</f>
        <v/>
      </c>
      <c r="C40" s="98" t="n"/>
      <c r="D40" s="99" t="n"/>
      <c r="E40" s="99" t="n"/>
      <c r="F40" s="99" t="n"/>
      <c r="G40" s="99" t="n"/>
      <c r="H40" s="99" t="n"/>
      <c r="I40" s="96" t="n"/>
      <c r="J40" s="96" t="n"/>
      <c r="K40" s="96" t="n"/>
      <c r="L40" s="96" t="n"/>
      <c r="M40" s="96" t="n"/>
      <c r="N40" s="96" t="n"/>
      <c r="O40" s="96" t="n"/>
      <c r="P40" s="96" t="n"/>
      <c r="Q40" s="96" t="n"/>
      <c r="R40" s="96" t="n"/>
      <c r="S40" s="97" t="n"/>
      <c r="T40" s="57" t="inlineStr">
        <is>
          <t>Cooling</t>
        </is>
      </c>
      <c r="U40" s="90">
        <f>VLOOKUP(T40,'10 Calculated Part Data'!$A$18:$R$28,17+1,FALSE)</f>
        <v/>
      </c>
      <c r="V40" s="57" t="n"/>
      <c r="W40" s="57" t="n"/>
      <c r="X40" s="57" t="n"/>
      <c r="Y40" s="57" t="n"/>
      <c r="Z40" s="57" t="n"/>
      <c r="AA40" s="57" t="n"/>
      <c r="AB40" s="57" t="n"/>
      <c r="AC40" s="57" t="n"/>
      <c r="AD40" s="57" t="n"/>
      <c r="AE40" s="57" t="n"/>
      <c r="AF40" s="57" t="n"/>
      <c r="AG40" s="57" t="n"/>
      <c r="AH40" s="57" t="n"/>
      <c r="AI40" s="57" t="n"/>
      <c r="AJ40" s="57" t="n"/>
      <c r="AK40" s="57" t="n"/>
      <c r="AL40" s="57" t="n"/>
      <c r="AM40" s="57" t="n"/>
      <c r="AN40" s="57" t="n"/>
      <c r="AO40" s="57" t="n"/>
      <c r="AP40" s="57" t="n"/>
      <c r="AQ40" s="57" t="n"/>
      <c r="AR40" s="57" t="n"/>
      <c r="AS40" s="57" t="n"/>
      <c r="AT40" s="57" t="n"/>
    </row>
    <row r="41" ht="12.75" customHeight="1" s="267">
      <c r="A41" s="57" t="inlineStr">
        <is>
          <t>Gearbox</t>
        </is>
      </c>
      <c r="B41" s="90">
        <f>'3 Part Data'!B12</f>
        <v/>
      </c>
      <c r="C41" s="98" t="n"/>
      <c r="D41" s="99" t="n"/>
      <c r="E41" s="99" t="inlineStr">
        <is>
          <t>Downgrade L7</t>
        </is>
      </c>
      <c r="F41" s="99" t="n"/>
      <c r="G41" s="99" t="n"/>
      <c r="H41" s="99" t="n"/>
      <c r="I41" s="96" t="n"/>
      <c r="J41" s="96" t="n"/>
      <c r="K41" s="96" t="n"/>
      <c r="L41" s="96" t="n"/>
      <c r="M41" s="96" t="n"/>
      <c r="N41" s="96" t="n"/>
      <c r="O41" s="96" t="n"/>
      <c r="P41" s="96" t="n"/>
      <c r="Q41" s="96" t="n"/>
      <c r="R41" s="96" t="n"/>
      <c r="S41" s="97" t="n"/>
      <c r="T41" s="57" t="inlineStr">
        <is>
          <t>Gearbox</t>
        </is>
      </c>
      <c r="U41" s="90">
        <f>VLOOKUP(T41,'10 Calculated Part Data'!$A$18:$R$28,17+1,FALSE)</f>
        <v/>
      </c>
      <c r="V41" s="57" t="n"/>
      <c r="W41" s="57" t="n"/>
      <c r="X41" s="57" t="n"/>
      <c r="Y41" s="57" t="n"/>
      <c r="Z41" s="57" t="n"/>
      <c r="AA41" s="57" t="n"/>
      <c r="AB41" s="57" t="n"/>
      <c r="AC41" s="57" t="n"/>
      <c r="AD41" s="57" t="n"/>
      <c r="AE41" s="57" t="n"/>
      <c r="AF41" s="57" t="n"/>
      <c r="AG41" s="57" t="n"/>
      <c r="AH41" s="57" t="n"/>
      <c r="AI41" s="57" t="n"/>
      <c r="AJ41" s="57" t="n"/>
      <c r="AK41" s="57" t="n"/>
      <c r="AL41" s="57" t="n"/>
      <c r="AM41" s="57" t="n"/>
      <c r="AN41" s="57" t="n"/>
      <c r="AO41" s="57" t="n"/>
      <c r="AP41" s="57" t="n"/>
      <c r="AQ41" s="57" t="n"/>
      <c r="AR41" s="57" t="n"/>
      <c r="AS41" s="57" t="n"/>
      <c r="AT41" s="57" t="n"/>
    </row>
    <row r="42" ht="12.75" customHeight="1" s="267">
      <c r="A42" s="57" t="inlineStr">
        <is>
          <t>Brakes</t>
        </is>
      </c>
      <c r="B42" s="90">
        <f>'3 Part Data'!B13</f>
        <v/>
      </c>
      <c r="C42" s="98" t="n"/>
      <c r="D42" s="99" t="n"/>
      <c r="E42" s="99" t="n"/>
      <c r="F42" s="99" t="n"/>
      <c r="G42" s="99" t="n"/>
      <c r="H42" s="99" t="n"/>
      <c r="I42" s="96" t="n"/>
      <c r="J42" s="96" t="n"/>
      <c r="K42" s="96" t="n"/>
      <c r="L42" s="96" t="n"/>
      <c r="M42" s="96" t="n"/>
      <c r="N42" s="96" t="n"/>
      <c r="O42" s="96" t="n"/>
      <c r="P42" s="96" t="n"/>
      <c r="Q42" s="96" t="n"/>
      <c r="R42" s="96" t="n"/>
      <c r="S42" s="97" t="n"/>
      <c r="T42" s="57" t="inlineStr">
        <is>
          <t>Brakes</t>
        </is>
      </c>
      <c r="U42" s="90">
        <f>VLOOKUP(T42,'10 Calculated Part Data'!$A$18:$R$28,17+1,FALSE)</f>
        <v/>
      </c>
      <c r="V42" s="57" t="n"/>
      <c r="W42" s="57" t="n"/>
      <c r="X42" s="57" t="n"/>
      <c r="Y42" s="57" t="n"/>
      <c r="Z42" s="57" t="n"/>
      <c r="AA42" s="57" t="n"/>
      <c r="AB42" s="57" t="n"/>
      <c r="AC42" s="57" t="n"/>
      <c r="AD42" s="57" t="n"/>
      <c r="AE42" s="57" t="n"/>
      <c r="AF42" s="57" t="n"/>
      <c r="AG42" s="57" t="n"/>
      <c r="AH42" s="57" t="n"/>
      <c r="AI42" s="57" t="n"/>
      <c r="AJ42" s="57" t="n"/>
      <c r="AK42" s="57" t="n"/>
      <c r="AL42" s="57" t="n"/>
      <c r="AM42" s="57" t="n"/>
      <c r="AN42" s="57" t="n"/>
      <c r="AO42" s="57" t="n"/>
      <c r="AP42" s="57" t="n"/>
      <c r="AQ42" s="57" t="n"/>
      <c r="AR42" s="57" t="n"/>
      <c r="AS42" s="57" t="n"/>
      <c r="AT42" s="57" t="n"/>
    </row>
    <row r="43" ht="12.75" customHeight="1" s="267">
      <c r="A43" s="57" t="inlineStr">
        <is>
          <t>Suspension</t>
        </is>
      </c>
      <c r="B43" s="90">
        <f>'3 Part Data'!B14</f>
        <v/>
      </c>
      <c r="C43" s="98" t="n"/>
      <c r="D43" s="99" t="n"/>
      <c r="E43" s="99" t="inlineStr">
        <is>
          <t>Level 6</t>
        </is>
      </c>
      <c r="F43" s="99" t="n"/>
      <c r="G43" s="99" t="n"/>
      <c r="H43" s="99" t="n"/>
      <c r="I43" s="96" t="n"/>
      <c r="J43" s="96" t="n"/>
      <c r="K43" s="96" t="n"/>
      <c r="L43" s="96" t="n"/>
      <c r="M43" s="96" t="n"/>
      <c r="N43" s="96" t="n"/>
      <c r="O43" s="96" t="n"/>
      <c r="P43" s="96" t="n"/>
      <c r="Q43" s="96" t="n"/>
      <c r="R43" s="96" t="n"/>
      <c r="S43" s="97" t="n"/>
      <c r="T43" s="57" t="inlineStr">
        <is>
          <t>Suspension</t>
        </is>
      </c>
      <c r="U43" s="90">
        <f>VLOOKUP(T43,'10 Calculated Part Data'!$A$18:$R$28,17+1,FALSE)</f>
        <v/>
      </c>
      <c r="V43" s="57" t="n"/>
      <c r="W43" s="57" t="n"/>
      <c r="X43" s="57" t="n"/>
      <c r="Y43" s="57" t="n"/>
      <c r="Z43" s="57" t="n"/>
      <c r="AA43" s="57" t="n"/>
      <c r="AB43" s="57" t="n"/>
      <c r="AC43" s="57" t="n"/>
      <c r="AD43" s="57" t="n"/>
      <c r="AE43" s="57" t="n"/>
      <c r="AF43" s="57" t="n"/>
      <c r="AG43" s="57" t="n"/>
      <c r="AH43" s="57" t="n"/>
      <c r="AI43" s="57" t="n"/>
      <c r="AJ43" s="57" t="n"/>
      <c r="AK43" s="57" t="n"/>
      <c r="AL43" s="57" t="n"/>
      <c r="AM43" s="57" t="n"/>
      <c r="AN43" s="57" t="n"/>
      <c r="AO43" s="57" t="n"/>
      <c r="AP43" s="57" t="n"/>
      <c r="AQ43" s="57" t="n"/>
      <c r="AR43" s="57" t="n"/>
      <c r="AS43" s="57" t="n"/>
      <c r="AT43" s="57" t="n"/>
    </row>
    <row r="44" ht="12.75" customHeight="1" s="267">
      <c r="A44" s="57" t="inlineStr">
        <is>
          <t>Electronics</t>
        </is>
      </c>
      <c r="B44" s="90">
        <f>'3 Part Data'!B15</f>
        <v/>
      </c>
      <c r="C44" s="102" t="n"/>
      <c r="D44" s="103" t="n"/>
      <c r="E44" s="103" t="n"/>
      <c r="F44" s="103" t="n"/>
      <c r="G44" s="103" t="n"/>
      <c r="H44" s="103" t="n"/>
      <c r="I44" s="104" t="n"/>
      <c r="J44" s="104" t="n"/>
      <c r="K44" s="104" t="n"/>
      <c r="L44" s="104" t="n"/>
      <c r="M44" s="104" t="n"/>
      <c r="N44" s="104" t="n"/>
      <c r="O44" s="104" t="n"/>
      <c r="P44" s="104" t="n"/>
      <c r="Q44" s="104" t="n"/>
      <c r="R44" s="104" t="n"/>
      <c r="S44" s="105" t="n"/>
      <c r="T44" s="57" t="inlineStr">
        <is>
          <t>Electronics</t>
        </is>
      </c>
      <c r="U44" s="90">
        <f>VLOOKUP(T44,'10 Calculated Part Data'!$A$18:$R$28,17+1,FALSE)</f>
        <v/>
      </c>
      <c r="V44" s="57" t="n"/>
      <c r="W44" s="57" t="n"/>
      <c r="X44" s="57" t="n"/>
      <c r="Y44" s="57" t="n"/>
      <c r="Z44" s="57" t="n"/>
      <c r="AA44" s="57" t="n"/>
      <c r="AB44" s="57" t="n"/>
      <c r="AC44" s="57" t="n"/>
      <c r="AD44" s="57" t="n"/>
      <c r="AE44" s="57" t="n"/>
      <c r="AF44" s="57" t="n"/>
      <c r="AG44" s="57" t="n"/>
      <c r="AH44" s="57" t="n"/>
      <c r="AI44" s="57" t="n"/>
      <c r="AJ44" s="57" t="n"/>
      <c r="AK44" s="57" t="n"/>
      <c r="AL44" s="57" t="n"/>
      <c r="AM44" s="57" t="n"/>
      <c r="AN44" s="57" t="n"/>
      <c r="AO44" s="57" t="n"/>
      <c r="AP44" s="57" t="n"/>
      <c r="AQ44" s="57" t="n"/>
      <c r="AR44" s="57" t="n"/>
      <c r="AS44" s="57" t="n"/>
      <c r="AT44" s="57" t="n"/>
    </row>
    <row r="45" ht="12.75" customHeight="1" s="267">
      <c r="A45" s="57" t="n"/>
      <c r="B45" s="57" t="n"/>
      <c r="C45" s="70" t="n"/>
      <c r="D45" s="70" t="n"/>
      <c r="E45" s="70" t="n"/>
      <c r="F45" s="70" t="n"/>
      <c r="G45" s="70" t="n"/>
      <c r="H45" s="70" t="n"/>
      <c r="I45" s="70" t="n"/>
      <c r="J45" s="70" t="n"/>
      <c r="K45" s="70" t="n"/>
      <c r="L45" s="70" t="n"/>
      <c r="M45" s="70" t="n"/>
      <c r="N45" s="70" t="n"/>
      <c r="O45" s="70" t="n"/>
      <c r="P45" s="70" t="n"/>
      <c r="Q45" s="70" t="n"/>
      <c r="R45" s="70" t="n"/>
      <c r="S45" s="70" t="n"/>
      <c r="T45" s="57" t="n"/>
      <c r="U45" s="57" t="n"/>
      <c r="V45" s="57" t="n"/>
      <c r="W45" s="57" t="n"/>
      <c r="X45" s="57" t="n"/>
      <c r="Y45" s="57" t="n"/>
      <c r="Z45" s="57" t="n"/>
      <c r="AA45" s="57" t="n"/>
      <c r="AB45" s="57" t="n"/>
      <c r="AC45" s="57" t="n"/>
      <c r="AD45" s="57" t="n"/>
      <c r="AE45" s="57" t="n"/>
      <c r="AF45" s="57" t="n"/>
      <c r="AG45" s="57" t="n"/>
      <c r="AH45" s="57" t="n"/>
      <c r="AI45" s="57" t="n"/>
      <c r="AJ45" s="57" t="n"/>
      <c r="AK45" s="57" t="n"/>
      <c r="AL45" s="57" t="n"/>
      <c r="AM45" s="57" t="n"/>
      <c r="AN45" s="57" t="n"/>
      <c r="AO45" s="57" t="n"/>
      <c r="AP45" s="57" t="n"/>
      <c r="AQ45" s="57" t="n"/>
      <c r="AR45" s="57" t="n"/>
      <c r="AS45" s="57" t="n"/>
      <c r="AT45" s="57" t="n"/>
    </row>
    <row r="46" ht="12.75" customHeight="1" s="267">
      <c r="A46" s="57" t="inlineStr">
        <is>
          <t>Before</t>
        </is>
      </c>
      <c r="B46" s="57" t="n"/>
      <c r="C46" s="106">
        <f>'7 Budget'!B49/1000000</f>
        <v/>
      </c>
      <c r="D46" s="107">
        <f>'7 Budget'!C49/1000000</f>
        <v/>
      </c>
      <c r="E46" s="107">
        <f>'7 Budget'!D49/1000000</f>
        <v/>
      </c>
      <c r="F46" s="107">
        <f>'7 Budget'!E49/1000000</f>
        <v/>
      </c>
      <c r="G46" s="107">
        <f>'7 Budget'!F49/1000000</f>
        <v/>
      </c>
      <c r="H46" s="107">
        <f>'7 Budget'!G49/1000000</f>
        <v/>
      </c>
      <c r="I46" s="107">
        <f>'7 Budget'!H49/1000000</f>
        <v/>
      </c>
      <c r="J46" s="107">
        <f>'7 Budget'!I49/1000000</f>
        <v/>
      </c>
      <c r="K46" s="107">
        <f>'7 Budget'!J49/1000000</f>
        <v/>
      </c>
      <c r="L46" s="107">
        <f>'7 Budget'!K49/1000000</f>
        <v/>
      </c>
      <c r="M46" s="107">
        <f>'7 Budget'!L49/1000000</f>
        <v/>
      </c>
      <c r="N46" s="107">
        <f>'7 Budget'!M49/1000000</f>
        <v/>
      </c>
      <c r="O46" s="107">
        <f>'7 Budget'!N49/1000000</f>
        <v/>
      </c>
      <c r="P46" s="107">
        <f>'7 Budget'!O49/1000000</f>
        <v/>
      </c>
      <c r="Q46" s="107">
        <f>'7 Budget'!P49/1000000</f>
        <v/>
      </c>
      <c r="R46" s="107">
        <f>'7 Budget'!Q49/1000000</f>
        <v/>
      </c>
      <c r="S46" s="108">
        <f>'7 Budget'!R49/1000000</f>
        <v/>
      </c>
      <c r="T46" s="57" t="n"/>
      <c r="U46" s="268" t="inlineStr">
        <is>
          <t>Wasted</t>
        </is>
      </c>
      <c r="V46" s="265" t="n"/>
      <c r="W46" s="57" t="n"/>
      <c r="X46" s="57" t="n"/>
      <c r="Y46" s="57" t="n"/>
      <c r="Z46" s="57" t="n"/>
      <c r="AA46" s="57" t="n"/>
      <c r="AB46" s="57" t="n"/>
      <c r="AC46" s="57" t="n"/>
      <c r="AD46" s="57" t="n"/>
      <c r="AE46" s="57" t="n"/>
      <c r="AF46" s="57" t="n"/>
      <c r="AG46" s="57" t="n"/>
      <c r="AH46" s="57" t="n"/>
      <c r="AI46" s="57" t="n"/>
      <c r="AJ46" s="57" t="n"/>
      <c r="AK46" s="57" t="n"/>
      <c r="AL46" s="57" t="n"/>
      <c r="AM46" s="57" t="n"/>
      <c r="AN46" s="57" t="n"/>
      <c r="AO46" s="57" t="n"/>
      <c r="AP46" s="57" t="n"/>
      <c r="AQ46" s="57" t="n"/>
      <c r="AR46" s="57" t="n"/>
      <c r="AS46" s="57" t="n"/>
      <c r="AT46" s="57" t="n"/>
    </row>
    <row r="47" ht="12.75" customHeight="1" s="267">
      <c r="A47" s="57" t="inlineStr">
        <is>
          <t>After</t>
        </is>
      </c>
      <c r="B47" s="57" t="n"/>
      <c r="C47" s="109">
        <f>'7 Budget'!B51/1000000</f>
        <v/>
      </c>
      <c r="D47" s="110">
        <f>'7 Budget'!C51/1000000</f>
        <v/>
      </c>
      <c r="E47" s="110">
        <f>'7 Budget'!D51/1000000</f>
        <v/>
      </c>
      <c r="F47" s="110">
        <f>'7 Budget'!E51/1000000</f>
        <v/>
      </c>
      <c r="G47" s="110">
        <f>'7 Budget'!F51/1000000</f>
        <v/>
      </c>
      <c r="H47" s="110">
        <f>'7 Budget'!G51/1000000</f>
        <v/>
      </c>
      <c r="I47" s="110">
        <f>'7 Budget'!H51/1000000</f>
        <v/>
      </c>
      <c r="J47" s="110">
        <f>'7 Budget'!I51/1000000</f>
        <v/>
      </c>
      <c r="K47" s="110">
        <f>'7 Budget'!J51/1000000</f>
        <v/>
      </c>
      <c r="L47" s="110">
        <f>'7 Budget'!K51/1000000</f>
        <v/>
      </c>
      <c r="M47" s="110">
        <f>'7 Budget'!L51/1000000</f>
        <v/>
      </c>
      <c r="N47" s="110">
        <f>'7 Budget'!M51/1000000</f>
        <v/>
      </c>
      <c r="O47" s="110">
        <f>'7 Budget'!N51/1000000</f>
        <v/>
      </c>
      <c r="P47" s="110">
        <f>'7 Budget'!O51/1000000</f>
        <v/>
      </c>
      <c r="Q47" s="110">
        <f>'7 Budget'!P51/1000000</f>
        <v/>
      </c>
      <c r="R47" s="110">
        <f>'7 Budget'!Q51/1000000</f>
        <v/>
      </c>
      <c r="S47" s="111">
        <f>'7 Budget'!R51/1000000</f>
        <v/>
      </c>
      <c r="T47" s="57" t="n"/>
      <c r="U47" s="264">
        <f>-'12 Miscellaneous Calculations'!S65/1000000</f>
        <v/>
      </c>
      <c r="V47" s="265" t="n"/>
      <c r="W47" s="57" t="n"/>
      <c r="X47" s="57" t="n"/>
      <c r="Y47" s="57" t="n"/>
      <c r="Z47" s="57" t="n"/>
      <c r="AA47" s="57" t="n"/>
      <c r="AB47" s="57" t="n"/>
      <c r="AC47" s="57" t="n"/>
      <c r="AD47" s="57" t="n"/>
      <c r="AE47" s="57" t="n"/>
      <c r="AF47" s="57" t="n"/>
      <c r="AG47" s="57" t="n"/>
      <c r="AH47" s="57" t="n"/>
      <c r="AI47" s="57" t="n"/>
      <c r="AJ47" s="57" t="n"/>
      <c r="AK47" s="57" t="n"/>
      <c r="AL47" s="57" t="n"/>
      <c r="AM47" s="57" t="n"/>
      <c r="AN47" s="57" t="n"/>
      <c r="AO47" s="57" t="n"/>
      <c r="AP47" s="57" t="n"/>
      <c r="AQ47" s="57" t="n"/>
      <c r="AR47" s="57" t="n"/>
      <c r="AS47" s="57" t="n"/>
      <c r="AT47" s="57" t="n"/>
    </row>
    <row r="48" ht="12.75" customHeight="1" s="267">
      <c r="A48" s="57" t="n"/>
      <c r="B48" s="57" t="n"/>
      <c r="C48" s="70" t="n"/>
      <c r="D48" s="70" t="n"/>
      <c r="E48" s="70" t="n"/>
      <c r="F48" s="70" t="n"/>
      <c r="G48" s="70" t="n"/>
      <c r="H48" s="70" t="n"/>
      <c r="I48" s="70" t="n"/>
      <c r="J48" s="70" t="n"/>
      <c r="K48" s="70" t="n"/>
      <c r="L48" s="70" t="n"/>
      <c r="M48" s="70" t="n"/>
      <c r="N48" s="70" t="n"/>
      <c r="O48" s="70" t="n"/>
      <c r="P48" s="70" t="n"/>
      <c r="Q48" s="70" t="n"/>
      <c r="R48" s="70" t="n"/>
      <c r="S48" s="70" t="n"/>
      <c r="T48" s="57" t="n"/>
      <c r="U48" s="57" t="n"/>
      <c r="V48" s="57" t="n"/>
      <c r="W48" s="57" t="n"/>
      <c r="X48" s="57" t="n"/>
      <c r="Y48" s="57" t="n"/>
      <c r="Z48" s="57" t="n"/>
      <c r="AA48" s="57" t="n"/>
      <c r="AB48" s="57" t="n"/>
      <c r="AC48" s="57" t="n"/>
      <c r="AD48" s="57" t="n"/>
      <c r="AE48" s="57" t="n"/>
      <c r="AF48" s="57" t="n"/>
      <c r="AG48" s="57" t="n"/>
      <c r="AH48" s="57" t="n"/>
      <c r="AI48" s="57" t="n"/>
      <c r="AJ48" s="57" t="n"/>
      <c r="AK48" s="57" t="n"/>
      <c r="AL48" s="57" t="n"/>
      <c r="AM48" s="57" t="n"/>
      <c r="AN48" s="57" t="n"/>
      <c r="AO48" s="57" t="n"/>
      <c r="AP48" s="57" t="n"/>
      <c r="AQ48" s="57" t="n"/>
      <c r="AR48" s="57" t="n"/>
      <c r="AS48" s="57" t="n"/>
      <c r="AT48" s="57" t="n"/>
    </row>
    <row r="49" ht="12.75" customHeight="1" s="267">
      <c r="A49" s="57" t="n"/>
      <c r="B49" s="57" t="n"/>
      <c r="C49" s="96">
        <f>C2</f>
        <v/>
      </c>
      <c r="D49" s="96">
        <f>D2</f>
        <v/>
      </c>
      <c r="E49" s="96">
        <f>E2</f>
        <v/>
      </c>
      <c r="F49" s="96">
        <f>F2</f>
        <v/>
      </c>
      <c r="G49" s="96">
        <f>G2</f>
        <v/>
      </c>
      <c r="H49" s="96">
        <f>H2</f>
        <v/>
      </c>
      <c r="I49" s="96">
        <f>I2</f>
        <v/>
      </c>
      <c r="J49" s="96">
        <f>J2</f>
        <v/>
      </c>
      <c r="K49" s="96">
        <f>K2</f>
        <v/>
      </c>
      <c r="L49" s="96">
        <f>L2</f>
        <v/>
      </c>
      <c r="M49" s="96">
        <f>M2</f>
        <v/>
      </c>
      <c r="N49" s="96">
        <f>N2</f>
        <v/>
      </c>
      <c r="O49" s="96">
        <f>O2</f>
        <v/>
      </c>
      <c r="P49" s="96">
        <f>P2</f>
        <v/>
      </c>
      <c r="Q49" s="96">
        <f>Q2</f>
        <v/>
      </c>
      <c r="R49" s="96">
        <f>R2</f>
        <v/>
      </c>
      <c r="S49" s="96">
        <f>S2</f>
        <v/>
      </c>
      <c r="T49" s="57" t="n"/>
      <c r="U49" s="57" t="n"/>
      <c r="V49" s="57" t="n"/>
      <c r="W49" s="57" t="n"/>
      <c r="X49" s="57" t="n"/>
      <c r="Y49" s="57" t="n"/>
      <c r="Z49" s="57" t="n"/>
      <c r="AA49" s="57" t="n"/>
      <c r="AB49" s="57" t="n"/>
      <c r="AC49" s="57" t="n"/>
      <c r="AD49" s="57" t="n"/>
      <c r="AE49" s="57" t="n"/>
      <c r="AF49" s="57" t="n"/>
      <c r="AG49" s="57" t="n"/>
      <c r="AH49" s="57" t="n"/>
      <c r="AI49" s="57" t="n"/>
      <c r="AJ49" s="57" t="n"/>
      <c r="AK49" s="57" t="n"/>
      <c r="AL49" s="57" t="n"/>
      <c r="AM49" s="57" t="n"/>
      <c r="AN49" s="57" t="n"/>
      <c r="AO49" s="57" t="n"/>
      <c r="AP49" s="57" t="n"/>
      <c r="AQ49" s="57" t="n"/>
      <c r="AR49" s="57" t="n"/>
      <c r="AS49" s="57" t="n"/>
      <c r="AT49" s="57" t="n"/>
    </row>
    <row r="50" ht="12.75" customHeight="1" s="267">
      <c r="A50" s="269" t="inlineStr">
        <is>
          <t>Planned</t>
        </is>
      </c>
      <c r="B50" s="70" t="inlineStr">
        <is>
          <t>P</t>
        </is>
      </c>
      <c r="C50" s="58">
        <f>'10 Calculated Part Data'!B41</f>
        <v/>
      </c>
      <c r="D50" s="59">
        <f>'10 Calculated Part Data'!C41</f>
        <v/>
      </c>
      <c r="E50" s="59">
        <f>'10 Calculated Part Data'!D41</f>
        <v/>
      </c>
      <c r="F50" s="59">
        <f>'10 Calculated Part Data'!E41</f>
        <v/>
      </c>
      <c r="G50" s="59">
        <f>'10 Calculated Part Data'!F41</f>
        <v/>
      </c>
      <c r="H50" s="59">
        <f>'10 Calculated Part Data'!G41</f>
        <v/>
      </c>
      <c r="I50" s="59">
        <f>'10 Calculated Part Data'!H41</f>
        <v/>
      </c>
      <c r="J50" s="59">
        <f>'10 Calculated Part Data'!I41</f>
        <v/>
      </c>
      <c r="K50" s="59">
        <f>'10 Calculated Part Data'!J41</f>
        <v/>
      </c>
      <c r="L50" s="59">
        <f>'10 Calculated Part Data'!K41</f>
        <v/>
      </c>
      <c r="M50" s="59">
        <f>'10 Calculated Part Data'!L41</f>
        <v/>
      </c>
      <c r="N50" s="59">
        <f>'10 Calculated Part Data'!M41</f>
        <v/>
      </c>
      <c r="O50" s="59">
        <f>'10 Calculated Part Data'!N41</f>
        <v/>
      </c>
      <c r="P50" s="59">
        <f>'10 Calculated Part Data'!O41</f>
        <v/>
      </c>
      <c r="Q50" s="59">
        <f>'10 Calculated Part Data'!P41</f>
        <v/>
      </c>
      <c r="R50" s="59">
        <f>'10 Calculated Part Data'!Q41</f>
        <v/>
      </c>
      <c r="S50" s="112">
        <f>'10 Calculated Part Data'!R41</f>
        <v/>
      </c>
      <c r="T50" s="57" t="n"/>
      <c r="U50" s="57" t="inlineStr">
        <is>
          <t>Downgrades</t>
        </is>
      </c>
      <c r="V50" s="57" t="n"/>
      <c r="W50" s="61">
        <f>-SUM('12 Miscellaneous Calculations'!B88:R98)</f>
        <v/>
      </c>
      <c r="X50" s="57" t="n"/>
      <c r="Y50" s="57" t="n"/>
      <c r="Z50" s="57" t="n"/>
      <c r="AA50" s="57" t="n"/>
      <c r="AB50" s="57" t="n"/>
      <c r="AC50" s="57" t="n"/>
      <c r="AD50" s="57" t="n"/>
      <c r="AE50" s="57" t="n"/>
      <c r="AF50" s="57" t="n"/>
      <c r="AG50" s="57" t="n"/>
      <c r="AH50" s="57" t="n"/>
      <c r="AI50" s="57" t="n"/>
      <c r="AJ50" s="57" t="n"/>
      <c r="AK50" s="57" t="n"/>
      <c r="AL50" s="57" t="n"/>
      <c r="AM50" s="57" t="n"/>
      <c r="AN50" s="57" t="n"/>
      <c r="AO50" s="57" t="n"/>
      <c r="AP50" s="57" t="n"/>
      <c r="AQ50" s="57" t="n"/>
      <c r="AR50" s="57" t="n"/>
      <c r="AS50" s="57" t="n"/>
      <c r="AT50" s="57" t="n"/>
    </row>
    <row r="51" ht="12.75" customHeight="1" s="267">
      <c r="B51" s="70" t="inlineStr">
        <is>
          <t>H</t>
        </is>
      </c>
      <c r="C51" s="69">
        <f>'10 Calculated Part Data'!B42</f>
        <v/>
      </c>
      <c r="D51" s="70">
        <f>'10 Calculated Part Data'!C42</f>
        <v/>
      </c>
      <c r="E51" s="70">
        <f>'10 Calculated Part Data'!D42</f>
        <v/>
      </c>
      <c r="F51" s="70">
        <f>'10 Calculated Part Data'!E42</f>
        <v/>
      </c>
      <c r="G51" s="70">
        <f>'10 Calculated Part Data'!F42</f>
        <v/>
      </c>
      <c r="H51" s="70">
        <f>'10 Calculated Part Data'!G42</f>
        <v/>
      </c>
      <c r="I51" s="70">
        <f>'10 Calculated Part Data'!H42</f>
        <v/>
      </c>
      <c r="J51" s="70">
        <f>'10 Calculated Part Data'!I42</f>
        <v/>
      </c>
      <c r="K51" s="70">
        <f>'10 Calculated Part Data'!J42</f>
        <v/>
      </c>
      <c r="L51" s="70">
        <f>'10 Calculated Part Data'!K42</f>
        <v/>
      </c>
      <c r="M51" s="70">
        <f>'10 Calculated Part Data'!L42</f>
        <v/>
      </c>
      <c r="N51" s="70">
        <f>'10 Calculated Part Data'!M42</f>
        <v/>
      </c>
      <c r="O51" s="70">
        <f>'10 Calculated Part Data'!N42</f>
        <v/>
      </c>
      <c r="P51" s="70">
        <f>'10 Calculated Part Data'!O42</f>
        <v/>
      </c>
      <c r="Q51" s="70">
        <f>'10 Calculated Part Data'!P42</f>
        <v/>
      </c>
      <c r="R51" s="70">
        <f>'10 Calculated Part Data'!Q42</f>
        <v/>
      </c>
      <c r="S51" s="71">
        <f>'10 Calculated Part Data'!R42</f>
        <v/>
      </c>
      <c r="T51" s="57" t="n"/>
      <c r="U51" s="57" t="inlineStr">
        <is>
          <t>Upgrades</t>
        </is>
      </c>
      <c r="V51" s="57" t="n"/>
      <c r="W51" s="66">
        <f>COUNTIF('12 Miscellaneous Calculations'!B101:R111,1)</f>
        <v/>
      </c>
      <c r="X51" s="57" t="n"/>
      <c r="Y51" s="57" t="n"/>
      <c r="Z51" s="57" t="n"/>
      <c r="AA51" s="57" t="n"/>
      <c r="AB51" s="57" t="n"/>
      <c r="AC51" s="57" t="n"/>
      <c r="AD51" s="57" t="n"/>
      <c r="AE51" s="57" t="n"/>
      <c r="AF51" s="57" t="n"/>
      <c r="AG51" s="57" t="n"/>
      <c r="AH51" s="57" t="n"/>
      <c r="AI51" s="57" t="n"/>
      <c r="AJ51" s="57" t="n"/>
      <c r="AK51" s="57" t="n"/>
      <c r="AL51" s="57" t="n"/>
      <c r="AM51" s="57" t="n"/>
      <c r="AN51" s="57" t="n"/>
      <c r="AO51" s="57" t="n"/>
      <c r="AP51" s="57" t="n"/>
      <c r="AQ51" s="57" t="n"/>
      <c r="AR51" s="57" t="n"/>
      <c r="AS51" s="57" t="n"/>
      <c r="AT51" s="57" t="n"/>
    </row>
    <row r="52" ht="12.75" customHeight="1" s="267">
      <c r="B52" s="70" t="inlineStr">
        <is>
          <t>A</t>
        </is>
      </c>
      <c r="C52" s="63">
        <f>'10 Calculated Part Data'!B43</f>
        <v/>
      </c>
      <c r="D52" s="64">
        <f>'10 Calculated Part Data'!C43</f>
        <v/>
      </c>
      <c r="E52" s="64">
        <f>'10 Calculated Part Data'!D43</f>
        <v/>
      </c>
      <c r="F52" s="64">
        <f>'10 Calculated Part Data'!E43</f>
        <v/>
      </c>
      <c r="G52" s="64">
        <f>'10 Calculated Part Data'!F43</f>
        <v/>
      </c>
      <c r="H52" s="64">
        <f>'10 Calculated Part Data'!G43</f>
        <v/>
      </c>
      <c r="I52" s="64">
        <f>'10 Calculated Part Data'!H43</f>
        <v/>
      </c>
      <c r="J52" s="64">
        <f>'10 Calculated Part Data'!I43</f>
        <v/>
      </c>
      <c r="K52" s="64">
        <f>'10 Calculated Part Data'!J43</f>
        <v/>
      </c>
      <c r="L52" s="64">
        <f>'10 Calculated Part Data'!K43</f>
        <v/>
      </c>
      <c r="M52" s="64">
        <f>'10 Calculated Part Data'!L43</f>
        <v/>
      </c>
      <c r="N52" s="64">
        <f>'10 Calculated Part Data'!M43</f>
        <v/>
      </c>
      <c r="O52" s="64">
        <f>'10 Calculated Part Data'!N43</f>
        <v/>
      </c>
      <c r="P52" s="64">
        <f>'10 Calculated Part Data'!O43</f>
        <v/>
      </c>
      <c r="Q52" s="64">
        <f>'10 Calculated Part Data'!P43</f>
        <v/>
      </c>
      <c r="R52" s="64">
        <f>'10 Calculated Part Data'!Q43</f>
        <v/>
      </c>
      <c r="S52" s="113">
        <f>'10 Calculated Part Data'!R43</f>
        <v/>
      </c>
      <c r="T52" s="57" t="n"/>
      <c r="U52" s="57" t="inlineStr">
        <is>
          <t>Nongrades</t>
        </is>
      </c>
      <c r="V52" s="57" t="n"/>
      <c r="W52" s="68">
        <f>COUNTIF('12 Miscellaneous Calculations'!B101:R111,"&lt;1")</f>
        <v/>
      </c>
      <c r="X52" s="57" t="n"/>
      <c r="Y52" s="57" t="n"/>
      <c r="Z52" s="57" t="n"/>
      <c r="AA52" s="57" t="n"/>
      <c r="AB52" s="57" t="n"/>
      <c r="AC52" s="57" t="n"/>
      <c r="AD52" s="57" t="n"/>
      <c r="AE52" s="57" t="n"/>
      <c r="AF52" s="57" t="n"/>
      <c r="AG52" s="57" t="n"/>
      <c r="AH52" s="57" t="n"/>
      <c r="AI52" s="57" t="n"/>
      <c r="AJ52" s="57" t="n"/>
      <c r="AK52" s="57" t="n"/>
      <c r="AL52" s="57" t="n"/>
      <c r="AM52" s="57" t="n"/>
      <c r="AN52" s="57" t="n"/>
      <c r="AO52" s="57" t="n"/>
      <c r="AP52" s="57" t="n"/>
      <c r="AQ52" s="57" t="n"/>
      <c r="AR52" s="57" t="n"/>
      <c r="AS52" s="57" t="n"/>
      <c r="AT52" s="57" t="n"/>
    </row>
    <row r="53" ht="12.75" customHeight="1" s="267">
      <c r="A53" s="57" t="n"/>
      <c r="B53" s="70" t="n"/>
      <c r="C53" s="70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  <c r="R53" s="70" t="n"/>
      <c r="S53" s="70" t="n"/>
      <c r="T53" s="57" t="n"/>
      <c r="U53" s="57" t="n"/>
      <c r="V53" s="57" t="n"/>
      <c r="W53" s="57" t="n"/>
      <c r="X53" s="57" t="n"/>
      <c r="Y53" s="57" t="n"/>
      <c r="Z53" s="57" t="n"/>
      <c r="AA53" s="57" t="n"/>
      <c r="AB53" s="57" t="n"/>
      <c r="AC53" s="57" t="n"/>
      <c r="AD53" s="57" t="n"/>
      <c r="AE53" s="57" t="n"/>
      <c r="AF53" s="57" t="n"/>
      <c r="AG53" s="57" t="n"/>
      <c r="AH53" s="57" t="n"/>
      <c r="AI53" s="57" t="n"/>
      <c r="AJ53" s="57" t="n"/>
      <c r="AK53" s="57" t="n"/>
      <c r="AL53" s="57" t="n"/>
      <c r="AM53" s="57" t="n"/>
      <c r="AN53" s="57" t="n"/>
      <c r="AO53" s="57" t="n"/>
      <c r="AP53" s="57" t="n"/>
      <c r="AQ53" s="57" t="n"/>
      <c r="AR53" s="57" t="n"/>
      <c r="AS53" s="57" t="n"/>
      <c r="AT53" s="57" t="n"/>
    </row>
    <row r="54" ht="12.75" customHeight="1" s="267">
      <c r="A54" s="266" t="inlineStr">
        <is>
          <t>Track</t>
        </is>
      </c>
      <c r="B54" s="70" t="inlineStr">
        <is>
          <t>P</t>
        </is>
      </c>
      <c r="C54" s="58">
        <f>'1 Season'!C$6</f>
        <v/>
      </c>
      <c r="D54" s="59">
        <f>'1 Season'!C$7</f>
        <v/>
      </c>
      <c r="E54" s="59">
        <f>'1 Season'!C$8</f>
        <v/>
      </c>
      <c r="F54" s="59">
        <f>'1 Season'!C$9</f>
        <v/>
      </c>
      <c r="G54" s="59">
        <f>'1 Season'!C$10</f>
        <v/>
      </c>
      <c r="H54" s="59">
        <f>'1 Season'!C$11</f>
        <v/>
      </c>
      <c r="I54" s="59">
        <f>'1 Season'!C$12</f>
        <v/>
      </c>
      <c r="J54" s="59">
        <f>'1 Season'!C$13</f>
        <v/>
      </c>
      <c r="K54" s="59">
        <f>'1 Season'!C$14</f>
        <v/>
      </c>
      <c r="L54" s="59">
        <f>'1 Season'!C$15</f>
        <v/>
      </c>
      <c r="M54" s="59">
        <f>'1 Season'!C$16</f>
        <v/>
      </c>
      <c r="N54" s="59">
        <f>'1 Season'!C$17</f>
        <v/>
      </c>
      <c r="O54" s="59">
        <f>'1 Season'!C$18</f>
        <v/>
      </c>
      <c r="P54" s="59">
        <f>'1 Season'!C$19</f>
        <v/>
      </c>
      <c r="Q54" s="59">
        <f>'1 Season'!C$20</f>
        <v/>
      </c>
      <c r="R54" s="59">
        <f>'1 Season'!C$21</f>
        <v/>
      </c>
      <c r="S54" s="112">
        <f>'1 Season'!C$22</f>
        <v/>
      </c>
      <c r="T54" s="57" t="n"/>
      <c r="U54" s="57" t="n"/>
      <c r="V54" s="57" t="n"/>
      <c r="W54" s="57" t="n"/>
      <c r="X54" s="57" t="n"/>
      <c r="Y54" s="57" t="n"/>
      <c r="Z54" s="57" t="n"/>
      <c r="AA54" s="57" t="n"/>
      <c r="AB54" s="57" t="n"/>
      <c r="AC54" s="57" t="n"/>
      <c r="AD54" s="57" t="n"/>
      <c r="AE54" s="57" t="n"/>
      <c r="AF54" s="57" t="n"/>
      <c r="AG54" s="57" t="n"/>
      <c r="AH54" s="57" t="n"/>
      <c r="AI54" s="57" t="n"/>
      <c r="AJ54" s="57" t="n"/>
      <c r="AK54" s="57" t="n"/>
      <c r="AL54" s="57" t="n"/>
      <c r="AM54" s="57" t="n"/>
      <c r="AN54" s="57" t="n"/>
      <c r="AO54" s="57" t="n"/>
      <c r="AP54" s="57" t="n"/>
      <c r="AQ54" s="57" t="n"/>
      <c r="AR54" s="57" t="n"/>
      <c r="AS54" s="57" t="n"/>
      <c r="AT54" s="57" t="n"/>
    </row>
    <row r="55" ht="12.75" customHeight="1" s="267">
      <c r="B55" s="70" t="inlineStr">
        <is>
          <t>H</t>
        </is>
      </c>
      <c r="C55" s="69">
        <f>'1 Season'!D$6</f>
        <v/>
      </c>
      <c r="D55" s="70">
        <f>'1 Season'!D$7</f>
        <v/>
      </c>
      <c r="E55" s="70">
        <f>'1 Season'!D$8</f>
        <v/>
      </c>
      <c r="F55" s="70">
        <f>'1 Season'!D$9</f>
        <v/>
      </c>
      <c r="G55" s="70">
        <f>'1 Season'!D$10</f>
        <v/>
      </c>
      <c r="H55" s="70">
        <f>'1 Season'!D$11</f>
        <v/>
      </c>
      <c r="I55" s="70">
        <f>'1 Season'!D$12</f>
        <v/>
      </c>
      <c r="J55" s="70">
        <f>'1 Season'!D$13</f>
        <v/>
      </c>
      <c r="K55" s="70">
        <f>'1 Season'!D$14</f>
        <v/>
      </c>
      <c r="L55" s="70">
        <f>'1 Season'!D$15</f>
        <v/>
      </c>
      <c r="M55" s="70">
        <f>'1 Season'!D$16</f>
        <v/>
      </c>
      <c r="N55" s="70">
        <f>'1 Season'!D$17</f>
        <v/>
      </c>
      <c r="O55" s="70">
        <f>'1 Season'!D$18</f>
        <v/>
      </c>
      <c r="P55" s="70">
        <f>'1 Season'!D$19</f>
        <v/>
      </c>
      <c r="Q55" s="70">
        <f>'1 Season'!D$20</f>
        <v/>
      </c>
      <c r="R55" s="70">
        <f>'1 Season'!D$21</f>
        <v/>
      </c>
      <c r="S55" s="71">
        <f>'1 Season'!D$22</f>
        <v/>
      </c>
      <c r="T55" s="57" t="n"/>
      <c r="U55" s="57" t="n"/>
      <c r="V55" s="57" t="n"/>
      <c r="W55" s="57" t="n"/>
      <c r="X55" s="57" t="n"/>
      <c r="Y55" s="57" t="n"/>
      <c r="Z55" s="57" t="n"/>
      <c r="AA55" s="57" t="n"/>
      <c r="AB55" s="57" t="n"/>
      <c r="AC55" s="57" t="n"/>
      <c r="AD55" s="57" t="n"/>
      <c r="AE55" s="57" t="n"/>
      <c r="AF55" s="57" t="n"/>
      <c r="AG55" s="57" t="n"/>
      <c r="AH55" s="57" t="n"/>
      <c r="AI55" s="57" t="n"/>
      <c r="AJ55" s="57" t="n"/>
      <c r="AK55" s="57" t="n"/>
      <c r="AL55" s="57" t="n"/>
      <c r="AM55" s="57" t="n"/>
      <c r="AN55" s="57" t="n"/>
      <c r="AO55" s="57" t="n"/>
      <c r="AP55" s="57" t="n"/>
      <c r="AQ55" s="57" t="n"/>
      <c r="AR55" s="57" t="n"/>
      <c r="AS55" s="57" t="n"/>
      <c r="AT55" s="57" t="n"/>
    </row>
    <row r="56" ht="12.75" customHeight="1" s="267">
      <c r="B56" s="70" t="inlineStr">
        <is>
          <t>A</t>
        </is>
      </c>
      <c r="C56" s="63">
        <f>'1 Season'!E$6</f>
        <v/>
      </c>
      <c r="D56" s="64">
        <f>'1 Season'!E$7</f>
        <v/>
      </c>
      <c r="E56" s="64">
        <f>'1 Season'!E$8</f>
        <v/>
      </c>
      <c r="F56" s="64">
        <f>'1 Season'!E$9</f>
        <v/>
      </c>
      <c r="G56" s="64">
        <f>'1 Season'!E$10</f>
        <v/>
      </c>
      <c r="H56" s="64">
        <f>'1 Season'!E$11</f>
        <v/>
      </c>
      <c r="I56" s="64">
        <f>'1 Season'!E$12</f>
        <v/>
      </c>
      <c r="J56" s="64">
        <f>'1 Season'!E$13</f>
        <v/>
      </c>
      <c r="K56" s="64">
        <f>'1 Season'!E$14</f>
        <v/>
      </c>
      <c r="L56" s="64">
        <f>'1 Season'!E$15</f>
        <v/>
      </c>
      <c r="M56" s="64">
        <f>'1 Season'!E$16</f>
        <v/>
      </c>
      <c r="N56" s="64">
        <f>'1 Season'!E$17</f>
        <v/>
      </c>
      <c r="O56" s="64">
        <f>'1 Season'!E$18</f>
        <v/>
      </c>
      <c r="P56" s="64">
        <f>'1 Season'!E$19</f>
        <v/>
      </c>
      <c r="Q56" s="64">
        <f>'1 Season'!E$20</f>
        <v/>
      </c>
      <c r="R56" s="64">
        <f>'1 Season'!E$21</f>
        <v/>
      </c>
      <c r="S56" s="113">
        <f>'1 Season'!E$22</f>
        <v/>
      </c>
      <c r="T56" s="57" t="n"/>
      <c r="U56" s="57" t="n"/>
      <c r="V56" s="57" t="n"/>
      <c r="W56" s="57" t="n"/>
      <c r="X56" s="57" t="n"/>
      <c r="Y56" s="57" t="n"/>
      <c r="Z56" s="57" t="n"/>
      <c r="AA56" s="57" t="n"/>
      <c r="AB56" s="57" t="n"/>
      <c r="AC56" s="57" t="n"/>
      <c r="AD56" s="57" t="n"/>
      <c r="AE56" s="57" t="n"/>
      <c r="AF56" s="57" t="n"/>
      <c r="AG56" s="57" t="n"/>
      <c r="AH56" s="57" t="n"/>
      <c r="AI56" s="57" t="n"/>
      <c r="AJ56" s="57" t="n"/>
      <c r="AK56" s="57" t="n"/>
      <c r="AL56" s="57" t="n"/>
      <c r="AM56" s="57" t="n"/>
      <c r="AN56" s="57" t="n"/>
      <c r="AO56" s="57" t="n"/>
      <c r="AP56" s="57" t="n"/>
      <c r="AQ56" s="57" t="n"/>
      <c r="AR56" s="57" t="n"/>
      <c r="AS56" s="57" t="n"/>
      <c r="AT56" s="57" t="n"/>
    </row>
    <row r="57" ht="12.75" customHeight="1" s="267">
      <c r="A57" s="266" t="n"/>
      <c r="B57" s="70" t="n"/>
      <c r="C57" s="70" t="n"/>
      <c r="D57" s="70" t="n"/>
      <c r="E57" s="70" t="n"/>
      <c r="F57" s="70" t="n"/>
      <c r="G57" s="70" t="n"/>
      <c r="H57" s="70" t="n"/>
      <c r="I57" s="70" t="n"/>
      <c r="J57" s="70" t="n"/>
      <c r="K57" s="70" t="n"/>
      <c r="L57" s="70" t="n"/>
      <c r="M57" s="70" t="n"/>
      <c r="N57" s="70" t="n"/>
      <c r="O57" s="70" t="n"/>
      <c r="P57" s="70" t="n"/>
      <c r="Q57" s="70" t="n"/>
      <c r="R57" s="70" t="n"/>
      <c r="S57" s="70" t="n"/>
      <c r="T57" s="57" t="n"/>
      <c r="U57" s="57" t="n"/>
      <c r="V57" s="57" t="n"/>
      <c r="W57" s="57" t="n"/>
      <c r="X57" s="57" t="n"/>
      <c r="Y57" s="57" t="n"/>
      <c r="Z57" s="57" t="n"/>
      <c r="AA57" s="57" t="n"/>
      <c r="AB57" s="57" t="n"/>
      <c r="AC57" s="57" t="n"/>
      <c r="AD57" s="57" t="n"/>
      <c r="AE57" s="57" t="n"/>
      <c r="AF57" s="57" t="n"/>
      <c r="AG57" s="57" t="n"/>
      <c r="AH57" s="57" t="n"/>
      <c r="AI57" s="57" t="n"/>
      <c r="AJ57" s="57" t="n"/>
      <c r="AK57" s="57" t="n"/>
      <c r="AL57" s="57" t="n"/>
      <c r="AM57" s="57" t="n"/>
      <c r="AN57" s="57" t="n"/>
      <c r="AO57" s="57" t="n"/>
      <c r="AP57" s="57" t="n"/>
      <c r="AQ57" s="57" t="n"/>
      <c r="AR57" s="57" t="n"/>
      <c r="AS57" s="57" t="n"/>
      <c r="AT57" s="57" t="n"/>
    </row>
    <row r="58" ht="12.75" customHeight="1" s="267">
      <c r="A58" s="266" t="inlineStr">
        <is>
          <t>Offset</t>
        </is>
      </c>
      <c r="B58" s="70" t="inlineStr">
        <is>
          <t>P</t>
        </is>
      </c>
      <c r="C58" s="58">
        <f>C50-ROUND(INDEX(C$50:C$52,MATCH(MAX(C$54:C$56),C$54:C$56,0))*C54/MAX(C$54:C$56),0)</f>
        <v/>
      </c>
      <c r="D58" s="59">
        <f>D50-ROUND(INDEX(D$50:D$52,MATCH(MAX(D$54:D$56),D$54:D$56,0))*D54/MAX(D$54:D$56),0)</f>
        <v/>
      </c>
      <c r="E58" s="59">
        <f>E50-ROUND(INDEX(E$50:E$52,MATCH(MAX(E$54:E$56),E$54:E$56,0))*E54/MAX(E$54:E$56),0)</f>
        <v/>
      </c>
      <c r="F58" s="59">
        <f>F50-ROUND(INDEX(F$50:F$52,MATCH(MAX(F$54:F$56),F$54:F$56,0))*F54/MAX(F$54:F$56),0)</f>
        <v/>
      </c>
      <c r="G58" s="59">
        <f>G50-ROUND(INDEX(G$50:G$52,MATCH(MAX(G$54:G$56),G$54:G$56,0))*G54/MAX(G$54:G$56),0)</f>
        <v/>
      </c>
      <c r="H58" s="59">
        <f>H50-ROUND(INDEX(H$50:H$52,MATCH(MAX(H$54:H$56),H$54:H$56,0))*H54/MAX(H$54:H$56),0)</f>
        <v/>
      </c>
      <c r="I58" s="59">
        <f>I50-ROUND(INDEX(I$50:I$52,MATCH(MAX(I$54:I$56),I$54:I$56,0))*I54/MAX(I$54:I$56),0)</f>
        <v/>
      </c>
      <c r="J58" s="59">
        <f>J50-ROUND(INDEX(J$50:J$52,MATCH(MAX(J$54:J$56),J$54:J$56,0))*J54/MAX(J$54:J$56),0)</f>
        <v/>
      </c>
      <c r="K58" s="59">
        <f>K50-ROUND(INDEX(K$50:K$52,MATCH(MAX(K$54:K$56),K$54:K$56,0))*K54/MAX(K$54:K$56),0)</f>
        <v/>
      </c>
      <c r="L58" s="59">
        <f>L50-ROUND(INDEX(L$50:L$52,MATCH(MAX(L$54:L$56),L$54:L$56,0))*L54/MAX(L$54:L$56),0)</f>
        <v/>
      </c>
      <c r="M58" s="59">
        <f>M50-ROUND(INDEX(M$50:M$52,MATCH(MAX(M$54:M$56),M$54:M$56,0))*M54/MAX(M$54:M$56),0)</f>
        <v/>
      </c>
      <c r="N58" s="59">
        <f>N50-ROUND(INDEX(N$50:N$52,MATCH(MAX(N$54:N$56),N$54:N$56,0))*N54/MAX(N$54:N$56),0)</f>
        <v/>
      </c>
      <c r="O58" s="59">
        <f>O50-ROUND(INDEX(O$50:O$52,MATCH(MAX(O$54:O$56),O$54:O$56,0))*O54/MAX(O$54:O$56),0)</f>
        <v/>
      </c>
      <c r="P58" s="59">
        <f>P50-ROUND(INDEX(P$50:P$52,MATCH(MAX(P$54:P$56),P$54:P$56,0))*P54/MAX(P$54:P$56),0)</f>
        <v/>
      </c>
      <c r="Q58" s="59">
        <f>Q50-ROUND(INDEX(Q$50:Q$52,MATCH(MAX(Q$54:Q$56),Q$54:Q$56,0))*Q54/MAX(Q$54:Q$56),0)</f>
        <v/>
      </c>
      <c r="R58" s="59">
        <f>R50-ROUND(INDEX(R$50:R$52,MATCH(MAX(R$54:R$56),R$54:R$56,0))*R54/MAX(R$54:R$56),0)</f>
        <v/>
      </c>
      <c r="S58" s="112">
        <f>S50-ROUND(INDEX(S$50:S$52,MATCH(MAX(S$54:S$56),S$54:S$56,0))*S54/MAX(S$54:S$56),0)</f>
        <v/>
      </c>
      <c r="T58" s="57" t="n"/>
      <c r="U58" s="57" t="n"/>
      <c r="V58" s="57" t="n"/>
      <c r="W58" s="57" t="n"/>
      <c r="X58" s="57" t="n"/>
      <c r="Y58" s="57" t="n"/>
      <c r="Z58" s="57" t="n"/>
      <c r="AA58" s="57" t="n"/>
      <c r="AB58" s="57" t="n"/>
      <c r="AC58" s="57" t="n"/>
      <c r="AD58" s="57" t="n"/>
      <c r="AE58" s="57" t="n"/>
      <c r="AF58" s="57" t="n"/>
      <c r="AG58" s="57" t="n"/>
      <c r="AH58" s="57" t="n"/>
      <c r="AI58" s="57" t="n"/>
      <c r="AJ58" s="57" t="n"/>
      <c r="AK58" s="57" t="n"/>
      <c r="AL58" s="57" t="n"/>
      <c r="AM58" s="57" t="n"/>
      <c r="AN58" s="57" t="n"/>
      <c r="AO58" s="57" t="n"/>
      <c r="AP58" s="57" t="n"/>
      <c r="AQ58" s="57" t="n"/>
      <c r="AR58" s="57" t="n"/>
      <c r="AS58" s="57" t="n"/>
      <c r="AT58" s="57" t="n"/>
    </row>
    <row r="59" ht="12.75" customHeight="1" s="267">
      <c r="B59" s="70" t="inlineStr">
        <is>
          <t>H</t>
        </is>
      </c>
      <c r="C59" s="69">
        <f>C51-ROUND(INDEX(C$50:C$52,MATCH(MAX(C$54:C$56),C$54:C$56,0))*C55/MAX(C$54:C$56),0)</f>
        <v/>
      </c>
      <c r="D59" s="70">
        <f>D51-ROUND(INDEX(D$50:D$52,MATCH(MAX(D$54:D$56),D$54:D$56,0))*D55/MAX(D$54:D$56),0)</f>
        <v/>
      </c>
      <c r="E59" s="70">
        <f>E51-ROUND(INDEX(E$50:E$52,MATCH(MAX(E$54:E$56),E$54:E$56,0))*E55/MAX(E$54:E$56),0)</f>
        <v/>
      </c>
      <c r="F59" s="70">
        <f>F51-ROUND(INDEX(F$50:F$52,MATCH(MAX(F$54:F$56),F$54:F$56,0))*F55/MAX(F$54:F$56),0)</f>
        <v/>
      </c>
      <c r="G59" s="70">
        <f>G51-ROUND(INDEX(G$50:G$52,MATCH(MAX(G$54:G$56),G$54:G$56,0))*G55/MAX(G$54:G$56),0)</f>
        <v/>
      </c>
      <c r="H59" s="70">
        <f>H51-ROUND(INDEX(H$50:H$52,MATCH(MAX(H$54:H$56),H$54:H$56,0))*H55/MAX(H$54:H$56),0)</f>
        <v/>
      </c>
      <c r="I59" s="70">
        <f>I51-ROUND(INDEX(I$50:I$52,MATCH(MAX(I$54:I$56),I$54:I$56,0))*I55/MAX(I$54:I$56),0)</f>
        <v/>
      </c>
      <c r="J59" s="70">
        <f>J51-ROUND(INDEX(J$50:J$52,MATCH(MAX(J$54:J$56),J$54:J$56,0))*J55/MAX(J$54:J$56),0)</f>
        <v/>
      </c>
      <c r="K59" s="70">
        <f>K51-ROUND(INDEX(K$50:K$52,MATCH(MAX(K$54:K$56),K$54:K$56,0))*K55/MAX(K$54:K$56),0)</f>
        <v/>
      </c>
      <c r="L59" s="70">
        <f>L51-ROUND(INDEX(L$50:L$52,MATCH(MAX(L$54:L$56),L$54:L$56,0))*L55/MAX(L$54:L$56),0)</f>
        <v/>
      </c>
      <c r="M59" s="70">
        <f>M51-ROUND(INDEX(M$50:M$52,MATCH(MAX(M$54:M$56),M$54:M$56,0))*M55/MAX(M$54:M$56),0)</f>
        <v/>
      </c>
      <c r="N59" s="70">
        <f>N51-ROUND(INDEX(N$50:N$52,MATCH(MAX(N$54:N$56),N$54:N$56,0))*N55/MAX(N$54:N$56),0)</f>
        <v/>
      </c>
      <c r="O59" s="70">
        <f>O51-ROUND(INDEX(O$50:O$52,MATCH(MAX(O$54:O$56),O$54:O$56,0))*O55/MAX(O$54:O$56),0)</f>
        <v/>
      </c>
      <c r="P59" s="70">
        <f>P51-ROUND(INDEX(P$50:P$52,MATCH(MAX(P$54:P$56),P$54:P$56,0))*P55/MAX(P$54:P$56),0)</f>
        <v/>
      </c>
      <c r="Q59" s="70">
        <f>Q51-ROUND(INDEX(Q$50:Q$52,MATCH(MAX(Q$54:Q$56),Q$54:Q$56,0))*Q55/MAX(Q$54:Q$56),0)</f>
        <v/>
      </c>
      <c r="R59" s="70">
        <f>R51-ROUND(INDEX(R$50:R$52,MATCH(MAX(R$54:R$56),R$54:R$56,0))*R55/MAX(R$54:R$56),0)</f>
        <v/>
      </c>
      <c r="S59" s="71">
        <f>S51-ROUND(INDEX(S$50:S$52,MATCH(MAX(S$54:S$56),S$54:S$56,0))*S55/MAX(S$54:S$56),0)</f>
        <v/>
      </c>
      <c r="T59" s="57" t="n"/>
      <c r="U59" s="57" t="n"/>
      <c r="V59" s="57" t="n"/>
      <c r="W59" s="57" t="n"/>
      <c r="X59" s="57" t="n"/>
      <c r="Y59" s="57" t="n"/>
      <c r="Z59" s="57" t="n"/>
      <c r="AA59" s="57" t="n"/>
      <c r="AB59" s="57" t="n"/>
      <c r="AC59" s="57" t="n"/>
      <c r="AD59" s="57" t="n"/>
      <c r="AE59" s="57" t="n"/>
      <c r="AF59" s="57" t="n"/>
      <c r="AG59" s="57" t="n"/>
      <c r="AH59" s="57" t="n"/>
      <c r="AI59" s="57" t="n"/>
      <c r="AJ59" s="57" t="n"/>
      <c r="AK59" s="57" t="n"/>
      <c r="AL59" s="57" t="n"/>
      <c r="AM59" s="57" t="n"/>
      <c r="AN59" s="57" t="n"/>
      <c r="AO59" s="57" t="n"/>
      <c r="AP59" s="57" t="n"/>
      <c r="AQ59" s="57" t="n"/>
      <c r="AR59" s="57" t="n"/>
      <c r="AS59" s="57" t="n"/>
      <c r="AT59" s="57" t="n"/>
    </row>
    <row r="60" ht="12.75" customHeight="1" s="267">
      <c r="B60" s="70" t="inlineStr">
        <is>
          <t>A</t>
        </is>
      </c>
      <c r="C60" s="63">
        <f>C52-ROUND(INDEX(C$50:C$52,MATCH(MAX(C$54:C$56),C$54:C$56,0))*C56/MAX(C$54:C$56),0)</f>
        <v/>
      </c>
      <c r="D60" s="64">
        <f>D52-ROUND(INDEX(D$50:D$52,MATCH(MAX(D$54:D$56),D$54:D$56,0))*D56/MAX(D$54:D$56),0)</f>
        <v/>
      </c>
      <c r="E60" s="64">
        <f>E52-ROUND(INDEX(E$50:E$52,MATCH(MAX(E$54:E$56),E$54:E$56,0))*E56/MAX(E$54:E$56),0)</f>
        <v/>
      </c>
      <c r="F60" s="64">
        <f>F52-ROUND(INDEX(F$50:F$52,MATCH(MAX(F$54:F$56),F$54:F$56,0))*F56/MAX(F$54:F$56),0)</f>
        <v/>
      </c>
      <c r="G60" s="64">
        <f>G52-ROUND(INDEX(G$50:G$52,MATCH(MAX(G$54:G$56),G$54:G$56,0))*G56/MAX(G$54:G$56),0)</f>
        <v/>
      </c>
      <c r="H60" s="64">
        <f>H52-ROUND(INDEX(H$50:H$52,MATCH(MAX(H$54:H$56),H$54:H$56,0))*H56/MAX(H$54:H$56),0)</f>
        <v/>
      </c>
      <c r="I60" s="64">
        <f>I52-ROUND(INDEX(I$50:I$52,MATCH(MAX(I$54:I$56),I$54:I$56,0))*I56/MAX(I$54:I$56),0)</f>
        <v/>
      </c>
      <c r="J60" s="64">
        <f>J52-ROUND(INDEX(J$50:J$52,MATCH(MAX(J$54:J$56),J$54:J$56,0))*J56/MAX(J$54:J$56),0)</f>
        <v/>
      </c>
      <c r="K60" s="64">
        <f>K52-ROUND(INDEX(K$50:K$52,MATCH(MAX(K$54:K$56),K$54:K$56,0))*K56/MAX(K$54:K$56),0)</f>
        <v/>
      </c>
      <c r="L60" s="64">
        <f>L52-ROUND(INDEX(L$50:L$52,MATCH(MAX(L$54:L$56),L$54:L$56,0))*L56/MAX(L$54:L$56),0)</f>
        <v/>
      </c>
      <c r="M60" s="64">
        <f>M52-ROUND(INDEX(M$50:M$52,MATCH(MAX(M$54:M$56),M$54:M$56,0))*M56/MAX(M$54:M$56),0)</f>
        <v/>
      </c>
      <c r="N60" s="64">
        <f>N52-ROUND(INDEX(N$50:N$52,MATCH(MAX(N$54:N$56),N$54:N$56,0))*N56/MAX(N$54:N$56),0)</f>
        <v/>
      </c>
      <c r="O60" s="64">
        <f>O52-ROUND(INDEX(O$50:O$52,MATCH(MAX(O$54:O$56),O$54:O$56,0))*O56/MAX(O$54:O$56),0)</f>
        <v/>
      </c>
      <c r="P60" s="64">
        <f>P52-ROUND(INDEX(P$50:P$52,MATCH(MAX(P$54:P$56),P$54:P$56,0))*P56/MAX(P$54:P$56),0)</f>
        <v/>
      </c>
      <c r="Q60" s="64">
        <f>Q52-ROUND(INDEX(Q$50:Q$52,MATCH(MAX(Q$54:Q$56),Q$54:Q$56,0))*Q56/MAX(Q$54:Q$56),0)</f>
        <v/>
      </c>
      <c r="R60" s="64">
        <f>R52-ROUND(INDEX(R$50:R$52,MATCH(MAX(R$54:R$56),R$54:R$56,0))*R56/MAX(R$54:R$56),0)</f>
        <v/>
      </c>
      <c r="S60" s="113">
        <f>S52-ROUND(INDEX(S$50:S$52,MATCH(MAX(S$54:S$56),S$54:S$56,0))*S56/MAX(S$54:S$56),0)</f>
        <v/>
      </c>
      <c r="T60" s="57" t="n"/>
      <c r="U60" s="57" t="n"/>
      <c r="V60" s="57" t="n"/>
      <c r="W60" s="57" t="n"/>
      <c r="X60" s="57" t="n"/>
      <c r="Y60" s="57" t="n"/>
      <c r="Z60" s="57" t="n"/>
      <c r="AA60" s="57" t="n"/>
      <c r="AB60" s="57" t="n"/>
      <c r="AC60" s="57" t="n"/>
      <c r="AD60" s="57" t="n"/>
      <c r="AE60" s="57" t="n"/>
      <c r="AF60" s="57" t="n"/>
      <c r="AG60" s="57" t="n"/>
      <c r="AH60" s="57" t="n"/>
      <c r="AI60" s="57" t="n"/>
      <c r="AJ60" s="57" t="n"/>
      <c r="AK60" s="57" t="n"/>
      <c r="AL60" s="57" t="n"/>
      <c r="AM60" s="57" t="n"/>
      <c r="AN60" s="57" t="n"/>
      <c r="AO60" s="57" t="n"/>
      <c r="AP60" s="57" t="n"/>
      <c r="AQ60" s="57" t="n"/>
      <c r="AR60" s="57" t="n"/>
      <c r="AS60" s="57" t="n"/>
      <c r="AT60" s="57" t="n"/>
    </row>
    <row r="61" ht="12.75" customHeight="1" s="267">
      <c r="A61" s="57" t="n"/>
      <c r="B61" s="57" t="inlineStr">
        <is>
          <t>T</t>
        </is>
      </c>
      <c r="C61" s="115">
        <f>SUMPRODUCT(ABS(C58:C60))</f>
        <v/>
      </c>
      <c r="D61" s="116">
        <f>SUMPRODUCT(ABS(D58:D60))</f>
        <v/>
      </c>
      <c r="E61" s="116">
        <f>SUMPRODUCT(ABS(E58:E60))</f>
        <v/>
      </c>
      <c r="F61" s="116">
        <f>SUMPRODUCT(ABS(F58:F60))</f>
        <v/>
      </c>
      <c r="G61" s="116">
        <f>SUMPRODUCT(ABS(G58:G60))</f>
        <v/>
      </c>
      <c r="H61" s="116">
        <f>SUMPRODUCT(ABS(H58:H60))</f>
        <v/>
      </c>
      <c r="I61" s="116">
        <f>SUMPRODUCT(ABS(I58:I60))</f>
        <v/>
      </c>
      <c r="J61" s="116">
        <f>SUMPRODUCT(ABS(J58:J60))</f>
        <v/>
      </c>
      <c r="K61" s="116">
        <f>SUMPRODUCT(ABS(K58:K60))</f>
        <v/>
      </c>
      <c r="L61" s="116">
        <f>SUMPRODUCT(ABS(L58:L60))</f>
        <v/>
      </c>
      <c r="M61" s="116">
        <f>SUMPRODUCT(ABS(M58:M60))</f>
        <v/>
      </c>
      <c r="N61" s="116">
        <f>SUMPRODUCT(ABS(N58:N60))</f>
        <v/>
      </c>
      <c r="O61" s="116">
        <f>SUMPRODUCT(ABS(O58:O60))</f>
        <v/>
      </c>
      <c r="P61" s="116">
        <f>SUMPRODUCT(ABS(P58:P60))</f>
        <v/>
      </c>
      <c r="Q61" s="116">
        <f>SUMPRODUCT(ABS(Q58:Q60))</f>
        <v/>
      </c>
      <c r="R61" s="116">
        <f>SUMPRODUCT(ABS(R58:R60))</f>
        <v/>
      </c>
      <c r="S61" s="117">
        <f>SUMPRODUCT(ABS(S58:S60))</f>
        <v/>
      </c>
      <c r="T61" s="57">
        <f>SUM(C61:S61)</f>
        <v/>
      </c>
      <c r="U61" s="57" t="n"/>
      <c r="V61" s="57" t="n"/>
      <c r="W61" s="57" t="n"/>
      <c r="X61" s="57" t="n"/>
      <c r="Y61" s="57" t="n"/>
      <c r="Z61" s="57" t="n"/>
      <c r="AA61" s="57" t="n"/>
      <c r="AB61" s="57" t="n"/>
      <c r="AC61" s="57" t="n"/>
      <c r="AD61" s="57" t="n"/>
      <c r="AE61" s="57" t="n"/>
      <c r="AF61" s="57" t="n"/>
      <c r="AG61" s="57" t="n"/>
      <c r="AH61" s="57" t="n"/>
      <c r="AI61" s="57" t="n"/>
      <c r="AJ61" s="57" t="n"/>
      <c r="AK61" s="57" t="n"/>
      <c r="AL61" s="57" t="n"/>
      <c r="AM61" s="57" t="n"/>
      <c r="AN61" s="57" t="n"/>
      <c r="AO61" s="57" t="n"/>
      <c r="AP61" s="57" t="n"/>
      <c r="AQ61" s="57" t="n"/>
      <c r="AR61" s="57" t="n"/>
      <c r="AS61" s="57" t="n"/>
      <c r="AT61" s="57" t="n"/>
    </row>
    <row r="62" ht="12.75" customHeight="1" s="267">
      <c r="A62" s="57" t="n"/>
      <c r="B62" s="57" t="n"/>
      <c r="C62" s="57" t="n"/>
      <c r="D62" s="57" t="n"/>
      <c r="E62" s="57" t="n"/>
      <c r="F62" s="57" t="n"/>
      <c r="G62" s="57" t="n"/>
      <c r="H62" s="57" t="n"/>
      <c r="I62" s="57" t="n"/>
      <c r="J62" s="57" t="n"/>
      <c r="K62" s="57" t="n"/>
      <c r="L62" s="57" t="n"/>
      <c r="M62" s="57" t="n"/>
      <c r="N62" s="57" t="n"/>
      <c r="O62" s="57" t="n"/>
      <c r="P62" s="57" t="n"/>
      <c r="Q62" s="57" t="n"/>
      <c r="R62" s="57" t="n"/>
      <c r="S62" s="57" t="n"/>
      <c r="T62" s="57" t="n"/>
      <c r="U62" s="57" t="n"/>
      <c r="V62" s="57" t="n"/>
      <c r="W62" s="57" t="n"/>
      <c r="X62" s="57" t="n"/>
      <c r="Y62" s="57" t="n"/>
      <c r="Z62" s="57" t="n"/>
      <c r="AA62" s="57" t="n"/>
      <c r="AB62" s="57" t="n"/>
      <c r="AC62" s="57" t="n"/>
      <c r="AD62" s="57" t="n"/>
      <c r="AE62" s="57" t="n"/>
      <c r="AF62" s="57" t="n"/>
      <c r="AG62" s="57" t="n"/>
      <c r="AH62" s="57" t="n"/>
      <c r="AI62" s="57" t="n"/>
      <c r="AJ62" s="57" t="n"/>
      <c r="AK62" s="57" t="n"/>
      <c r="AL62" s="57" t="n"/>
      <c r="AM62" s="57" t="n"/>
      <c r="AN62" s="57" t="n"/>
      <c r="AO62" s="57" t="n"/>
      <c r="AP62" s="57" t="n"/>
      <c r="AQ62" s="57" t="n"/>
      <c r="AR62" s="57" t="n"/>
      <c r="AS62" s="57" t="n"/>
      <c r="AT62" s="57" t="n"/>
    </row>
    <row r="63" ht="12.75" customHeight="1" s="267">
      <c r="A63" s="57" t="n"/>
      <c r="B63" s="57" t="n"/>
      <c r="C63" s="57" t="n"/>
      <c r="D63" s="57" t="n"/>
      <c r="E63" s="57" t="n"/>
      <c r="F63" s="57" t="n"/>
      <c r="G63" s="57" t="n"/>
      <c r="H63" s="57" t="n"/>
      <c r="I63" s="57" t="n"/>
      <c r="J63" s="57" t="n"/>
      <c r="K63" s="57" t="n"/>
      <c r="L63" s="57" t="n"/>
      <c r="M63" s="57" t="n"/>
      <c r="N63" s="57" t="n"/>
      <c r="O63" s="57" t="n"/>
      <c r="P63" s="57" t="n"/>
      <c r="Q63" s="57" t="n"/>
      <c r="R63" s="57" t="n"/>
      <c r="S63" s="57" t="n"/>
      <c r="T63" s="57" t="n"/>
      <c r="U63" s="57" t="n"/>
      <c r="V63" s="57" t="n"/>
      <c r="W63" s="57" t="n"/>
      <c r="X63" s="57" t="n"/>
      <c r="Y63" s="57" t="n"/>
      <c r="Z63" s="57" t="n"/>
      <c r="AA63" s="57" t="n"/>
      <c r="AB63" s="57" t="n"/>
      <c r="AC63" s="57" t="n"/>
      <c r="AD63" s="57" t="n"/>
      <c r="AE63" s="57" t="n"/>
      <c r="AF63" s="57" t="n"/>
      <c r="AG63" s="57" t="n"/>
      <c r="AH63" s="57" t="n"/>
      <c r="AI63" s="57" t="n"/>
      <c r="AJ63" s="57" t="n"/>
      <c r="AK63" s="57" t="n"/>
      <c r="AL63" s="57" t="n"/>
      <c r="AM63" s="57" t="n"/>
      <c r="AN63" s="57" t="n"/>
      <c r="AO63" s="57" t="n"/>
      <c r="AP63" s="57" t="n"/>
      <c r="AQ63" s="57" t="n"/>
      <c r="AR63" s="57" t="n"/>
      <c r="AS63" s="57" t="n"/>
      <c r="AT63" s="57" t="n"/>
    </row>
    <row r="64" ht="12.75" customHeight="1" s="267">
      <c r="A64" s="57" t="n"/>
      <c r="B64" s="57" t="n"/>
      <c r="C64" s="57" t="n"/>
      <c r="D64" s="57" t="n"/>
      <c r="E64" s="57" t="n"/>
      <c r="F64" s="57" t="n"/>
      <c r="G64" s="57" t="n"/>
      <c r="H64" s="57" t="n"/>
      <c r="I64" s="57" t="n"/>
      <c r="J64" s="57" t="n"/>
      <c r="K64" s="57" t="n"/>
      <c r="L64" s="57" t="n"/>
      <c r="M64" s="57" t="n"/>
      <c r="N64" s="57" t="n"/>
      <c r="O64" s="57" t="n"/>
      <c r="P64" s="57" t="n"/>
      <c r="Q64" s="57" t="n"/>
      <c r="R64" s="57" t="n"/>
      <c r="S64" s="57" t="n"/>
      <c r="T64" s="57" t="n"/>
      <c r="U64" s="57" t="n"/>
      <c r="V64" s="57" t="n"/>
      <c r="W64" s="57" t="n"/>
      <c r="X64" s="57" t="n"/>
      <c r="Y64" s="57" t="n"/>
      <c r="Z64" s="57" t="n"/>
      <c r="AA64" s="57" t="n"/>
      <c r="AB64" s="57" t="n"/>
      <c r="AC64" s="57" t="n"/>
      <c r="AD64" s="57" t="n"/>
      <c r="AE64" s="57" t="n"/>
      <c r="AF64" s="57" t="n"/>
      <c r="AG64" s="57" t="n"/>
      <c r="AH64" s="57" t="n"/>
      <c r="AI64" s="57" t="n"/>
      <c r="AJ64" s="57" t="n"/>
      <c r="AK64" s="57" t="n"/>
      <c r="AL64" s="57" t="n"/>
      <c r="AM64" s="57" t="n"/>
      <c r="AN64" s="57" t="n"/>
      <c r="AO64" s="57" t="n"/>
      <c r="AP64" s="57" t="n"/>
      <c r="AQ64" s="57" t="n"/>
      <c r="AR64" s="57" t="n"/>
      <c r="AS64" s="57" t="n"/>
      <c r="AT64" s="57" t="n"/>
    </row>
    <row r="65" ht="12.75" customHeight="1" s="267">
      <c r="A65" s="57" t="n"/>
      <c r="B65" s="57" t="n"/>
      <c r="C65" s="57" t="n"/>
      <c r="D65" s="57" t="n"/>
      <c r="E65" s="57" t="n"/>
      <c r="F65" s="57" t="n"/>
      <c r="G65" s="57" t="n"/>
      <c r="H65" s="57" t="n"/>
      <c r="I65" s="57" t="n"/>
      <c r="J65" s="57" t="n"/>
      <c r="K65" s="57" t="n"/>
      <c r="L65" s="57" t="n"/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  <c r="V65" s="57" t="n"/>
      <c r="W65" s="57" t="n"/>
      <c r="X65" s="57" t="n"/>
      <c r="Y65" s="57" t="n"/>
      <c r="Z65" s="57" t="n"/>
      <c r="AA65" s="57" t="n"/>
      <c r="AB65" s="57" t="n"/>
      <c r="AC65" s="57" t="n"/>
      <c r="AD65" s="57" t="n"/>
      <c r="AE65" s="57" t="n"/>
      <c r="AF65" s="57" t="n"/>
      <c r="AG65" s="57" t="n"/>
      <c r="AH65" s="57" t="n"/>
      <c r="AI65" s="57" t="n"/>
      <c r="AJ65" s="57" t="n"/>
      <c r="AK65" s="57" t="n"/>
      <c r="AL65" s="57" t="n"/>
      <c r="AM65" s="57" t="n"/>
      <c r="AN65" s="57" t="n"/>
      <c r="AO65" s="57" t="n"/>
      <c r="AP65" s="57" t="n"/>
      <c r="AQ65" s="57" t="n"/>
      <c r="AR65" s="57" t="n"/>
      <c r="AS65" s="57" t="n"/>
      <c r="AT65" s="57" t="n"/>
    </row>
    <row r="66" ht="12.75" customHeight="1" s="267">
      <c r="A66" s="57" t="n"/>
      <c r="B66" s="57" t="n"/>
      <c r="C66" s="57" t="n"/>
      <c r="D66" s="57" t="n"/>
      <c r="E66" s="57" t="n"/>
      <c r="F66" s="57" t="n"/>
      <c r="G66" s="57" t="n"/>
      <c r="H66" s="57" t="n"/>
      <c r="I66" s="57" t="n"/>
      <c r="J66" s="57" t="n"/>
      <c r="K66" s="57" t="n"/>
      <c r="L66" s="57" t="n"/>
      <c r="M66" s="57" t="n"/>
      <c r="N66" s="57" t="n"/>
      <c r="O66" s="57" t="n"/>
      <c r="P66" s="57" t="n"/>
      <c r="Q66" s="57" t="n"/>
      <c r="R66" s="57" t="n"/>
      <c r="S66" s="57" t="n"/>
      <c r="T66" s="57" t="n"/>
      <c r="U66" s="57" t="n"/>
      <c r="V66" s="57" t="n"/>
      <c r="W66" s="57" t="n"/>
      <c r="X66" s="57" t="n"/>
      <c r="Y66" s="57" t="n"/>
      <c r="Z66" s="57" t="n"/>
      <c r="AA66" s="57" t="n"/>
      <c r="AB66" s="57" t="n"/>
      <c r="AC66" s="57" t="n"/>
      <c r="AD66" s="57" t="n"/>
      <c r="AE66" s="57" t="n"/>
      <c r="AF66" s="57" t="n"/>
      <c r="AG66" s="57" t="n"/>
      <c r="AH66" s="57" t="n"/>
      <c r="AI66" s="57" t="n"/>
      <c r="AJ66" s="57" t="n"/>
      <c r="AK66" s="57" t="n"/>
      <c r="AL66" s="57" t="n"/>
      <c r="AM66" s="57" t="n"/>
      <c r="AN66" s="57" t="n"/>
      <c r="AO66" s="57" t="n"/>
      <c r="AP66" s="57" t="n"/>
      <c r="AQ66" s="57" t="n"/>
      <c r="AR66" s="57" t="n"/>
      <c r="AS66" s="57" t="n"/>
      <c r="AT66" s="57" t="n"/>
    </row>
    <row r="67" ht="12.75" customHeight="1" s="267">
      <c r="A67" s="57" t="n"/>
      <c r="B67" s="57" t="n"/>
      <c r="C67" s="57" t="n"/>
      <c r="D67" s="57" t="n"/>
      <c r="E67" s="57" t="n"/>
      <c r="F67" s="57" t="n"/>
      <c r="G67" s="57" t="n"/>
      <c r="H67" s="57" t="n"/>
      <c r="I67" s="57" t="n"/>
      <c r="J67" s="57" t="n"/>
      <c r="K67" s="57" t="n"/>
      <c r="L67" s="57" t="n"/>
      <c r="M67" s="57" t="n"/>
      <c r="N67" s="57" t="n"/>
      <c r="O67" s="57" t="n"/>
      <c r="P67" s="57" t="n"/>
      <c r="Q67" s="57" t="n"/>
      <c r="R67" s="57" t="n"/>
      <c r="S67" s="57" t="n"/>
      <c r="T67" s="57" t="n"/>
      <c r="U67" s="57" t="n"/>
      <c r="V67" s="57" t="n"/>
      <c r="W67" s="57" t="n"/>
      <c r="X67" s="57" t="n"/>
      <c r="Y67" s="57" t="n"/>
      <c r="Z67" s="57" t="n"/>
      <c r="AA67" s="57" t="n"/>
      <c r="AB67" s="57" t="n"/>
      <c r="AC67" s="57" t="n"/>
      <c r="AD67" s="57" t="n"/>
      <c r="AE67" s="57" t="n"/>
      <c r="AF67" s="57" t="n"/>
      <c r="AG67" s="57" t="n"/>
      <c r="AH67" s="57" t="n"/>
      <c r="AI67" s="57" t="n"/>
      <c r="AJ67" s="57" t="n"/>
      <c r="AK67" s="57" t="n"/>
      <c r="AL67" s="57" t="n"/>
      <c r="AM67" s="57" t="n"/>
      <c r="AN67" s="57" t="n"/>
      <c r="AO67" s="57" t="n"/>
      <c r="AP67" s="57" t="n"/>
      <c r="AQ67" s="57" t="n"/>
      <c r="AR67" s="57" t="n"/>
      <c r="AS67" s="57" t="n"/>
      <c r="AT67" s="57" t="n"/>
    </row>
    <row r="68" ht="12.75" customHeight="1" s="267">
      <c r="A68" s="57" t="n"/>
      <c r="B68" s="57" t="n"/>
      <c r="C68" s="57" t="n"/>
      <c r="D68" s="57" t="n"/>
      <c r="E68" s="57" t="n"/>
      <c r="F68" s="57" t="n"/>
      <c r="G68" s="57" t="n"/>
      <c r="H68" s="57" t="n"/>
      <c r="I68" s="57" t="n"/>
      <c r="J68" s="57" t="n"/>
      <c r="K68" s="57" t="n"/>
      <c r="L68" s="57" t="n"/>
      <c r="M68" s="57" t="n"/>
      <c r="N68" s="57" t="n"/>
      <c r="O68" s="57" t="n"/>
      <c r="P68" s="57" t="n"/>
      <c r="Q68" s="57" t="n"/>
      <c r="R68" s="57" t="n"/>
      <c r="S68" s="57" t="n"/>
      <c r="T68" s="57" t="n"/>
      <c r="U68" s="57" t="n"/>
      <c r="V68" s="57" t="n"/>
      <c r="W68" s="57" t="n"/>
      <c r="X68" s="57" t="n"/>
      <c r="Y68" s="57" t="n"/>
      <c r="Z68" s="57" t="n"/>
      <c r="AA68" s="57" t="n"/>
      <c r="AB68" s="57" t="n"/>
      <c r="AC68" s="57" t="n"/>
      <c r="AD68" s="57" t="n"/>
      <c r="AE68" s="57" t="n"/>
      <c r="AF68" s="57" t="n"/>
      <c r="AG68" s="57" t="n"/>
      <c r="AH68" s="57" t="n"/>
      <c r="AI68" s="57" t="n"/>
      <c r="AJ68" s="57" t="n"/>
      <c r="AK68" s="57" t="n"/>
      <c r="AL68" s="57" t="n"/>
      <c r="AM68" s="57" t="n"/>
      <c r="AN68" s="57" t="n"/>
      <c r="AO68" s="57" t="n"/>
      <c r="AP68" s="57" t="n"/>
      <c r="AQ68" s="57" t="n"/>
      <c r="AR68" s="57" t="n"/>
      <c r="AS68" s="57" t="n"/>
      <c r="AT68" s="57" t="n"/>
    </row>
    <row r="69" ht="12.75" customHeight="1" s="267">
      <c r="A69" s="57" t="n"/>
      <c r="B69" s="57" t="n"/>
      <c r="C69" s="57" t="n"/>
      <c r="D69" s="57" t="n"/>
      <c r="E69" s="57" t="n"/>
      <c r="F69" s="57" t="n"/>
      <c r="G69" s="57" t="n"/>
      <c r="H69" s="57" t="n"/>
      <c r="I69" s="57" t="n"/>
      <c r="J69" s="57" t="n"/>
      <c r="K69" s="57" t="n"/>
      <c r="L69" s="57" t="n"/>
      <c r="M69" s="57" t="n"/>
      <c r="N69" s="57" t="n"/>
      <c r="O69" s="57" t="n"/>
      <c r="P69" s="57" t="n"/>
      <c r="Q69" s="57" t="n"/>
      <c r="R69" s="57" t="n"/>
      <c r="S69" s="57" t="n"/>
      <c r="T69" s="57" t="n"/>
      <c r="U69" s="57" t="n"/>
      <c r="V69" s="57" t="n"/>
      <c r="W69" s="57" t="n"/>
      <c r="X69" s="57" t="n"/>
      <c r="Y69" s="57" t="n"/>
      <c r="Z69" s="57" t="n"/>
      <c r="AA69" s="57" t="n"/>
      <c r="AB69" s="57" t="n"/>
      <c r="AC69" s="57" t="n"/>
      <c r="AD69" s="57" t="n"/>
      <c r="AE69" s="57" t="n"/>
      <c r="AF69" s="57" t="n"/>
      <c r="AG69" s="57" t="n"/>
      <c r="AH69" s="57" t="n"/>
      <c r="AI69" s="57" t="n"/>
      <c r="AJ69" s="57" t="n"/>
      <c r="AK69" s="57" t="n"/>
      <c r="AL69" s="57" t="n"/>
      <c r="AM69" s="57" t="n"/>
      <c r="AN69" s="57" t="n"/>
      <c r="AO69" s="57" t="n"/>
      <c r="AP69" s="57" t="n"/>
      <c r="AQ69" s="57" t="n"/>
      <c r="AR69" s="57" t="n"/>
      <c r="AS69" s="57" t="n"/>
      <c r="AT69" s="57" t="n"/>
    </row>
    <row r="70" ht="12.75" customHeight="1" s="267">
      <c r="A70" s="57" t="n"/>
      <c r="B70" s="57" t="n"/>
      <c r="C70" s="57" t="n"/>
      <c r="D70" s="57" t="n"/>
      <c r="E70" s="57" t="n"/>
      <c r="F70" s="57" t="n"/>
      <c r="G70" s="57" t="n"/>
      <c r="H70" s="57" t="n"/>
      <c r="I70" s="57" t="n"/>
      <c r="J70" s="57" t="n"/>
      <c r="K70" s="57" t="n"/>
      <c r="L70" s="57" t="n"/>
      <c r="M70" s="57" t="n"/>
      <c r="N70" s="57" t="n"/>
      <c r="O70" s="57" t="n"/>
      <c r="P70" s="57" t="n"/>
      <c r="Q70" s="57" t="n"/>
      <c r="R70" s="57" t="n"/>
      <c r="S70" s="57" t="n"/>
      <c r="T70" s="57" t="n"/>
      <c r="U70" s="57" t="n"/>
      <c r="V70" s="57" t="n"/>
      <c r="W70" s="57" t="n"/>
      <c r="X70" s="57" t="n"/>
      <c r="Y70" s="57" t="n"/>
      <c r="Z70" s="57" t="n"/>
      <c r="AA70" s="57" t="n"/>
      <c r="AB70" s="57" t="n"/>
      <c r="AC70" s="57" t="n"/>
      <c r="AD70" s="57" t="n"/>
      <c r="AE70" s="57" t="n"/>
      <c r="AF70" s="57" t="n"/>
      <c r="AG70" s="57" t="n"/>
      <c r="AH70" s="57" t="n"/>
      <c r="AI70" s="57" t="n"/>
      <c r="AJ70" s="57" t="n"/>
      <c r="AK70" s="57" t="n"/>
      <c r="AL70" s="57" t="n"/>
      <c r="AM70" s="57" t="n"/>
      <c r="AN70" s="57" t="n"/>
      <c r="AO70" s="57" t="n"/>
      <c r="AP70" s="57" t="n"/>
      <c r="AQ70" s="57" t="n"/>
      <c r="AR70" s="57" t="n"/>
      <c r="AS70" s="57" t="n"/>
      <c r="AT70" s="57" t="n"/>
    </row>
    <row r="71" ht="12.75" customHeight="1" s="267">
      <c r="A71" s="57" t="n"/>
      <c r="B71" s="57" t="n"/>
      <c r="C71" s="57" t="n"/>
      <c r="D71" s="57" t="n"/>
      <c r="E71" s="57" t="n"/>
      <c r="F71" s="57" t="n"/>
      <c r="G71" s="57" t="n"/>
      <c r="H71" s="57" t="n"/>
      <c r="I71" s="57" t="n"/>
      <c r="J71" s="57" t="n"/>
      <c r="K71" s="57" t="n"/>
      <c r="L71" s="57" t="n"/>
      <c r="M71" s="57" t="n"/>
      <c r="N71" s="57" t="n"/>
      <c r="O71" s="57" t="n"/>
      <c r="P71" s="57" t="n"/>
      <c r="Q71" s="57" t="n"/>
      <c r="R71" s="57" t="n"/>
      <c r="S71" s="57" t="n"/>
      <c r="T71" s="57" t="n"/>
      <c r="U71" s="57" t="n"/>
      <c r="V71" s="57" t="n"/>
      <c r="W71" s="57" t="n"/>
      <c r="X71" s="57" t="n"/>
      <c r="Y71" s="57" t="n"/>
      <c r="Z71" s="57" t="n"/>
      <c r="AA71" s="57" t="n"/>
      <c r="AB71" s="57" t="n"/>
      <c r="AC71" s="57" t="n"/>
      <c r="AD71" s="57" t="n"/>
      <c r="AE71" s="57" t="n"/>
      <c r="AF71" s="57" t="n"/>
      <c r="AG71" s="57" t="n"/>
      <c r="AH71" s="57" t="n"/>
      <c r="AI71" s="57" t="n"/>
      <c r="AJ71" s="57" t="n"/>
      <c r="AK71" s="57" t="n"/>
      <c r="AL71" s="57" t="n"/>
      <c r="AM71" s="57" t="n"/>
      <c r="AN71" s="57" t="n"/>
      <c r="AO71" s="57" t="n"/>
      <c r="AP71" s="57" t="n"/>
      <c r="AQ71" s="57" t="n"/>
      <c r="AR71" s="57" t="n"/>
      <c r="AS71" s="57" t="n"/>
      <c r="AT71" s="57" t="n"/>
    </row>
    <row r="72" ht="12.75" customHeight="1" s="267">
      <c r="A72" s="57" t="n"/>
      <c r="B72" s="57" t="n"/>
      <c r="C72" s="57" t="n"/>
      <c r="D72" s="57" t="n"/>
      <c r="E72" s="57" t="n"/>
      <c r="F72" s="57" t="n"/>
      <c r="G72" s="57" t="n"/>
      <c r="H72" s="57" t="n"/>
      <c r="I72" s="57" t="n"/>
      <c r="J72" s="57" t="n"/>
      <c r="K72" s="57" t="n"/>
      <c r="L72" s="57" t="n"/>
      <c r="M72" s="57" t="n"/>
      <c r="N72" s="57" t="n"/>
      <c r="O72" s="57" t="n"/>
      <c r="P72" s="57" t="n"/>
      <c r="Q72" s="57" t="n"/>
      <c r="R72" s="57" t="n"/>
      <c r="S72" s="57" t="n"/>
      <c r="T72" s="57" t="n"/>
      <c r="U72" s="57" t="n"/>
      <c r="V72" s="57" t="n"/>
      <c r="W72" s="57" t="n"/>
      <c r="X72" s="57" t="n"/>
      <c r="Y72" s="57" t="n"/>
      <c r="Z72" s="57" t="n"/>
      <c r="AA72" s="57" t="n"/>
      <c r="AB72" s="57" t="n"/>
      <c r="AC72" s="57" t="n"/>
      <c r="AD72" s="57" t="n"/>
      <c r="AE72" s="57" t="n"/>
      <c r="AF72" s="57" t="n"/>
      <c r="AG72" s="57" t="n"/>
      <c r="AH72" s="57" t="n"/>
      <c r="AI72" s="57" t="n"/>
      <c r="AJ72" s="57" t="n"/>
      <c r="AK72" s="57" t="n"/>
      <c r="AL72" s="57" t="n"/>
      <c r="AM72" s="57" t="n"/>
      <c r="AN72" s="57" t="n"/>
      <c r="AO72" s="57" t="n"/>
      <c r="AP72" s="57" t="n"/>
      <c r="AQ72" s="57" t="n"/>
      <c r="AR72" s="57" t="n"/>
      <c r="AS72" s="57" t="n"/>
      <c r="AT72" s="57" t="n"/>
    </row>
    <row r="73" ht="12.75" customHeight="1" s="267">
      <c r="A73" s="57" t="n"/>
      <c r="B73" s="57" t="n"/>
      <c r="C73" s="57" t="n"/>
      <c r="D73" s="57" t="n"/>
      <c r="E73" s="57" t="n"/>
      <c r="F73" s="57" t="n"/>
      <c r="G73" s="57" t="n"/>
      <c r="H73" s="57" t="n"/>
      <c r="I73" s="57" t="n"/>
      <c r="J73" s="57" t="n"/>
      <c r="K73" s="57" t="n"/>
      <c r="L73" s="57" t="n"/>
      <c r="M73" s="57" t="n"/>
      <c r="N73" s="57" t="n"/>
      <c r="O73" s="57" t="n"/>
      <c r="P73" s="57" t="n"/>
      <c r="Q73" s="57" t="n"/>
      <c r="R73" s="57" t="n"/>
      <c r="S73" s="57" t="n"/>
      <c r="T73" s="57" t="n"/>
      <c r="U73" s="57" t="n"/>
      <c r="V73" s="57" t="n"/>
      <c r="W73" s="57" t="n"/>
      <c r="X73" s="57" t="n"/>
      <c r="Y73" s="57" t="n"/>
      <c r="Z73" s="57" t="n"/>
      <c r="AA73" s="57" t="n"/>
      <c r="AB73" s="57" t="n"/>
      <c r="AC73" s="57" t="n"/>
      <c r="AD73" s="57" t="n"/>
      <c r="AE73" s="57" t="n"/>
      <c r="AF73" s="57" t="n"/>
      <c r="AG73" s="57" t="n"/>
      <c r="AH73" s="57" t="n"/>
      <c r="AI73" s="57" t="n"/>
      <c r="AJ73" s="57" t="n"/>
      <c r="AK73" s="57" t="n"/>
      <c r="AL73" s="57" t="n"/>
      <c r="AM73" s="57" t="n"/>
      <c r="AN73" s="57" t="n"/>
      <c r="AO73" s="57" t="n"/>
      <c r="AP73" s="57" t="n"/>
      <c r="AQ73" s="57" t="n"/>
      <c r="AR73" s="57" t="n"/>
      <c r="AS73" s="57" t="n"/>
      <c r="AT73" s="57" t="n"/>
    </row>
    <row r="74" ht="12.75" customHeight="1" s="267">
      <c r="A74" s="57" t="n"/>
      <c r="B74" s="57" t="n"/>
      <c r="C74" s="57" t="n"/>
      <c r="D74" s="57" t="n"/>
      <c r="E74" s="57" t="n"/>
      <c r="F74" s="57" t="n"/>
      <c r="G74" s="57" t="n"/>
      <c r="H74" s="57" t="n"/>
      <c r="I74" s="57" t="n"/>
      <c r="J74" s="57" t="n"/>
      <c r="K74" s="57" t="n"/>
      <c r="L74" s="57" t="n"/>
      <c r="M74" s="57" t="n"/>
      <c r="N74" s="57" t="n"/>
      <c r="O74" s="57" t="n"/>
      <c r="P74" s="57" t="n"/>
      <c r="Q74" s="57" t="n"/>
      <c r="R74" s="57" t="n"/>
      <c r="S74" s="57" t="n"/>
      <c r="T74" s="57" t="n"/>
      <c r="U74" s="57" t="n"/>
      <c r="V74" s="57" t="n"/>
      <c r="W74" s="57" t="n"/>
      <c r="X74" s="57" t="n"/>
      <c r="Y74" s="57" t="n"/>
      <c r="Z74" s="57" t="n"/>
      <c r="AA74" s="57" t="n"/>
      <c r="AB74" s="57" t="n"/>
      <c r="AC74" s="57" t="n"/>
      <c r="AD74" s="57" t="n"/>
      <c r="AE74" s="57" t="n"/>
      <c r="AF74" s="57" t="n"/>
      <c r="AG74" s="57" t="n"/>
      <c r="AH74" s="57" t="n"/>
      <c r="AI74" s="57" t="n"/>
      <c r="AJ74" s="57" t="n"/>
      <c r="AK74" s="57" t="n"/>
      <c r="AL74" s="57" t="n"/>
      <c r="AM74" s="57" t="n"/>
      <c r="AN74" s="57" t="n"/>
      <c r="AO74" s="57" t="n"/>
      <c r="AP74" s="57" t="n"/>
      <c r="AQ74" s="57" t="n"/>
      <c r="AR74" s="57" t="n"/>
      <c r="AS74" s="57" t="n"/>
      <c r="AT74" s="57" t="n"/>
    </row>
    <row r="75" ht="12.75" customHeight="1" s="267">
      <c r="A75" s="57" t="n"/>
      <c r="B75" s="57" t="n"/>
      <c r="C75" s="57" t="n"/>
      <c r="D75" s="57" t="n"/>
      <c r="E75" s="57" t="n"/>
      <c r="F75" s="57" t="n"/>
      <c r="G75" s="57" t="n"/>
      <c r="H75" s="57" t="n"/>
      <c r="I75" s="57" t="n"/>
      <c r="J75" s="57" t="n"/>
      <c r="K75" s="57" t="n"/>
      <c r="L75" s="57" t="n"/>
      <c r="M75" s="57" t="n"/>
      <c r="N75" s="57" t="n"/>
      <c r="O75" s="57" t="n"/>
      <c r="P75" s="57" t="n"/>
      <c r="Q75" s="57" t="n"/>
      <c r="R75" s="57" t="n"/>
      <c r="S75" s="57" t="n"/>
      <c r="T75" s="57" t="n"/>
      <c r="U75" s="57" t="n"/>
      <c r="V75" s="57" t="n"/>
      <c r="W75" s="57" t="n"/>
      <c r="X75" s="57" t="n"/>
      <c r="Y75" s="57" t="n"/>
      <c r="Z75" s="57" t="n"/>
      <c r="AA75" s="57" t="n"/>
      <c r="AB75" s="57" t="n"/>
      <c r="AC75" s="57" t="n"/>
      <c r="AD75" s="57" t="n"/>
      <c r="AE75" s="57" t="n"/>
      <c r="AF75" s="57" t="n"/>
      <c r="AG75" s="57" t="n"/>
      <c r="AH75" s="57" t="n"/>
      <c r="AI75" s="57" t="n"/>
      <c r="AJ75" s="57" t="n"/>
      <c r="AK75" s="57" t="n"/>
      <c r="AL75" s="57" t="n"/>
      <c r="AM75" s="57" t="n"/>
      <c r="AN75" s="57" t="n"/>
      <c r="AO75" s="57" t="n"/>
      <c r="AP75" s="57" t="n"/>
      <c r="AQ75" s="57" t="n"/>
      <c r="AR75" s="57" t="n"/>
      <c r="AS75" s="57" t="n"/>
      <c r="AT75" s="57" t="n"/>
    </row>
    <row r="76" ht="12.75" customHeight="1" s="267">
      <c r="A76" s="57" t="n"/>
      <c r="B76" s="57" t="n"/>
      <c r="C76" s="57" t="n"/>
      <c r="D76" s="57" t="n"/>
      <c r="E76" s="57" t="n"/>
      <c r="F76" s="57" t="n"/>
      <c r="G76" s="57" t="n"/>
      <c r="H76" s="57" t="n"/>
      <c r="I76" s="57" t="n"/>
      <c r="J76" s="57" t="n"/>
      <c r="K76" s="57" t="n"/>
      <c r="L76" s="57" t="n"/>
      <c r="M76" s="57" t="n"/>
      <c r="N76" s="57" t="n"/>
      <c r="O76" s="57" t="n"/>
      <c r="P76" s="57" t="n"/>
      <c r="Q76" s="57" t="n"/>
      <c r="R76" s="57" t="n"/>
      <c r="S76" s="57" t="n"/>
      <c r="T76" s="57" t="n"/>
      <c r="U76" s="57" t="n"/>
      <c r="V76" s="57" t="n"/>
      <c r="W76" s="57" t="n"/>
      <c r="X76" s="57" t="n"/>
      <c r="Y76" s="57" t="n"/>
      <c r="Z76" s="57" t="n"/>
      <c r="AA76" s="57" t="n"/>
      <c r="AB76" s="57" t="n"/>
      <c r="AC76" s="57" t="n"/>
      <c r="AD76" s="57" t="n"/>
      <c r="AE76" s="57" t="n"/>
      <c r="AF76" s="57" t="n"/>
      <c r="AG76" s="57" t="n"/>
      <c r="AH76" s="57" t="n"/>
      <c r="AI76" s="57" t="n"/>
      <c r="AJ76" s="57" t="n"/>
      <c r="AK76" s="57" t="n"/>
      <c r="AL76" s="57" t="n"/>
      <c r="AM76" s="57" t="n"/>
      <c r="AN76" s="57" t="n"/>
      <c r="AO76" s="57" t="n"/>
      <c r="AP76" s="57" t="n"/>
      <c r="AQ76" s="57" t="n"/>
      <c r="AR76" s="57" t="n"/>
      <c r="AS76" s="57" t="n"/>
      <c r="AT76" s="57" t="n"/>
    </row>
    <row r="77" ht="12.75" customHeight="1" s="267">
      <c r="A77" s="57" t="n"/>
      <c r="B77" s="57" t="n"/>
      <c r="C77" s="57" t="n"/>
      <c r="D77" s="57" t="n"/>
      <c r="E77" s="57" t="n"/>
      <c r="F77" s="57" t="n"/>
      <c r="G77" s="57" t="n"/>
      <c r="H77" s="57" t="n"/>
      <c r="I77" s="57" t="n"/>
      <c r="J77" s="57" t="n"/>
      <c r="K77" s="57" t="n"/>
      <c r="L77" s="57" t="n"/>
      <c r="M77" s="57" t="n"/>
      <c r="N77" s="57" t="n"/>
      <c r="O77" s="57" t="n"/>
      <c r="P77" s="57" t="n"/>
      <c r="Q77" s="57" t="n"/>
      <c r="R77" s="57" t="n"/>
      <c r="S77" s="57" t="n"/>
      <c r="T77" s="57" t="n"/>
      <c r="U77" s="57" t="n"/>
      <c r="V77" s="57" t="n"/>
      <c r="W77" s="57" t="n"/>
      <c r="X77" s="57" t="n"/>
      <c r="Y77" s="57" t="n"/>
      <c r="Z77" s="57" t="n"/>
      <c r="AA77" s="57" t="n"/>
      <c r="AB77" s="57" t="n"/>
      <c r="AC77" s="57" t="n"/>
      <c r="AD77" s="57" t="n"/>
      <c r="AE77" s="57" t="n"/>
      <c r="AF77" s="57" t="n"/>
      <c r="AG77" s="57" t="n"/>
      <c r="AH77" s="57" t="n"/>
      <c r="AI77" s="57" t="n"/>
      <c r="AJ77" s="57" t="n"/>
      <c r="AK77" s="57" t="n"/>
      <c r="AL77" s="57" t="n"/>
      <c r="AM77" s="57" t="n"/>
      <c r="AN77" s="57" t="n"/>
      <c r="AO77" s="57" t="n"/>
      <c r="AP77" s="57" t="n"/>
      <c r="AQ77" s="57" t="n"/>
      <c r="AR77" s="57" t="n"/>
      <c r="AS77" s="57" t="n"/>
      <c r="AT77" s="57" t="n"/>
    </row>
    <row r="78" ht="12.75" customHeight="1" s="267">
      <c r="A78" s="57" t="n"/>
      <c r="B78" s="57" t="n"/>
      <c r="C78" s="57" t="n"/>
      <c r="D78" s="57" t="n"/>
      <c r="E78" s="57" t="n"/>
      <c r="F78" s="57" t="n"/>
      <c r="G78" s="57" t="n"/>
      <c r="H78" s="57" t="n"/>
      <c r="I78" s="57" t="n"/>
      <c r="J78" s="57" t="n"/>
      <c r="K78" s="57" t="n"/>
      <c r="L78" s="57" t="n"/>
      <c r="M78" s="57" t="n"/>
      <c r="N78" s="57" t="n"/>
      <c r="O78" s="57" t="n"/>
      <c r="P78" s="57" t="n"/>
      <c r="Q78" s="57" t="n"/>
      <c r="R78" s="57" t="n"/>
      <c r="S78" s="57" t="n"/>
      <c r="T78" s="57" t="n"/>
      <c r="U78" s="57" t="n"/>
      <c r="V78" s="57" t="n"/>
      <c r="W78" s="57" t="n"/>
      <c r="X78" s="57" t="n"/>
      <c r="Y78" s="57" t="n"/>
      <c r="Z78" s="57" t="n"/>
      <c r="AA78" s="57" t="n"/>
      <c r="AB78" s="57" t="n"/>
      <c r="AC78" s="57" t="n"/>
      <c r="AD78" s="57" t="n"/>
      <c r="AE78" s="57" t="n"/>
      <c r="AF78" s="57" t="n"/>
      <c r="AG78" s="57" t="n"/>
      <c r="AH78" s="57" t="n"/>
      <c r="AI78" s="57" t="n"/>
      <c r="AJ78" s="57" t="n"/>
      <c r="AK78" s="57" t="n"/>
      <c r="AL78" s="57" t="n"/>
      <c r="AM78" s="57" t="n"/>
      <c r="AN78" s="57" t="n"/>
      <c r="AO78" s="57" t="n"/>
      <c r="AP78" s="57" t="n"/>
      <c r="AQ78" s="57" t="n"/>
      <c r="AR78" s="57" t="n"/>
      <c r="AS78" s="57" t="n"/>
      <c r="AT78" s="57" t="n"/>
    </row>
    <row r="79" ht="12.75" customHeight="1" s="267">
      <c r="A79" s="57" t="n"/>
      <c r="B79" s="57" t="n"/>
      <c r="C79" s="57" t="n"/>
      <c r="D79" s="57" t="n"/>
      <c r="E79" s="57" t="n"/>
      <c r="F79" s="57" t="n"/>
      <c r="G79" s="57" t="n"/>
      <c r="H79" s="57" t="n"/>
      <c r="I79" s="57" t="n"/>
      <c r="J79" s="57" t="n"/>
      <c r="K79" s="57" t="n"/>
      <c r="L79" s="57" t="n"/>
      <c r="M79" s="57" t="n"/>
      <c r="N79" s="57" t="n"/>
      <c r="O79" s="57" t="n"/>
      <c r="P79" s="57" t="n"/>
      <c r="Q79" s="57" t="n"/>
      <c r="R79" s="57" t="n"/>
      <c r="S79" s="57" t="n"/>
      <c r="T79" s="57" t="n"/>
      <c r="U79" s="57" t="n"/>
      <c r="V79" s="57" t="n"/>
      <c r="W79" s="57" t="n"/>
      <c r="X79" s="57" t="n"/>
      <c r="Y79" s="57" t="n"/>
      <c r="Z79" s="57" t="n"/>
      <c r="AA79" s="57" t="n"/>
      <c r="AB79" s="57" t="n"/>
      <c r="AC79" s="57" t="n"/>
      <c r="AD79" s="57" t="n"/>
      <c r="AE79" s="57" t="n"/>
      <c r="AF79" s="57" t="n"/>
      <c r="AG79" s="57" t="n"/>
      <c r="AH79" s="57" t="n"/>
      <c r="AI79" s="57" t="n"/>
      <c r="AJ79" s="57" t="n"/>
      <c r="AK79" s="57" t="n"/>
      <c r="AL79" s="57" t="n"/>
      <c r="AM79" s="57" t="n"/>
      <c r="AN79" s="57" t="n"/>
      <c r="AO79" s="57" t="n"/>
      <c r="AP79" s="57" t="n"/>
      <c r="AQ79" s="57" t="n"/>
      <c r="AR79" s="57" t="n"/>
      <c r="AS79" s="57" t="n"/>
      <c r="AT79" s="57" t="n"/>
    </row>
    <row r="80" ht="12.75" customHeight="1" s="267">
      <c r="A80" s="57" t="n"/>
      <c r="B80" s="57" t="n"/>
      <c r="C80" s="57" t="n"/>
      <c r="D80" s="57" t="n"/>
      <c r="E80" s="57" t="n"/>
      <c r="F80" s="57" t="n"/>
      <c r="G80" s="57" t="n"/>
      <c r="H80" s="57" t="n"/>
      <c r="I80" s="57" t="n"/>
      <c r="J80" s="57" t="n"/>
      <c r="K80" s="57" t="n"/>
      <c r="L80" s="57" t="n"/>
      <c r="M80" s="57" t="n"/>
      <c r="N80" s="57" t="n"/>
      <c r="O80" s="57" t="n"/>
      <c r="P80" s="57" t="n"/>
      <c r="Q80" s="57" t="n"/>
      <c r="R80" s="57" t="n"/>
      <c r="S80" s="57" t="n"/>
      <c r="T80" s="57" t="n"/>
      <c r="U80" s="57" t="n"/>
      <c r="V80" s="57" t="n"/>
      <c r="W80" s="57" t="n"/>
      <c r="X80" s="57" t="n"/>
      <c r="Y80" s="57" t="n"/>
      <c r="Z80" s="57" t="n"/>
      <c r="AA80" s="57" t="n"/>
      <c r="AB80" s="57" t="n"/>
      <c r="AC80" s="57" t="n"/>
      <c r="AD80" s="57" t="n"/>
      <c r="AE80" s="57" t="n"/>
      <c r="AF80" s="57" t="n"/>
      <c r="AG80" s="57" t="n"/>
      <c r="AH80" s="57" t="n"/>
      <c r="AI80" s="57" t="n"/>
      <c r="AJ80" s="57" t="n"/>
      <c r="AK80" s="57" t="n"/>
      <c r="AL80" s="57" t="n"/>
      <c r="AM80" s="57" t="n"/>
      <c r="AN80" s="57" t="n"/>
      <c r="AO80" s="57" t="n"/>
      <c r="AP80" s="57" t="n"/>
      <c r="AQ80" s="57" t="n"/>
      <c r="AR80" s="57" t="n"/>
      <c r="AS80" s="57" t="n"/>
      <c r="AT80" s="57" t="n"/>
    </row>
    <row r="81" ht="12.75" customHeight="1" s="267">
      <c r="A81" s="57" t="n"/>
      <c r="B81" s="57" t="n"/>
      <c r="C81" s="57" t="n"/>
      <c r="D81" s="57" t="n"/>
      <c r="E81" s="57" t="n"/>
      <c r="F81" s="57" t="n"/>
      <c r="G81" s="57" t="n"/>
      <c r="H81" s="57" t="n"/>
      <c r="I81" s="57" t="n"/>
      <c r="J81" s="57" t="n"/>
      <c r="K81" s="57" t="n"/>
      <c r="L81" s="57" t="n"/>
      <c r="M81" s="57" t="n"/>
      <c r="N81" s="57" t="n"/>
      <c r="O81" s="57" t="n"/>
      <c r="P81" s="57" t="n"/>
      <c r="Q81" s="57" t="n"/>
      <c r="R81" s="57" t="n"/>
      <c r="S81" s="57" t="n"/>
      <c r="T81" s="57" t="n"/>
      <c r="U81" s="57" t="n"/>
      <c r="V81" s="57" t="n"/>
      <c r="W81" s="57" t="n"/>
      <c r="X81" s="57" t="n"/>
      <c r="Y81" s="57" t="n"/>
      <c r="Z81" s="57" t="n"/>
      <c r="AA81" s="57" t="n"/>
      <c r="AB81" s="57" t="n"/>
      <c r="AC81" s="57" t="n"/>
      <c r="AD81" s="57" t="n"/>
      <c r="AE81" s="57" t="n"/>
      <c r="AF81" s="57" t="n"/>
      <c r="AG81" s="57" t="n"/>
      <c r="AH81" s="57" t="n"/>
      <c r="AI81" s="57" t="n"/>
      <c r="AJ81" s="57" t="n"/>
      <c r="AK81" s="57" t="n"/>
      <c r="AL81" s="57" t="n"/>
      <c r="AM81" s="57" t="n"/>
      <c r="AN81" s="57" t="n"/>
      <c r="AO81" s="57" t="n"/>
      <c r="AP81" s="57" t="n"/>
      <c r="AQ81" s="57" t="n"/>
      <c r="AR81" s="57" t="n"/>
      <c r="AS81" s="57" t="n"/>
      <c r="AT81" s="57" t="n"/>
    </row>
    <row r="82" ht="12.75" customHeight="1" s="267">
      <c r="A82" s="57" t="n"/>
      <c r="B82" s="57" t="n"/>
      <c r="C82" s="57" t="n"/>
      <c r="D82" s="57" t="n"/>
      <c r="E82" s="57" t="n"/>
      <c r="F82" s="57" t="n"/>
      <c r="G82" s="57" t="n"/>
      <c r="H82" s="57" t="n"/>
      <c r="I82" s="57" t="n"/>
      <c r="J82" s="57" t="n"/>
      <c r="K82" s="57" t="n"/>
      <c r="L82" s="57" t="n"/>
      <c r="M82" s="57" t="n"/>
      <c r="N82" s="57" t="n"/>
      <c r="O82" s="57" t="n"/>
      <c r="P82" s="57" t="n"/>
      <c r="Q82" s="57" t="n"/>
      <c r="R82" s="57" t="n"/>
      <c r="S82" s="57" t="n"/>
      <c r="T82" s="57" t="n"/>
      <c r="U82" s="57" t="n"/>
      <c r="V82" s="57" t="n"/>
      <c r="W82" s="57" t="n"/>
      <c r="X82" s="57" t="n"/>
      <c r="Y82" s="57" t="n"/>
      <c r="Z82" s="57" t="n"/>
      <c r="AA82" s="57" t="n"/>
      <c r="AB82" s="57" t="n"/>
      <c r="AC82" s="57" t="n"/>
      <c r="AD82" s="57" t="n"/>
      <c r="AE82" s="57" t="n"/>
      <c r="AF82" s="57" t="n"/>
      <c r="AG82" s="57" t="n"/>
      <c r="AH82" s="57" t="n"/>
      <c r="AI82" s="57" t="n"/>
      <c r="AJ82" s="57" t="n"/>
      <c r="AK82" s="57" t="n"/>
      <c r="AL82" s="57" t="n"/>
      <c r="AM82" s="57" t="n"/>
      <c r="AN82" s="57" t="n"/>
      <c r="AO82" s="57" t="n"/>
      <c r="AP82" s="57" t="n"/>
      <c r="AQ82" s="57" t="n"/>
      <c r="AR82" s="57" t="n"/>
      <c r="AS82" s="57" t="n"/>
      <c r="AT82" s="57" t="n"/>
    </row>
    <row r="83" ht="12.75" customHeight="1" s="267">
      <c r="A83" s="57" t="n"/>
      <c r="B83" s="57" t="n"/>
      <c r="C83" s="57" t="n"/>
      <c r="D83" s="57" t="n"/>
      <c r="E83" s="57" t="n"/>
      <c r="F83" s="57" t="n"/>
      <c r="G83" s="57" t="n"/>
      <c r="H83" s="57" t="n"/>
      <c r="I83" s="57" t="n"/>
      <c r="J83" s="57" t="n"/>
      <c r="K83" s="57" t="n"/>
      <c r="L83" s="57" t="n"/>
      <c r="M83" s="57" t="n"/>
      <c r="N83" s="57" t="n"/>
      <c r="O83" s="57" t="n"/>
      <c r="P83" s="57" t="n"/>
      <c r="Q83" s="57" t="n"/>
      <c r="R83" s="57" t="n"/>
      <c r="S83" s="57" t="n"/>
      <c r="T83" s="57" t="n"/>
      <c r="U83" s="57" t="n"/>
      <c r="V83" s="57" t="n"/>
      <c r="W83" s="57" t="n"/>
      <c r="X83" s="57" t="n"/>
      <c r="Y83" s="57" t="n"/>
      <c r="Z83" s="57" t="n"/>
      <c r="AA83" s="57" t="n"/>
      <c r="AB83" s="57" t="n"/>
      <c r="AC83" s="57" t="n"/>
      <c r="AD83" s="57" t="n"/>
      <c r="AE83" s="57" t="n"/>
      <c r="AF83" s="57" t="n"/>
      <c r="AG83" s="57" t="n"/>
      <c r="AH83" s="57" t="n"/>
      <c r="AI83" s="57" t="n"/>
      <c r="AJ83" s="57" t="n"/>
      <c r="AK83" s="57" t="n"/>
      <c r="AL83" s="57" t="n"/>
      <c r="AM83" s="57" t="n"/>
      <c r="AN83" s="57" t="n"/>
      <c r="AO83" s="57" t="n"/>
      <c r="AP83" s="57" t="n"/>
      <c r="AQ83" s="57" t="n"/>
      <c r="AR83" s="57" t="n"/>
      <c r="AS83" s="57" t="n"/>
      <c r="AT83" s="57" t="n"/>
    </row>
    <row r="84" ht="12.75" customHeight="1" s="267">
      <c r="A84" s="57" t="n"/>
      <c r="B84" s="57" t="n"/>
      <c r="C84" s="57" t="n"/>
      <c r="D84" s="57" t="n"/>
      <c r="E84" s="57" t="n"/>
      <c r="F84" s="57" t="n"/>
      <c r="G84" s="57" t="n"/>
      <c r="H84" s="57" t="n"/>
      <c r="I84" s="57" t="n"/>
      <c r="J84" s="57" t="n"/>
      <c r="K84" s="57" t="n"/>
      <c r="L84" s="57" t="n"/>
      <c r="M84" s="57" t="n"/>
      <c r="N84" s="57" t="n"/>
      <c r="O84" s="57" t="n"/>
      <c r="P84" s="57" t="n"/>
      <c r="Q84" s="57" t="n"/>
      <c r="R84" s="57" t="n"/>
      <c r="S84" s="57" t="n"/>
      <c r="T84" s="57" t="n"/>
      <c r="U84" s="57" t="n"/>
      <c r="V84" s="57" t="n"/>
      <c r="W84" s="57" t="n"/>
      <c r="X84" s="57" t="n"/>
      <c r="Y84" s="57" t="n"/>
      <c r="Z84" s="57" t="n"/>
      <c r="AA84" s="57" t="n"/>
      <c r="AB84" s="57" t="n"/>
      <c r="AC84" s="57" t="n"/>
      <c r="AD84" s="57" t="n"/>
      <c r="AE84" s="57" t="n"/>
      <c r="AF84" s="57" t="n"/>
      <c r="AG84" s="57" t="n"/>
      <c r="AH84" s="57" t="n"/>
      <c r="AI84" s="57" t="n"/>
      <c r="AJ84" s="57" t="n"/>
      <c r="AK84" s="57" t="n"/>
      <c r="AL84" s="57" t="n"/>
      <c r="AM84" s="57" t="n"/>
      <c r="AN84" s="57" t="n"/>
      <c r="AO84" s="57" t="n"/>
      <c r="AP84" s="57" t="n"/>
      <c r="AQ84" s="57" t="n"/>
      <c r="AR84" s="57" t="n"/>
      <c r="AS84" s="57" t="n"/>
      <c r="AT84" s="57" t="n"/>
    </row>
    <row r="85" ht="12.75" customHeight="1" s="267">
      <c r="A85" s="57" t="n"/>
      <c r="B85" s="57" t="n"/>
      <c r="C85" s="57" t="n"/>
      <c r="D85" s="57" t="n"/>
      <c r="E85" s="57" t="n"/>
      <c r="F85" s="57" t="n"/>
      <c r="G85" s="57" t="n"/>
      <c r="H85" s="57" t="n"/>
      <c r="I85" s="57" t="n"/>
      <c r="J85" s="57" t="n"/>
      <c r="K85" s="57" t="n"/>
      <c r="L85" s="57" t="n"/>
      <c r="M85" s="57" t="n"/>
      <c r="N85" s="57" t="n"/>
      <c r="O85" s="57" t="n"/>
      <c r="P85" s="57" t="n"/>
      <c r="Q85" s="57" t="n"/>
      <c r="R85" s="57" t="n"/>
      <c r="S85" s="57" t="n"/>
      <c r="T85" s="57" t="n"/>
      <c r="U85" s="57" t="n"/>
      <c r="V85" s="57" t="n"/>
      <c r="W85" s="57" t="n"/>
      <c r="X85" s="57" t="n"/>
      <c r="Y85" s="57" t="n"/>
      <c r="Z85" s="57" t="n"/>
      <c r="AA85" s="57" t="n"/>
      <c r="AB85" s="57" t="n"/>
      <c r="AC85" s="57" t="n"/>
      <c r="AD85" s="57" t="n"/>
      <c r="AE85" s="57" t="n"/>
      <c r="AF85" s="57" t="n"/>
      <c r="AG85" s="57" t="n"/>
      <c r="AH85" s="57" t="n"/>
      <c r="AI85" s="57" t="n"/>
      <c r="AJ85" s="57" t="n"/>
      <c r="AK85" s="57" t="n"/>
      <c r="AL85" s="57" t="n"/>
      <c r="AM85" s="57" t="n"/>
      <c r="AN85" s="57" t="n"/>
      <c r="AO85" s="57" t="n"/>
      <c r="AP85" s="57" t="n"/>
      <c r="AQ85" s="57" t="n"/>
      <c r="AR85" s="57" t="n"/>
      <c r="AS85" s="57" t="n"/>
      <c r="AT85" s="57" t="n"/>
    </row>
    <row r="86" ht="12.75" customHeight="1" s="267">
      <c r="A86" s="57" t="n"/>
      <c r="B86" s="57" t="n"/>
      <c r="C86" s="57" t="n"/>
      <c r="D86" s="57" t="n"/>
      <c r="E86" s="57" t="n"/>
      <c r="F86" s="57" t="n"/>
      <c r="G86" s="57" t="n"/>
      <c r="H86" s="57" t="n"/>
      <c r="I86" s="57" t="n"/>
      <c r="J86" s="57" t="n"/>
      <c r="K86" s="57" t="n"/>
      <c r="L86" s="57" t="n"/>
      <c r="M86" s="57" t="n"/>
      <c r="N86" s="57" t="n"/>
      <c r="O86" s="57" t="n"/>
      <c r="P86" s="57" t="n"/>
      <c r="Q86" s="57" t="n"/>
      <c r="R86" s="57" t="n"/>
      <c r="S86" s="57" t="n"/>
      <c r="T86" s="57" t="n"/>
      <c r="U86" s="57" t="n"/>
      <c r="V86" s="57" t="n"/>
      <c r="W86" s="57" t="n"/>
      <c r="X86" s="57" t="n"/>
      <c r="Y86" s="57" t="n"/>
      <c r="Z86" s="57" t="n"/>
      <c r="AA86" s="57" t="n"/>
      <c r="AB86" s="57" t="n"/>
      <c r="AC86" s="57" t="n"/>
      <c r="AD86" s="57" t="n"/>
      <c r="AE86" s="57" t="n"/>
      <c r="AF86" s="57" t="n"/>
      <c r="AG86" s="57" t="n"/>
      <c r="AH86" s="57" t="n"/>
      <c r="AI86" s="57" t="n"/>
      <c r="AJ86" s="57" t="n"/>
      <c r="AK86" s="57" t="n"/>
      <c r="AL86" s="57" t="n"/>
      <c r="AM86" s="57" t="n"/>
      <c r="AN86" s="57" t="n"/>
      <c r="AO86" s="57" t="n"/>
      <c r="AP86" s="57" t="n"/>
      <c r="AQ86" s="57" t="n"/>
      <c r="AR86" s="57" t="n"/>
      <c r="AS86" s="57" t="n"/>
      <c r="AT86" s="57" t="n"/>
    </row>
    <row r="87" ht="12.75" customHeight="1" s="267">
      <c r="A87" s="57" t="n"/>
      <c r="B87" s="57" t="n"/>
      <c r="C87" s="57" t="n"/>
      <c r="D87" s="57" t="n"/>
      <c r="E87" s="57" t="n"/>
      <c r="F87" s="57" t="n"/>
      <c r="G87" s="57" t="n"/>
      <c r="H87" s="57" t="n"/>
      <c r="I87" s="57" t="n"/>
      <c r="J87" s="57" t="n"/>
      <c r="K87" s="57" t="n"/>
      <c r="L87" s="57" t="n"/>
      <c r="M87" s="57" t="n"/>
      <c r="N87" s="57" t="n"/>
      <c r="O87" s="57" t="n"/>
      <c r="P87" s="57" t="n"/>
      <c r="Q87" s="57" t="n"/>
      <c r="R87" s="57" t="n"/>
      <c r="S87" s="57" t="n"/>
      <c r="T87" s="57" t="n"/>
      <c r="U87" s="57" t="n"/>
      <c r="V87" s="57" t="n"/>
      <c r="W87" s="57" t="n"/>
      <c r="X87" s="57" t="n"/>
      <c r="Y87" s="57" t="n"/>
      <c r="Z87" s="57" t="n"/>
      <c r="AA87" s="57" t="n"/>
      <c r="AB87" s="57" t="n"/>
      <c r="AC87" s="57" t="n"/>
      <c r="AD87" s="57" t="n"/>
      <c r="AE87" s="57" t="n"/>
      <c r="AF87" s="57" t="n"/>
      <c r="AG87" s="57" t="n"/>
      <c r="AH87" s="57" t="n"/>
      <c r="AI87" s="57" t="n"/>
      <c r="AJ87" s="57" t="n"/>
      <c r="AK87" s="57" t="n"/>
      <c r="AL87" s="57" t="n"/>
      <c r="AM87" s="57" t="n"/>
      <c r="AN87" s="57" t="n"/>
      <c r="AO87" s="57" t="n"/>
      <c r="AP87" s="57" t="n"/>
      <c r="AQ87" s="57" t="n"/>
      <c r="AR87" s="57" t="n"/>
      <c r="AS87" s="57" t="n"/>
      <c r="AT87" s="57" t="n"/>
    </row>
    <row r="88" ht="12.75" customHeight="1" s="267">
      <c r="A88" s="57" t="n"/>
      <c r="B88" s="57" t="n"/>
      <c r="C88" s="57" t="n"/>
      <c r="D88" s="57" t="n"/>
      <c r="E88" s="57" t="n"/>
      <c r="F88" s="57" t="n"/>
      <c r="G88" s="57" t="n"/>
      <c r="H88" s="57" t="n"/>
      <c r="I88" s="57" t="n"/>
      <c r="J88" s="57" t="n"/>
      <c r="K88" s="57" t="n"/>
      <c r="L88" s="57" t="n"/>
      <c r="M88" s="57" t="n"/>
      <c r="N88" s="57" t="n"/>
      <c r="O88" s="57" t="n"/>
      <c r="P88" s="57" t="n"/>
      <c r="Q88" s="57" t="n"/>
      <c r="R88" s="57" t="n"/>
      <c r="S88" s="57" t="n"/>
      <c r="T88" s="57" t="n"/>
      <c r="U88" s="57" t="n"/>
      <c r="V88" s="57" t="n"/>
      <c r="W88" s="57" t="n"/>
      <c r="X88" s="57" t="n"/>
      <c r="Y88" s="57" t="n"/>
      <c r="Z88" s="57" t="n"/>
      <c r="AA88" s="57" t="n"/>
      <c r="AB88" s="57" t="n"/>
      <c r="AC88" s="57" t="n"/>
      <c r="AD88" s="57" t="n"/>
      <c r="AE88" s="57" t="n"/>
      <c r="AF88" s="57" t="n"/>
      <c r="AG88" s="57" t="n"/>
      <c r="AH88" s="57" t="n"/>
      <c r="AI88" s="57" t="n"/>
      <c r="AJ88" s="57" t="n"/>
      <c r="AK88" s="57" t="n"/>
      <c r="AL88" s="57" t="n"/>
      <c r="AM88" s="57" t="n"/>
      <c r="AN88" s="57" t="n"/>
      <c r="AO88" s="57" t="n"/>
      <c r="AP88" s="57" t="n"/>
      <c r="AQ88" s="57" t="n"/>
      <c r="AR88" s="57" t="n"/>
      <c r="AS88" s="57" t="n"/>
      <c r="AT88" s="57" t="n"/>
    </row>
    <row r="89" ht="12.75" customHeight="1" s="267">
      <c r="A89" s="57" t="n"/>
      <c r="B89" s="57" t="n"/>
      <c r="C89" s="57" t="n"/>
      <c r="D89" s="57" t="n"/>
      <c r="E89" s="57" t="n"/>
      <c r="F89" s="57" t="n"/>
      <c r="G89" s="57" t="n"/>
      <c r="H89" s="57" t="n"/>
      <c r="I89" s="57" t="n"/>
      <c r="J89" s="57" t="n"/>
      <c r="K89" s="57" t="n"/>
      <c r="L89" s="57" t="n"/>
      <c r="M89" s="57" t="n"/>
      <c r="N89" s="57" t="n"/>
      <c r="O89" s="57" t="n"/>
      <c r="P89" s="57" t="n"/>
      <c r="Q89" s="57" t="n"/>
      <c r="R89" s="57" t="n"/>
      <c r="S89" s="57" t="n"/>
      <c r="T89" s="57" t="n"/>
      <c r="U89" s="57" t="n"/>
      <c r="V89" s="57" t="n"/>
      <c r="W89" s="57" t="n"/>
      <c r="X89" s="57" t="n"/>
      <c r="Y89" s="57" t="n"/>
      <c r="Z89" s="57" t="n"/>
      <c r="AA89" s="57" t="n"/>
      <c r="AB89" s="57" t="n"/>
      <c r="AC89" s="57" t="n"/>
      <c r="AD89" s="57" t="n"/>
      <c r="AE89" s="57" t="n"/>
      <c r="AF89" s="57" t="n"/>
      <c r="AG89" s="57" t="n"/>
      <c r="AH89" s="57" t="n"/>
      <c r="AI89" s="57" t="n"/>
      <c r="AJ89" s="57" t="n"/>
      <c r="AK89" s="57" t="n"/>
      <c r="AL89" s="57" t="n"/>
      <c r="AM89" s="57" t="n"/>
      <c r="AN89" s="57" t="n"/>
      <c r="AO89" s="57" t="n"/>
      <c r="AP89" s="57" t="n"/>
      <c r="AQ89" s="57" t="n"/>
      <c r="AR89" s="57" t="n"/>
      <c r="AS89" s="57" t="n"/>
      <c r="AT89" s="57" t="n"/>
    </row>
    <row r="90" ht="12.75" customHeight="1" s="267">
      <c r="A90" s="57" t="n"/>
      <c r="B90" s="57" t="n"/>
      <c r="C90" s="57" t="n"/>
      <c r="D90" s="57" t="n"/>
      <c r="E90" s="57" t="n"/>
      <c r="F90" s="57" t="n"/>
      <c r="G90" s="57" t="n"/>
      <c r="H90" s="57" t="n"/>
      <c r="I90" s="57" t="n"/>
      <c r="J90" s="57" t="n"/>
      <c r="K90" s="57" t="n"/>
      <c r="L90" s="57" t="n"/>
      <c r="M90" s="57" t="n"/>
      <c r="N90" s="57" t="n"/>
      <c r="O90" s="57" t="n"/>
      <c r="P90" s="57" t="n"/>
      <c r="Q90" s="57" t="n"/>
      <c r="R90" s="57" t="n"/>
      <c r="S90" s="57" t="n"/>
      <c r="T90" s="57" t="n"/>
      <c r="U90" s="57" t="n"/>
      <c r="V90" s="57" t="n"/>
      <c r="W90" s="57" t="n"/>
      <c r="X90" s="57" t="n"/>
      <c r="Y90" s="57" t="n"/>
      <c r="Z90" s="57" t="n"/>
      <c r="AA90" s="57" t="n"/>
      <c r="AB90" s="57" t="n"/>
      <c r="AC90" s="57" t="n"/>
      <c r="AD90" s="57" t="n"/>
      <c r="AE90" s="57" t="n"/>
      <c r="AF90" s="57" t="n"/>
      <c r="AG90" s="57" t="n"/>
      <c r="AH90" s="57" t="n"/>
      <c r="AI90" s="57" t="n"/>
      <c r="AJ90" s="57" t="n"/>
      <c r="AK90" s="57" t="n"/>
      <c r="AL90" s="57" t="n"/>
      <c r="AM90" s="57" t="n"/>
      <c r="AN90" s="57" t="n"/>
      <c r="AO90" s="57" t="n"/>
      <c r="AP90" s="57" t="n"/>
      <c r="AQ90" s="57" t="n"/>
      <c r="AR90" s="57" t="n"/>
      <c r="AS90" s="57" t="n"/>
      <c r="AT90" s="57" t="n"/>
    </row>
    <row r="91" ht="12.75" customHeight="1" s="267">
      <c r="A91" s="57" t="n"/>
      <c r="B91" s="57" t="n"/>
      <c r="C91" s="57" t="n"/>
      <c r="D91" s="57" t="n"/>
      <c r="E91" s="57" t="n"/>
      <c r="F91" s="57" t="n"/>
      <c r="G91" s="57" t="n"/>
      <c r="H91" s="57" t="n"/>
      <c r="I91" s="57" t="n"/>
      <c r="J91" s="57" t="n"/>
      <c r="K91" s="57" t="n"/>
      <c r="L91" s="57" t="n"/>
      <c r="M91" s="57" t="n"/>
      <c r="N91" s="57" t="n"/>
      <c r="O91" s="57" t="n"/>
      <c r="P91" s="57" t="n"/>
      <c r="Q91" s="57" t="n"/>
      <c r="R91" s="57" t="n"/>
      <c r="S91" s="57" t="n"/>
      <c r="T91" s="57" t="n"/>
      <c r="U91" s="57" t="n"/>
      <c r="V91" s="57" t="n"/>
      <c r="W91" s="57" t="n"/>
      <c r="X91" s="57" t="n"/>
      <c r="Y91" s="57" t="n"/>
      <c r="Z91" s="57" t="n"/>
      <c r="AA91" s="57" t="n"/>
      <c r="AB91" s="57" t="n"/>
      <c r="AC91" s="57" t="n"/>
      <c r="AD91" s="57" t="n"/>
      <c r="AE91" s="57" t="n"/>
      <c r="AF91" s="57" t="n"/>
      <c r="AG91" s="57" t="n"/>
      <c r="AH91" s="57" t="n"/>
      <c r="AI91" s="57" t="n"/>
      <c r="AJ91" s="57" t="n"/>
      <c r="AK91" s="57" t="n"/>
      <c r="AL91" s="57" t="n"/>
      <c r="AM91" s="57" t="n"/>
      <c r="AN91" s="57" t="n"/>
      <c r="AO91" s="57" t="n"/>
      <c r="AP91" s="57" t="n"/>
      <c r="AQ91" s="57" t="n"/>
      <c r="AR91" s="57" t="n"/>
      <c r="AS91" s="57" t="n"/>
      <c r="AT91" s="57" t="n"/>
    </row>
    <row r="92" ht="12.75" customHeight="1" s="267">
      <c r="A92" s="57" t="n"/>
      <c r="B92" s="57" t="n"/>
      <c r="C92" s="57" t="n"/>
      <c r="D92" s="57" t="n"/>
      <c r="E92" s="57" t="n"/>
      <c r="F92" s="57" t="n"/>
      <c r="G92" s="57" t="n"/>
      <c r="H92" s="57" t="n"/>
      <c r="I92" s="57" t="n"/>
      <c r="J92" s="57" t="n"/>
      <c r="K92" s="57" t="n"/>
      <c r="L92" s="57" t="n"/>
      <c r="M92" s="57" t="n"/>
      <c r="N92" s="57" t="n"/>
      <c r="O92" s="57" t="n"/>
      <c r="P92" s="57" t="n"/>
      <c r="Q92" s="57" t="n"/>
      <c r="R92" s="57" t="n"/>
      <c r="S92" s="57" t="n"/>
      <c r="T92" s="57" t="n"/>
      <c r="U92" s="57" t="n"/>
      <c r="V92" s="57" t="n"/>
      <c r="W92" s="57" t="n"/>
      <c r="X92" s="57" t="n"/>
      <c r="Y92" s="57" t="n"/>
      <c r="Z92" s="57" t="n"/>
      <c r="AA92" s="57" t="n"/>
      <c r="AB92" s="57" t="n"/>
      <c r="AC92" s="57" t="n"/>
      <c r="AD92" s="57" t="n"/>
      <c r="AE92" s="57" t="n"/>
      <c r="AF92" s="57" t="n"/>
      <c r="AG92" s="57" t="n"/>
      <c r="AH92" s="57" t="n"/>
      <c r="AI92" s="57" t="n"/>
      <c r="AJ92" s="57" t="n"/>
      <c r="AK92" s="57" t="n"/>
      <c r="AL92" s="57" t="n"/>
      <c r="AM92" s="57" t="n"/>
      <c r="AN92" s="57" t="n"/>
      <c r="AO92" s="57" t="n"/>
      <c r="AP92" s="57" t="n"/>
      <c r="AQ92" s="57" t="n"/>
      <c r="AR92" s="57" t="n"/>
      <c r="AS92" s="57" t="n"/>
      <c r="AT92" s="57" t="n"/>
    </row>
    <row r="93" ht="12.75" customHeight="1" s="267">
      <c r="A93" s="57" t="n"/>
      <c r="B93" s="57" t="n"/>
      <c r="C93" s="57" t="n"/>
      <c r="D93" s="57" t="n"/>
      <c r="E93" s="57" t="n"/>
      <c r="F93" s="57" t="n"/>
      <c r="G93" s="57" t="n"/>
      <c r="H93" s="57" t="n"/>
      <c r="I93" s="57" t="n"/>
      <c r="J93" s="57" t="n"/>
      <c r="K93" s="57" t="n"/>
      <c r="L93" s="57" t="n"/>
      <c r="M93" s="57" t="n"/>
      <c r="N93" s="57" t="n"/>
      <c r="O93" s="57" t="n"/>
      <c r="P93" s="57" t="n"/>
      <c r="Q93" s="57" t="n"/>
      <c r="R93" s="57" t="n"/>
      <c r="S93" s="57" t="n"/>
      <c r="T93" s="57" t="n"/>
      <c r="U93" s="57" t="n"/>
      <c r="V93" s="57" t="n"/>
      <c r="W93" s="57" t="n"/>
      <c r="X93" s="57" t="n"/>
      <c r="Y93" s="57" t="n"/>
      <c r="Z93" s="57" t="n"/>
      <c r="AA93" s="57" t="n"/>
      <c r="AB93" s="57" t="n"/>
      <c r="AC93" s="57" t="n"/>
      <c r="AD93" s="57" t="n"/>
      <c r="AE93" s="57" t="n"/>
      <c r="AF93" s="57" t="n"/>
      <c r="AG93" s="57" t="n"/>
      <c r="AH93" s="57" t="n"/>
      <c r="AI93" s="57" t="n"/>
      <c r="AJ93" s="57" t="n"/>
      <c r="AK93" s="57" t="n"/>
      <c r="AL93" s="57" t="n"/>
      <c r="AM93" s="57" t="n"/>
      <c r="AN93" s="57" t="n"/>
      <c r="AO93" s="57" t="n"/>
      <c r="AP93" s="57" t="n"/>
      <c r="AQ93" s="57" t="n"/>
      <c r="AR93" s="57" t="n"/>
      <c r="AS93" s="57" t="n"/>
      <c r="AT93" s="57" t="n"/>
    </row>
    <row r="94" ht="12.75" customHeight="1" s="267">
      <c r="A94" s="57" t="n"/>
      <c r="B94" s="57" t="n"/>
      <c r="C94" s="57" t="n"/>
      <c r="D94" s="57" t="n"/>
      <c r="E94" s="57" t="n"/>
      <c r="F94" s="57" t="n"/>
      <c r="G94" s="57" t="n"/>
      <c r="H94" s="57" t="n"/>
      <c r="I94" s="57" t="n"/>
      <c r="J94" s="57" t="n"/>
      <c r="K94" s="57" t="n"/>
      <c r="L94" s="57" t="n"/>
      <c r="M94" s="57" t="n"/>
      <c r="N94" s="57" t="n"/>
      <c r="O94" s="57" t="n"/>
      <c r="P94" s="57" t="n"/>
      <c r="Q94" s="57" t="n"/>
      <c r="R94" s="57" t="n"/>
      <c r="S94" s="57" t="n"/>
      <c r="T94" s="57" t="n"/>
      <c r="U94" s="57" t="n"/>
      <c r="V94" s="57" t="n"/>
      <c r="W94" s="57" t="n"/>
      <c r="X94" s="57" t="n"/>
      <c r="Y94" s="57" t="n"/>
      <c r="Z94" s="57" t="n"/>
      <c r="AA94" s="57" t="n"/>
      <c r="AB94" s="57" t="n"/>
      <c r="AC94" s="57" t="n"/>
      <c r="AD94" s="57" t="n"/>
      <c r="AE94" s="57" t="n"/>
      <c r="AF94" s="57" t="n"/>
      <c r="AG94" s="57" t="n"/>
      <c r="AH94" s="57" t="n"/>
      <c r="AI94" s="57" t="n"/>
      <c r="AJ94" s="57" t="n"/>
      <c r="AK94" s="57" t="n"/>
      <c r="AL94" s="57" t="n"/>
      <c r="AM94" s="57" t="n"/>
      <c r="AN94" s="57" t="n"/>
      <c r="AO94" s="57" t="n"/>
      <c r="AP94" s="57" t="n"/>
      <c r="AQ94" s="57" t="n"/>
      <c r="AR94" s="57" t="n"/>
      <c r="AS94" s="57" t="n"/>
      <c r="AT94" s="57" t="n"/>
    </row>
    <row r="95" ht="12.75" customHeight="1" s="267">
      <c r="A95" s="57" t="n"/>
      <c r="B95" s="57" t="n"/>
      <c r="C95" s="57" t="n"/>
      <c r="D95" s="57" t="n"/>
      <c r="E95" s="57" t="n"/>
      <c r="F95" s="57" t="n"/>
      <c r="G95" s="57" t="n"/>
      <c r="H95" s="57" t="n"/>
      <c r="I95" s="57" t="n"/>
      <c r="J95" s="57" t="n"/>
      <c r="K95" s="57" t="n"/>
      <c r="L95" s="57" t="n"/>
      <c r="M95" s="57" t="n"/>
      <c r="N95" s="57" t="n"/>
      <c r="O95" s="57" t="n"/>
      <c r="P95" s="57" t="n"/>
      <c r="Q95" s="57" t="n"/>
      <c r="R95" s="57" t="n"/>
      <c r="S95" s="57" t="n"/>
      <c r="T95" s="57" t="n"/>
      <c r="U95" s="57" t="n"/>
      <c r="V95" s="57" t="n"/>
      <c r="W95" s="57" t="n"/>
      <c r="X95" s="57" t="n"/>
      <c r="Y95" s="57" t="n"/>
      <c r="Z95" s="57" t="n"/>
      <c r="AA95" s="57" t="n"/>
      <c r="AB95" s="57" t="n"/>
      <c r="AC95" s="57" t="n"/>
      <c r="AD95" s="57" t="n"/>
      <c r="AE95" s="57" t="n"/>
      <c r="AF95" s="57" t="n"/>
      <c r="AG95" s="57" t="n"/>
      <c r="AH95" s="57" t="n"/>
      <c r="AI95" s="57" t="n"/>
      <c r="AJ95" s="57" t="n"/>
      <c r="AK95" s="57" t="n"/>
      <c r="AL95" s="57" t="n"/>
      <c r="AM95" s="57" t="n"/>
      <c r="AN95" s="57" t="n"/>
      <c r="AO95" s="57" t="n"/>
      <c r="AP95" s="57" t="n"/>
      <c r="AQ95" s="57" t="n"/>
      <c r="AR95" s="57" t="n"/>
      <c r="AS95" s="57" t="n"/>
      <c r="AT95" s="57" t="n"/>
    </row>
    <row r="96" ht="12.75" customHeight="1" s="267">
      <c r="A96" s="57" t="n"/>
      <c r="B96" s="57" t="n"/>
      <c r="C96" s="57" t="n"/>
      <c r="D96" s="57" t="n"/>
      <c r="E96" s="57" t="n"/>
      <c r="F96" s="57" t="n"/>
      <c r="G96" s="57" t="n"/>
      <c r="H96" s="57" t="n"/>
      <c r="I96" s="57" t="n"/>
      <c r="J96" s="57" t="n"/>
      <c r="K96" s="57" t="n"/>
      <c r="L96" s="57" t="n"/>
      <c r="M96" s="57" t="n"/>
      <c r="N96" s="57" t="n"/>
      <c r="O96" s="57" t="n"/>
      <c r="P96" s="57" t="n"/>
      <c r="Q96" s="57" t="n"/>
      <c r="R96" s="57" t="n"/>
      <c r="S96" s="57" t="n"/>
      <c r="T96" s="57" t="n"/>
      <c r="U96" s="57" t="n"/>
      <c r="V96" s="57" t="n"/>
      <c r="W96" s="57" t="n"/>
      <c r="X96" s="57" t="n"/>
      <c r="Y96" s="57" t="n"/>
      <c r="Z96" s="57" t="n"/>
      <c r="AA96" s="57" t="n"/>
      <c r="AB96" s="57" t="n"/>
      <c r="AC96" s="57" t="n"/>
      <c r="AD96" s="57" t="n"/>
      <c r="AE96" s="57" t="n"/>
      <c r="AF96" s="57" t="n"/>
      <c r="AG96" s="57" t="n"/>
      <c r="AH96" s="57" t="n"/>
      <c r="AI96" s="57" t="n"/>
      <c r="AJ96" s="57" t="n"/>
      <c r="AK96" s="57" t="n"/>
      <c r="AL96" s="57" t="n"/>
      <c r="AM96" s="57" t="n"/>
      <c r="AN96" s="57" t="n"/>
      <c r="AO96" s="57" t="n"/>
      <c r="AP96" s="57" t="n"/>
      <c r="AQ96" s="57" t="n"/>
      <c r="AR96" s="57" t="n"/>
      <c r="AS96" s="57" t="n"/>
      <c r="AT96" s="57" t="n"/>
    </row>
    <row r="97" ht="12.75" customHeight="1" s="267">
      <c r="A97" s="57" t="n"/>
      <c r="B97" s="57" t="n"/>
      <c r="C97" s="57" t="n"/>
      <c r="D97" s="57" t="n"/>
      <c r="E97" s="57" t="n"/>
      <c r="F97" s="57" t="n"/>
      <c r="G97" s="57" t="n"/>
      <c r="H97" s="57" t="n"/>
      <c r="I97" s="57" t="n"/>
      <c r="J97" s="57" t="n"/>
      <c r="K97" s="57" t="n"/>
      <c r="L97" s="57" t="n"/>
      <c r="M97" s="57" t="n"/>
      <c r="N97" s="57" t="n"/>
      <c r="O97" s="57" t="n"/>
      <c r="P97" s="57" t="n"/>
      <c r="Q97" s="57" t="n"/>
      <c r="R97" s="57" t="n"/>
      <c r="S97" s="57" t="n"/>
      <c r="T97" s="57" t="n"/>
      <c r="U97" s="57" t="n"/>
      <c r="V97" s="57" t="n"/>
      <c r="W97" s="57" t="n"/>
      <c r="X97" s="57" t="n"/>
      <c r="Y97" s="57" t="n"/>
      <c r="Z97" s="57" t="n"/>
      <c r="AA97" s="57" t="n"/>
      <c r="AB97" s="57" t="n"/>
      <c r="AC97" s="57" t="n"/>
      <c r="AD97" s="57" t="n"/>
      <c r="AE97" s="57" t="n"/>
      <c r="AF97" s="57" t="n"/>
      <c r="AG97" s="57" t="n"/>
      <c r="AH97" s="57" t="n"/>
      <c r="AI97" s="57" t="n"/>
      <c r="AJ97" s="57" t="n"/>
      <c r="AK97" s="57" t="n"/>
      <c r="AL97" s="57" t="n"/>
      <c r="AM97" s="57" t="n"/>
      <c r="AN97" s="57" t="n"/>
      <c r="AO97" s="57" t="n"/>
      <c r="AP97" s="57" t="n"/>
      <c r="AQ97" s="57" t="n"/>
      <c r="AR97" s="57" t="n"/>
      <c r="AS97" s="57" t="n"/>
      <c r="AT97" s="57" t="n"/>
    </row>
    <row r="98" ht="12.75" customHeight="1" s="267">
      <c r="A98" s="57" t="n"/>
      <c r="B98" s="57" t="n"/>
      <c r="C98" s="57" t="n"/>
      <c r="D98" s="57" t="n"/>
      <c r="E98" s="57" t="n"/>
      <c r="F98" s="57" t="n"/>
      <c r="G98" s="57" t="n"/>
      <c r="H98" s="57" t="n"/>
      <c r="I98" s="57" t="n"/>
      <c r="J98" s="57" t="n"/>
      <c r="K98" s="57" t="n"/>
      <c r="L98" s="57" t="n"/>
      <c r="M98" s="57" t="n"/>
      <c r="N98" s="57" t="n"/>
      <c r="O98" s="57" t="n"/>
      <c r="P98" s="57" t="n"/>
      <c r="Q98" s="57" t="n"/>
      <c r="R98" s="57" t="n"/>
      <c r="S98" s="57" t="n"/>
      <c r="T98" s="57" t="n"/>
      <c r="U98" s="57" t="n"/>
      <c r="V98" s="57" t="n"/>
      <c r="W98" s="57" t="n"/>
      <c r="X98" s="57" t="n"/>
      <c r="Y98" s="57" t="n"/>
      <c r="Z98" s="57" t="n"/>
      <c r="AA98" s="57" t="n"/>
      <c r="AB98" s="57" t="n"/>
      <c r="AC98" s="57" t="n"/>
      <c r="AD98" s="57" t="n"/>
      <c r="AE98" s="57" t="n"/>
      <c r="AF98" s="57" t="n"/>
      <c r="AG98" s="57" t="n"/>
      <c r="AH98" s="57" t="n"/>
      <c r="AI98" s="57" t="n"/>
      <c r="AJ98" s="57" t="n"/>
      <c r="AK98" s="57" t="n"/>
      <c r="AL98" s="57" t="n"/>
      <c r="AM98" s="57" t="n"/>
      <c r="AN98" s="57" t="n"/>
      <c r="AO98" s="57" t="n"/>
      <c r="AP98" s="57" t="n"/>
      <c r="AQ98" s="57" t="n"/>
      <c r="AR98" s="57" t="n"/>
      <c r="AS98" s="57" t="n"/>
      <c r="AT98" s="57" t="n"/>
    </row>
    <row r="99" ht="12.75" customHeight="1" s="267">
      <c r="A99" s="57" t="n"/>
      <c r="B99" s="57" t="n"/>
      <c r="C99" s="57" t="n"/>
      <c r="D99" s="57" t="n"/>
      <c r="E99" s="57" t="n"/>
      <c r="F99" s="57" t="n"/>
      <c r="G99" s="57" t="n"/>
      <c r="H99" s="57" t="n"/>
      <c r="I99" s="57" t="n"/>
      <c r="J99" s="57" t="n"/>
      <c r="K99" s="57" t="n"/>
      <c r="L99" s="57" t="n"/>
      <c r="M99" s="57" t="n"/>
      <c r="N99" s="57" t="n"/>
      <c r="O99" s="57" t="n"/>
      <c r="P99" s="57" t="n"/>
      <c r="Q99" s="57" t="n"/>
      <c r="R99" s="57" t="n"/>
      <c r="S99" s="57" t="n"/>
      <c r="T99" s="57" t="n"/>
      <c r="U99" s="57" t="n"/>
      <c r="V99" s="57" t="n"/>
      <c r="W99" s="57" t="n"/>
      <c r="X99" s="57" t="n"/>
      <c r="Y99" s="57" t="n"/>
      <c r="Z99" s="57" t="n"/>
      <c r="AA99" s="57" t="n"/>
      <c r="AB99" s="57" t="n"/>
      <c r="AC99" s="57" t="n"/>
      <c r="AD99" s="57" t="n"/>
      <c r="AE99" s="57" t="n"/>
      <c r="AF99" s="57" t="n"/>
      <c r="AG99" s="57" t="n"/>
      <c r="AH99" s="57" t="n"/>
      <c r="AI99" s="57" t="n"/>
      <c r="AJ99" s="57" t="n"/>
      <c r="AK99" s="57" t="n"/>
      <c r="AL99" s="57" t="n"/>
      <c r="AM99" s="57" t="n"/>
      <c r="AN99" s="57" t="n"/>
      <c r="AO99" s="57" t="n"/>
      <c r="AP99" s="57" t="n"/>
      <c r="AQ99" s="57" t="n"/>
      <c r="AR99" s="57" t="n"/>
      <c r="AS99" s="57" t="n"/>
      <c r="AT99" s="57" t="n"/>
    </row>
    <row r="100" ht="12.75" customHeight="1" s="267">
      <c r="A100" s="57" t="n"/>
      <c r="B100" s="57" t="n"/>
      <c r="C100" s="57" t="n"/>
      <c r="D100" s="57" t="n"/>
      <c r="E100" s="57" t="n"/>
      <c r="F100" s="57" t="n"/>
      <c r="G100" s="57" t="n"/>
      <c r="H100" s="57" t="n"/>
      <c r="I100" s="57" t="n"/>
      <c r="J100" s="57" t="n"/>
      <c r="K100" s="57" t="n"/>
      <c r="L100" s="57" t="n"/>
      <c r="M100" s="57" t="n"/>
      <c r="N100" s="57" t="n"/>
      <c r="O100" s="57" t="n"/>
      <c r="P100" s="57" t="n"/>
      <c r="Q100" s="57" t="n"/>
      <c r="R100" s="57" t="n"/>
      <c r="S100" s="57" t="n"/>
      <c r="T100" s="57" t="n"/>
      <c r="U100" s="57" t="n"/>
      <c r="V100" s="57" t="n"/>
      <c r="W100" s="57" t="n"/>
      <c r="X100" s="57" t="n"/>
      <c r="Y100" s="57" t="n"/>
      <c r="Z100" s="57" t="n"/>
      <c r="AA100" s="57" t="n"/>
      <c r="AB100" s="57" t="n"/>
      <c r="AC100" s="57" t="n"/>
      <c r="AD100" s="57" t="n"/>
      <c r="AE100" s="57" t="n"/>
      <c r="AF100" s="57" t="n"/>
      <c r="AG100" s="57" t="n"/>
      <c r="AH100" s="57" t="n"/>
      <c r="AI100" s="57" t="n"/>
      <c r="AJ100" s="57" t="n"/>
      <c r="AK100" s="57" t="n"/>
      <c r="AL100" s="57" t="n"/>
      <c r="AM100" s="57" t="n"/>
      <c r="AN100" s="57" t="n"/>
      <c r="AO100" s="57" t="n"/>
      <c r="AP100" s="57" t="n"/>
      <c r="AQ100" s="57" t="n"/>
      <c r="AR100" s="57" t="n"/>
      <c r="AS100" s="57" t="n"/>
      <c r="AT100" s="57" t="n"/>
    </row>
  </sheetData>
  <mergeCells count="5">
    <mergeCell ref="U47:V47"/>
    <mergeCell ref="A58:A60"/>
    <mergeCell ref="U46:V46"/>
    <mergeCell ref="A54:A56"/>
    <mergeCell ref="A50:A52"/>
  </mergeCells>
  <conditionalFormatting sqref="C22:S32">
    <cfRule type="expression" priority="1" dxfId="15" stopIfTrue="1">
      <formula>LEFT(C34,5)="Level"</formula>
    </cfRule>
    <cfRule type="cellIs" priority="2" operator="between" dxfId="14" stopIfTrue="1">
      <formula>0.905</formula>
      <formula>0.995</formula>
    </cfRule>
    <cfRule type="cellIs" priority="3" operator="greaterThan" dxfId="2" stopIfTrue="1">
      <formula>0.995</formula>
    </cfRule>
  </conditionalFormatting>
  <conditionalFormatting sqref="C50:S52">
    <cfRule type="expression" priority="4" dxfId="6" stopIfTrue="1">
      <formula>AND(C50=MAX(C$50:C$52),C54=MAX(C$54:C$56))</formula>
    </cfRule>
    <cfRule type="expression" priority="5" dxfId="2" stopIfTrue="1">
      <formula>AND(C50=MIN(C$50:C$52),C54=MAX(C$54:C$56))</formula>
    </cfRule>
    <cfRule type="expression" priority="6" dxfId="1" stopIfTrue="1">
      <formula>AND(C54=MAX(C$54:C$56),1=1)</formula>
    </cfRule>
  </conditionalFormatting>
  <conditionalFormatting sqref="C8 E8 G8 I8 K8 M8 O8 Q8 S8">
    <cfRule type="cellIs" priority="7" operator="equal" dxfId="3" stopIfTrue="1">
      <formula>"X"</formula>
    </cfRule>
  </conditionalFormatting>
  <conditionalFormatting sqref="V21:X21">
    <cfRule type="colorScale" priority="8">
      <colorScale>
        <cfvo type="formula" val="0"/>
        <cfvo type="percentile" val="50"/>
        <cfvo type="formula" val="100"/>
        <color rgb="FFD99594"/>
        <color rgb="FFB2A1C7"/>
        <color rgb="FF00B050"/>
      </colorScale>
    </cfRule>
  </conditionalFormatting>
  <conditionalFormatting sqref="V22:X32">
    <cfRule type="colorScale" priority="9">
      <colorScale>
        <cfvo type="formula" val="0"/>
        <cfvo type="percentile" val="50"/>
        <cfvo type="formula" val="100"/>
        <color rgb="FFD99594"/>
        <color rgb="FFB2A1C7"/>
        <color rgb="FF00B050"/>
      </colorScale>
    </cfRule>
  </conditionalFormatting>
  <conditionalFormatting sqref="C58:S60">
    <cfRule type="cellIs" priority="10" operator="lessThan" dxfId="2">
      <formula>0</formula>
    </cfRule>
    <cfRule type="cellIs" priority="11" operator="greaterThan" dxfId="1">
      <formula>0</formula>
    </cfRule>
  </conditionalFormatting>
  <dataValidations count="1">
    <dataValidation sqref="C34:S44 AD34:AT34" showDropDown="0" showInputMessage="0" showErrorMessage="1" allowBlank="0" type="list">
      <formula1>Carupdate</formula1>
    </dataValidation>
  </dataValidations>
  <pageMargins left="0.75" right="0.75" top="1" bottom="1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" customHeight="1"/>
  <cols>
    <col width="18.33203125" customWidth="1" style="267" min="1" max="1"/>
    <col width="9.1640625" customWidth="1" style="267" min="2" max="20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4" t="n"/>
      <c r="T1" s="4" t="n"/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  <c r="S2" s="4" t="n"/>
      <c r="T2" s="4" t="n"/>
    </row>
    <row r="3" ht="14.25" customHeight="1" s="267">
      <c r="A3" s="4" t="n"/>
      <c r="B3" s="118">
        <f>IF(ISNA(VLOOKUP(B2,'2 Stuff Data'!$B$57:$B$59,1,FALSE)),"","X")</f>
        <v/>
      </c>
      <c r="C3" s="118">
        <f>IF(ISNA(VLOOKUP(C2,'2 Stuff Data'!$B$57:$B$59,1,FALSE)),"","X")</f>
        <v/>
      </c>
      <c r="D3" s="118">
        <f>IF(ISNA(VLOOKUP(D2,'2 Stuff Data'!$B$57:$B$59,1,FALSE)),"","X")</f>
        <v/>
      </c>
      <c r="E3" s="118">
        <f>IF(ISNA(VLOOKUP(E2,'2 Stuff Data'!$B$57:$B$59,1,FALSE)),"","X")</f>
        <v/>
      </c>
      <c r="F3" s="118">
        <f>IF(ISNA(VLOOKUP(F2,'2 Stuff Data'!$B$57:$B$59,1,FALSE)),"","X")</f>
        <v/>
      </c>
      <c r="G3" s="118">
        <f>IF(ISNA(VLOOKUP(G2,'2 Stuff Data'!$B$57:$B$59,1,FALSE)),"","X")</f>
        <v/>
      </c>
      <c r="H3" s="118">
        <f>IF(ISNA(VLOOKUP(H2,'2 Stuff Data'!$B$57:$B$59,1,FALSE)),"","X")</f>
        <v/>
      </c>
      <c r="I3" s="118">
        <f>IF(ISNA(VLOOKUP(I2,'2 Stuff Data'!$B$57:$B$59,1,FALSE)),"","X")</f>
        <v/>
      </c>
      <c r="J3" s="118">
        <f>IF(ISNA(VLOOKUP(J2,'2 Stuff Data'!$B$57:$B$59,1,FALSE)),"","X")</f>
        <v/>
      </c>
      <c r="K3" s="118">
        <f>IF(ISNA(VLOOKUP(K2,'2 Stuff Data'!$B$57:$B$59,1,FALSE)),"","X")</f>
        <v/>
      </c>
      <c r="L3" s="118">
        <f>IF(ISNA(VLOOKUP(L2,'2 Stuff Data'!$B$57:$B$59,1,FALSE)),"","X")</f>
        <v/>
      </c>
      <c r="M3" s="118">
        <f>IF(ISNA(VLOOKUP(M2,'2 Stuff Data'!$B$57:$B$59,1,FALSE)),"","X")</f>
        <v/>
      </c>
      <c r="N3" s="118">
        <f>IF(ISNA(VLOOKUP(N2,'2 Stuff Data'!$B$57:$B$59,1,FALSE)),"","X")</f>
        <v/>
      </c>
      <c r="O3" s="118">
        <f>IF(ISNA(VLOOKUP(O2,'2 Stuff Data'!$B$57:$B$59,1,FALSE)),"","X")</f>
        <v/>
      </c>
      <c r="P3" s="118">
        <f>IF(ISNA(VLOOKUP(P2,'2 Stuff Data'!$B$57:$B$59,1,FALSE)),"","X")</f>
        <v/>
      </c>
      <c r="Q3" s="118">
        <f>IF(ISNA(VLOOKUP(Q2,'2 Stuff Data'!$B$57:$B$59,1,FALSE)),"","X")</f>
        <v/>
      </c>
      <c r="R3" s="118">
        <f>IF(ISNA(VLOOKUP(R2,'2 Stuff Data'!$B$57:$B$59,1,FALSE)),"","X")</f>
        <v/>
      </c>
      <c r="S3" s="4" t="n"/>
      <c r="T3" s="4" t="n"/>
    </row>
    <row r="4" ht="14.25" customHeight="1" s="267">
      <c r="A4" s="25" t="inlineStr">
        <is>
          <t>TESTING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4" t="n"/>
      <c r="T4" s="45" t="n"/>
    </row>
    <row r="5" ht="14.25" customHeight="1" s="267">
      <c r="A5" s="4" t="inlineStr">
        <is>
          <t>Total laps</t>
        </is>
      </c>
      <c r="B5" s="9" t="n">
        <v>100</v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119" t="n"/>
      <c r="S5" s="4" t="n"/>
      <c r="T5" s="45" t="n"/>
    </row>
    <row r="6" ht="14.25" customHeight="1" s="267">
      <c r="A6" s="4" t="inlineStr">
        <is>
          <t>Top Speed - P</t>
        </is>
      </c>
      <c r="B6" s="26" t="n">
        <v>20</v>
      </c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4" t="n"/>
      <c r="T6" s="45" t="n"/>
    </row>
    <row r="7" ht="14.25" customHeight="1" s="267">
      <c r="A7" s="4" t="inlineStr">
        <is>
          <t>Cornering - H</t>
        </is>
      </c>
      <c r="B7" s="27" t="n"/>
      <c r="C7" s="27" t="n">
        <v>40</v>
      </c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4" t="n"/>
      <c r="T7" s="45" t="n"/>
    </row>
    <row r="8" ht="14.25" customHeight="1" s="267">
      <c r="A8" s="4" t="inlineStr">
        <is>
          <t>Hairpins - A</t>
        </is>
      </c>
      <c r="B8" s="27" t="n">
        <v>40</v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4" t="n"/>
      <c r="T8" s="45" t="n"/>
    </row>
    <row r="9" ht="14.25" customHeight="1" s="267">
      <c r="A9" s="4" t="inlineStr">
        <is>
          <t>Braking - h</t>
        </is>
      </c>
      <c r="B9" s="27" t="n"/>
      <c r="C9" s="27" t="n">
        <v>40</v>
      </c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4" t="n"/>
      <c r="T9" s="45" t="n"/>
    </row>
    <row r="10" ht="14.25" customHeight="1" s="267">
      <c r="A10" s="4" t="inlineStr">
        <is>
          <t>Overtaking - p</t>
        </is>
      </c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4" t="n"/>
      <c r="T10" s="45" t="n"/>
    </row>
    <row r="11" ht="14.25" customHeight="1" s="267">
      <c r="A11" s="4" t="inlineStr">
        <is>
          <t>Chicanes - a</t>
        </is>
      </c>
      <c r="B11" s="27" t="n">
        <v>40</v>
      </c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4" t="n"/>
      <c r="T11" s="45" t="n"/>
    </row>
    <row r="12" ht="14.25" customHeight="1" s="267">
      <c r="A12" s="4" t="inlineStr">
        <is>
          <t>No Priority</t>
        </is>
      </c>
      <c r="B12" s="28" t="n"/>
      <c r="C12" s="28" t="n">
        <v>20</v>
      </c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4" t="n"/>
      <c r="T12" s="45" t="n"/>
    </row>
    <row r="13" ht="14.25" customHeight="1" s="267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14.25" customHeight="1" s="267">
      <c r="A14" s="25" t="inlineStr">
        <is>
          <t>R&amp;D Points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 ht="14.25" customHeight="1" s="267">
      <c r="A15" s="4" t="inlineStr">
        <is>
          <t>Power</t>
        </is>
      </c>
      <c r="B15" s="26" t="n"/>
      <c r="C15" s="36" t="n">
        <v>25.7</v>
      </c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120" t="n"/>
      <c r="S15" s="4" t="n"/>
      <c r="T15" s="4" t="n"/>
    </row>
    <row r="16" ht="14.25" customHeight="1" s="267">
      <c r="A16" s="4" t="inlineStr">
        <is>
          <t>Handling</t>
        </is>
      </c>
      <c r="B16" s="27" t="n"/>
      <c r="C16" s="37" t="n">
        <v>13.8</v>
      </c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121" t="n"/>
      <c r="S16" s="4" t="n"/>
      <c r="T16" s="4" t="n"/>
    </row>
    <row r="17" ht="14.25" customHeight="1" s="267">
      <c r="A17" s="4" t="inlineStr">
        <is>
          <t>Acceleration</t>
        </is>
      </c>
      <c r="B17" s="28" t="n"/>
      <c r="C17" s="38" t="n">
        <v>46.4</v>
      </c>
      <c r="D17" s="38" t="n"/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  <c r="O17" s="38" t="n"/>
      <c r="P17" s="38" t="n"/>
      <c r="Q17" s="38" t="n"/>
      <c r="R17" s="122" t="n"/>
      <c r="S17" s="4" t="n"/>
      <c r="T17" s="4" t="n"/>
    </row>
    <row r="18" ht="14.25" customHeight="1" s="267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 ht="14.25" customHeight="1" s="267">
      <c r="A19" s="25" t="inlineStr">
        <is>
          <t>Engineering points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 ht="14.25" customHeight="1" s="267">
      <c r="A20" s="4" t="inlineStr">
        <is>
          <t>Power</t>
        </is>
      </c>
      <c r="B20" s="26" t="n"/>
      <c r="C20" s="36" t="n"/>
      <c r="D20" s="36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120" t="n"/>
      <c r="S20" s="4" t="n"/>
      <c r="T20" s="4" t="n"/>
    </row>
    <row r="21" ht="14.25" customHeight="1" s="267">
      <c r="A21" s="4" t="inlineStr">
        <is>
          <t>Handling</t>
        </is>
      </c>
      <c r="B21" s="2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121" t="n"/>
      <c r="S21" s="4" t="n"/>
      <c r="T21" s="4" t="n"/>
    </row>
    <row r="22" ht="14.25" customHeight="1" s="267">
      <c r="A22" s="4" t="inlineStr">
        <is>
          <t>Acceleration</t>
        </is>
      </c>
      <c r="B22" s="28" t="n"/>
      <c r="C22" s="38" t="n"/>
      <c r="D22" s="38" t="n"/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122" t="n"/>
      <c r="S22" s="4" t="n"/>
      <c r="T22" s="4" t="n"/>
    </row>
    <row r="23" ht="14.25" customHeight="1" s="26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 ht="14.25" customHeight="1" s="267">
      <c r="A24" s="25" t="inlineStr">
        <is>
          <t>CCP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4" t="n"/>
      <c r="T24" s="4" t="n"/>
    </row>
    <row r="25" ht="14.25" customHeight="1" s="267">
      <c r="A25" s="4" t="inlineStr">
        <is>
          <t>Power</t>
        </is>
      </c>
      <c r="B25" s="26" t="n">
        <v>7</v>
      </c>
      <c r="C25" s="36" t="n">
        <v>7</v>
      </c>
      <c r="D25" s="36" t="n"/>
      <c r="E25" s="36" t="n"/>
      <c r="F25" s="36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>
        <v>7</v>
      </c>
      <c r="P25" s="36" t="n"/>
      <c r="Q25" s="36" t="n"/>
      <c r="R25" s="120" t="n"/>
      <c r="S25" s="4" t="n"/>
      <c r="T25" s="4" t="n"/>
    </row>
    <row r="26" ht="14.25" customHeight="1" s="267">
      <c r="A26" s="4" t="inlineStr">
        <is>
          <t>Handling</t>
        </is>
      </c>
      <c r="B26" s="27" t="n">
        <v>11</v>
      </c>
      <c r="C26" s="37" t="n">
        <v>10</v>
      </c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>
        <v>5</v>
      </c>
      <c r="P26" s="37" t="n"/>
      <c r="Q26" s="37" t="n"/>
      <c r="R26" s="121" t="n"/>
      <c r="S26" s="4" t="n"/>
      <c r="T26" s="4" t="n"/>
    </row>
    <row r="27" ht="14.25" customHeight="1" s="267">
      <c r="A27" s="4" t="inlineStr">
        <is>
          <t>Acceleration</t>
        </is>
      </c>
      <c r="B27" s="28" t="n">
        <v>7</v>
      </c>
      <c r="C27" s="38" t="n">
        <v>7</v>
      </c>
      <c r="D27" s="38" t="n"/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>
        <v>7</v>
      </c>
      <c r="P27" s="38" t="n"/>
      <c r="Q27" s="38" t="n"/>
      <c r="R27" s="122" t="n"/>
      <c r="S27" s="4" t="n"/>
      <c r="T27" s="4" t="n"/>
    </row>
    <row r="28" ht="14.25" customHeight="1" s="267">
      <c r="A28" s="4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4" t="n"/>
      <c r="T28" s="4" t="n"/>
    </row>
    <row r="29" ht="14.25" customHeight="1" s="267">
      <c r="A29" s="123" t="inlineStr">
        <is>
          <t>P</t>
        </is>
      </c>
      <c r="B29" s="4">
        <f>'6 Wear Planner'!C50</f>
        <v/>
      </c>
      <c r="C29" s="4">
        <f>'6 Wear Planner'!D50</f>
        <v/>
      </c>
      <c r="D29" s="4">
        <f>'6 Wear Planner'!E50</f>
        <v/>
      </c>
      <c r="E29" s="4">
        <f>'6 Wear Planner'!F50</f>
        <v/>
      </c>
      <c r="F29" s="4">
        <f>'6 Wear Planner'!G50</f>
        <v/>
      </c>
      <c r="G29" s="4">
        <f>'6 Wear Planner'!H50</f>
        <v/>
      </c>
      <c r="H29" s="4">
        <f>'6 Wear Planner'!I50</f>
        <v/>
      </c>
      <c r="I29" s="4">
        <f>'6 Wear Planner'!J50</f>
        <v/>
      </c>
      <c r="J29" s="4">
        <f>'6 Wear Planner'!K50</f>
        <v/>
      </c>
      <c r="K29" s="4">
        <f>'6 Wear Planner'!L50</f>
        <v/>
      </c>
      <c r="L29" s="4">
        <f>'6 Wear Planner'!M50</f>
        <v/>
      </c>
      <c r="M29" s="4">
        <f>'6 Wear Planner'!N50</f>
        <v/>
      </c>
      <c r="N29" s="4">
        <f>'6 Wear Planner'!O50</f>
        <v/>
      </c>
      <c r="O29" s="4">
        <f>'6 Wear Planner'!P50</f>
        <v/>
      </c>
      <c r="P29" s="4">
        <f>'6 Wear Planner'!Q50</f>
        <v/>
      </c>
      <c r="Q29" s="4">
        <f>'6 Wear Planner'!R50</f>
        <v/>
      </c>
      <c r="R29" s="4">
        <f>'6 Wear Planner'!S50</f>
        <v/>
      </c>
      <c r="S29" s="4" t="n"/>
      <c r="T29" s="4" t="n"/>
    </row>
    <row r="30" ht="14.25" customHeight="1" s="267">
      <c r="A30" s="123" t="inlineStr">
        <is>
          <t>H</t>
        </is>
      </c>
      <c r="B30" s="4">
        <f>'6 Wear Planner'!C51</f>
        <v/>
      </c>
      <c r="C30" s="4">
        <f>'6 Wear Planner'!D51</f>
        <v/>
      </c>
      <c r="D30" s="4">
        <f>'6 Wear Planner'!E51</f>
        <v/>
      </c>
      <c r="E30" s="4">
        <f>'6 Wear Planner'!F51</f>
        <v/>
      </c>
      <c r="F30" s="4">
        <f>'6 Wear Planner'!G51</f>
        <v/>
      </c>
      <c r="G30" s="4">
        <f>'6 Wear Planner'!H51</f>
        <v/>
      </c>
      <c r="H30" s="4">
        <f>'6 Wear Planner'!I51</f>
        <v/>
      </c>
      <c r="I30" s="4">
        <f>'6 Wear Planner'!J51</f>
        <v/>
      </c>
      <c r="J30" s="4">
        <f>'6 Wear Planner'!K51</f>
        <v/>
      </c>
      <c r="K30" s="4">
        <f>'6 Wear Planner'!L51</f>
        <v/>
      </c>
      <c r="L30" s="4">
        <f>'6 Wear Planner'!M51</f>
        <v/>
      </c>
      <c r="M30" s="4">
        <f>'6 Wear Planner'!N51</f>
        <v/>
      </c>
      <c r="N30" s="4">
        <f>'6 Wear Planner'!O51</f>
        <v/>
      </c>
      <c r="O30" s="4">
        <f>'6 Wear Planner'!P51</f>
        <v/>
      </c>
      <c r="P30" s="4">
        <f>'6 Wear Planner'!Q51</f>
        <v/>
      </c>
      <c r="Q30" s="4">
        <f>'6 Wear Planner'!R51</f>
        <v/>
      </c>
      <c r="R30" s="4">
        <f>'6 Wear Planner'!S51</f>
        <v/>
      </c>
      <c r="S30" s="4" t="n"/>
      <c r="T30" s="4" t="n"/>
    </row>
    <row r="31" ht="14.25" customHeight="1" s="267">
      <c r="A31" s="123" t="inlineStr">
        <is>
          <t>A</t>
        </is>
      </c>
      <c r="B31" s="4">
        <f>'6 Wear Planner'!C52</f>
        <v/>
      </c>
      <c r="C31" s="4">
        <f>'6 Wear Planner'!D52</f>
        <v/>
      </c>
      <c r="D31" s="4">
        <f>'6 Wear Planner'!E52</f>
        <v/>
      </c>
      <c r="E31" s="4">
        <f>'6 Wear Planner'!F52</f>
        <v/>
      </c>
      <c r="F31" s="4">
        <f>'6 Wear Planner'!G52</f>
        <v/>
      </c>
      <c r="G31" s="4">
        <f>'6 Wear Planner'!H52</f>
        <v/>
      </c>
      <c r="H31" s="4">
        <f>'6 Wear Planner'!I52</f>
        <v/>
      </c>
      <c r="I31" s="4">
        <f>'6 Wear Planner'!J52</f>
        <v/>
      </c>
      <c r="J31" s="4">
        <f>'6 Wear Planner'!K52</f>
        <v/>
      </c>
      <c r="K31" s="4">
        <f>'6 Wear Planner'!L52</f>
        <v/>
      </c>
      <c r="L31" s="4">
        <f>'6 Wear Planner'!M52</f>
        <v/>
      </c>
      <c r="M31" s="4">
        <f>'6 Wear Planner'!N52</f>
        <v/>
      </c>
      <c r="N31" s="4">
        <f>'6 Wear Planner'!O52</f>
        <v/>
      </c>
      <c r="O31" s="4">
        <f>'6 Wear Planner'!P52</f>
        <v/>
      </c>
      <c r="P31" s="4">
        <f>'6 Wear Planner'!Q52</f>
        <v/>
      </c>
      <c r="Q31" s="4">
        <f>'6 Wear Planner'!R52</f>
        <v/>
      </c>
      <c r="R31" s="4">
        <f>'6 Wear Planner'!S52</f>
        <v/>
      </c>
      <c r="S31" s="4" t="n"/>
      <c r="T31" s="4" t="n"/>
    </row>
    <row r="32" ht="14.25" customHeight="1" s="26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</row>
    <row r="33" ht="14.25" customHeight="1" s="267">
      <c r="A33" s="4" t="n"/>
      <c r="B33" s="4">
        <f>'6 Wear Planner'!C54</f>
        <v/>
      </c>
      <c r="C33" s="4">
        <f>'6 Wear Planner'!D54</f>
        <v/>
      </c>
      <c r="D33" s="4">
        <f>'6 Wear Planner'!E54</f>
        <v/>
      </c>
      <c r="E33" s="4">
        <f>'6 Wear Planner'!F54</f>
        <v/>
      </c>
      <c r="F33" s="4">
        <f>'6 Wear Planner'!G54</f>
        <v/>
      </c>
      <c r="G33" s="4">
        <f>'6 Wear Planner'!H54</f>
        <v/>
      </c>
      <c r="H33" s="4">
        <f>'6 Wear Planner'!I54</f>
        <v/>
      </c>
      <c r="I33" s="4">
        <f>'6 Wear Planner'!J54</f>
        <v/>
      </c>
      <c r="J33" s="4">
        <f>'6 Wear Planner'!K54</f>
        <v/>
      </c>
      <c r="K33" s="4">
        <f>'6 Wear Planner'!L54</f>
        <v/>
      </c>
      <c r="L33" s="4">
        <f>'6 Wear Planner'!M54</f>
        <v/>
      </c>
      <c r="M33" s="4">
        <f>'6 Wear Planner'!N54</f>
        <v/>
      </c>
      <c r="N33" s="4">
        <f>'6 Wear Planner'!O54</f>
        <v/>
      </c>
      <c r="O33" s="4">
        <f>'6 Wear Planner'!P54</f>
        <v/>
      </c>
      <c r="P33" s="4">
        <f>'6 Wear Planner'!Q54</f>
        <v/>
      </c>
      <c r="Q33" s="4">
        <f>'6 Wear Planner'!R54</f>
        <v/>
      </c>
      <c r="R33" s="4">
        <f>'6 Wear Planner'!S54</f>
        <v/>
      </c>
      <c r="S33" s="4" t="n"/>
      <c r="T33" s="4" t="n"/>
    </row>
    <row r="34" ht="14.25" customHeight="1" s="267">
      <c r="A34" s="4" t="n"/>
      <c r="B34" s="4">
        <f>'6 Wear Planner'!C55</f>
        <v/>
      </c>
      <c r="C34" s="4">
        <f>'6 Wear Planner'!D55</f>
        <v/>
      </c>
      <c r="D34" s="4">
        <f>'6 Wear Planner'!E55</f>
        <v/>
      </c>
      <c r="E34" s="4">
        <f>'6 Wear Planner'!F55</f>
        <v/>
      </c>
      <c r="F34" s="4">
        <f>'6 Wear Planner'!G55</f>
        <v/>
      </c>
      <c r="G34" s="4">
        <f>'6 Wear Planner'!H55</f>
        <v/>
      </c>
      <c r="H34" s="4">
        <f>'6 Wear Planner'!I55</f>
        <v/>
      </c>
      <c r="I34" s="4">
        <f>'6 Wear Planner'!J55</f>
        <v/>
      </c>
      <c r="J34" s="4">
        <f>'6 Wear Planner'!K55</f>
        <v/>
      </c>
      <c r="K34" s="4">
        <f>'6 Wear Planner'!L55</f>
        <v/>
      </c>
      <c r="L34" s="4">
        <f>'6 Wear Planner'!M55</f>
        <v/>
      </c>
      <c r="M34" s="4">
        <f>'6 Wear Planner'!N55</f>
        <v/>
      </c>
      <c r="N34" s="4">
        <f>'6 Wear Planner'!O55</f>
        <v/>
      </c>
      <c r="O34" s="4">
        <f>'6 Wear Planner'!P55</f>
        <v/>
      </c>
      <c r="P34" s="4">
        <f>'6 Wear Planner'!Q55</f>
        <v/>
      </c>
      <c r="Q34" s="4">
        <f>'6 Wear Planner'!R55</f>
        <v/>
      </c>
      <c r="R34" s="4">
        <f>'6 Wear Planner'!S55</f>
        <v/>
      </c>
      <c r="S34" s="4" t="n"/>
      <c r="T34" s="4" t="n"/>
    </row>
    <row r="35" ht="14.25" customHeight="1" s="267">
      <c r="A35" s="4" t="n"/>
      <c r="B35" s="4">
        <f>'6 Wear Planner'!C56</f>
        <v/>
      </c>
      <c r="C35" s="4">
        <f>'6 Wear Planner'!D56</f>
        <v/>
      </c>
      <c r="D35" s="4">
        <f>'6 Wear Planner'!E56</f>
        <v/>
      </c>
      <c r="E35" s="4">
        <f>'6 Wear Planner'!F56</f>
        <v/>
      </c>
      <c r="F35" s="4">
        <f>'6 Wear Planner'!G56</f>
        <v/>
      </c>
      <c r="G35" s="4">
        <f>'6 Wear Planner'!H56</f>
        <v/>
      </c>
      <c r="H35" s="4">
        <f>'6 Wear Planner'!I56</f>
        <v/>
      </c>
      <c r="I35" s="4">
        <f>'6 Wear Planner'!J56</f>
        <v/>
      </c>
      <c r="J35" s="4">
        <f>'6 Wear Planner'!K56</f>
        <v/>
      </c>
      <c r="K35" s="4">
        <f>'6 Wear Planner'!L56</f>
        <v/>
      </c>
      <c r="L35" s="4">
        <f>'6 Wear Planner'!M56</f>
        <v/>
      </c>
      <c r="M35" s="4">
        <f>'6 Wear Planner'!N56</f>
        <v/>
      </c>
      <c r="N35" s="4">
        <f>'6 Wear Planner'!O56</f>
        <v/>
      </c>
      <c r="O35" s="4">
        <f>'6 Wear Planner'!P56</f>
        <v/>
      </c>
      <c r="P35" s="4">
        <f>'6 Wear Planner'!Q56</f>
        <v/>
      </c>
      <c r="Q35" s="4">
        <f>'6 Wear Planner'!R56</f>
        <v/>
      </c>
      <c r="R35" s="4">
        <f>'6 Wear Planner'!S56</f>
        <v/>
      </c>
      <c r="S35" s="4" t="n"/>
      <c r="T35" s="4" t="n"/>
    </row>
    <row r="36" ht="14.25" customHeight="1" s="26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</row>
    <row r="37" ht="14.25" customHeight="1" s="267">
      <c r="A37" s="4" t="n"/>
      <c r="B37" s="58">
        <f>'6 Wear Planner'!C58</f>
        <v/>
      </c>
      <c r="C37" s="59">
        <f>'6 Wear Planner'!D58</f>
        <v/>
      </c>
      <c r="D37" s="59">
        <f>'6 Wear Planner'!E58</f>
        <v/>
      </c>
      <c r="E37" s="59">
        <f>'6 Wear Planner'!F58</f>
        <v/>
      </c>
      <c r="F37" s="59">
        <f>'6 Wear Planner'!G58</f>
        <v/>
      </c>
      <c r="G37" s="59">
        <f>'6 Wear Planner'!H58</f>
        <v/>
      </c>
      <c r="H37" s="59">
        <f>'6 Wear Planner'!I58</f>
        <v/>
      </c>
      <c r="I37" s="59">
        <f>'6 Wear Planner'!J58</f>
        <v/>
      </c>
      <c r="J37" s="59">
        <f>'6 Wear Planner'!K58</f>
        <v/>
      </c>
      <c r="K37" s="59">
        <f>'6 Wear Planner'!L58</f>
        <v/>
      </c>
      <c r="L37" s="59">
        <f>'6 Wear Planner'!M58</f>
        <v/>
      </c>
      <c r="M37" s="59">
        <f>'6 Wear Planner'!N58</f>
        <v/>
      </c>
      <c r="N37" s="59">
        <f>'6 Wear Planner'!O58</f>
        <v/>
      </c>
      <c r="O37" s="59">
        <f>'6 Wear Planner'!P58</f>
        <v/>
      </c>
      <c r="P37" s="59">
        <f>'6 Wear Planner'!Q58</f>
        <v/>
      </c>
      <c r="Q37" s="59">
        <f>'6 Wear Planner'!R58</f>
        <v/>
      </c>
      <c r="R37" s="60">
        <f>'6 Wear Planner'!S58</f>
        <v/>
      </c>
      <c r="S37" s="4" t="n"/>
      <c r="T37" s="4" t="n"/>
    </row>
    <row r="38" ht="14.25" customHeight="1" s="267">
      <c r="A38" s="4" t="n"/>
      <c r="B38" s="69">
        <f>'6 Wear Planner'!C59</f>
        <v/>
      </c>
      <c r="C38" s="70">
        <f>'6 Wear Planner'!D59</f>
        <v/>
      </c>
      <c r="D38" s="70">
        <f>'6 Wear Planner'!E59</f>
        <v/>
      </c>
      <c r="E38" s="70">
        <f>'6 Wear Planner'!F59</f>
        <v/>
      </c>
      <c r="F38" s="70">
        <f>'6 Wear Planner'!G59</f>
        <v/>
      </c>
      <c r="G38" s="70">
        <f>'6 Wear Planner'!H59</f>
        <v/>
      </c>
      <c r="H38" s="70">
        <f>'6 Wear Planner'!I59</f>
        <v/>
      </c>
      <c r="I38" s="70">
        <f>'6 Wear Planner'!J59</f>
        <v/>
      </c>
      <c r="J38" s="70">
        <f>'6 Wear Planner'!K59</f>
        <v/>
      </c>
      <c r="K38" s="70">
        <f>'6 Wear Planner'!L59</f>
        <v/>
      </c>
      <c r="L38" s="70">
        <f>'6 Wear Planner'!M59</f>
        <v/>
      </c>
      <c r="M38" s="70">
        <f>'6 Wear Planner'!N59</f>
        <v/>
      </c>
      <c r="N38" s="70">
        <f>'6 Wear Planner'!O59</f>
        <v/>
      </c>
      <c r="O38" s="70">
        <f>'6 Wear Planner'!P59</f>
        <v/>
      </c>
      <c r="P38" s="70">
        <f>'6 Wear Planner'!Q59</f>
        <v/>
      </c>
      <c r="Q38" s="70">
        <f>'6 Wear Planner'!R59</f>
        <v/>
      </c>
      <c r="R38" s="124">
        <f>'6 Wear Planner'!S59</f>
        <v/>
      </c>
      <c r="S38" s="4" t="n"/>
      <c r="T38" s="4" t="n"/>
    </row>
    <row r="39" ht="14.25" customHeight="1" s="267">
      <c r="A39" s="4" t="n"/>
      <c r="B39" s="63">
        <f>'6 Wear Planner'!C60</f>
        <v/>
      </c>
      <c r="C39" s="64">
        <f>'6 Wear Planner'!D60</f>
        <v/>
      </c>
      <c r="D39" s="64">
        <f>'6 Wear Planner'!E60</f>
        <v/>
      </c>
      <c r="E39" s="64">
        <f>'6 Wear Planner'!F60</f>
        <v/>
      </c>
      <c r="F39" s="64">
        <f>'6 Wear Planner'!G60</f>
        <v/>
      </c>
      <c r="G39" s="64">
        <f>'6 Wear Planner'!H60</f>
        <v/>
      </c>
      <c r="H39" s="64">
        <f>'6 Wear Planner'!I60</f>
        <v/>
      </c>
      <c r="I39" s="64">
        <f>'6 Wear Planner'!J60</f>
        <v/>
      </c>
      <c r="J39" s="64">
        <f>'6 Wear Planner'!K60</f>
        <v/>
      </c>
      <c r="K39" s="64">
        <f>'6 Wear Planner'!L60</f>
        <v/>
      </c>
      <c r="L39" s="64">
        <f>'6 Wear Planner'!M60</f>
        <v/>
      </c>
      <c r="M39" s="64">
        <f>'6 Wear Planner'!N60</f>
        <v/>
      </c>
      <c r="N39" s="64">
        <f>'6 Wear Planner'!O60</f>
        <v/>
      </c>
      <c r="O39" s="64">
        <f>'6 Wear Planner'!P60</f>
        <v/>
      </c>
      <c r="P39" s="64">
        <f>'6 Wear Planner'!Q60</f>
        <v/>
      </c>
      <c r="Q39" s="64">
        <f>'6 Wear Planner'!R60</f>
        <v/>
      </c>
      <c r="R39" s="65">
        <f>'6 Wear Planner'!S60</f>
        <v/>
      </c>
      <c r="S39" s="4" t="n"/>
      <c r="T39" s="4" t="n"/>
    </row>
    <row r="40" ht="14.25" customHeight="1" s="267">
      <c r="A40" s="4" t="n"/>
      <c r="B40" s="116">
        <f>'6 Wear Planner'!C61</f>
        <v/>
      </c>
      <c r="C40" s="116">
        <f>'6 Wear Planner'!D61</f>
        <v/>
      </c>
      <c r="D40" s="116">
        <f>'6 Wear Planner'!E61</f>
        <v/>
      </c>
      <c r="E40" s="116">
        <f>'6 Wear Planner'!F61</f>
        <v/>
      </c>
      <c r="F40" s="116">
        <f>'6 Wear Planner'!G61</f>
        <v/>
      </c>
      <c r="G40" s="116">
        <f>'6 Wear Planner'!H61</f>
        <v/>
      </c>
      <c r="H40" s="116">
        <f>'6 Wear Planner'!I61</f>
        <v/>
      </c>
      <c r="I40" s="116">
        <f>'6 Wear Planner'!J61</f>
        <v/>
      </c>
      <c r="J40" s="116">
        <f>'6 Wear Planner'!K61</f>
        <v/>
      </c>
      <c r="K40" s="116">
        <f>'6 Wear Planner'!L61</f>
        <v/>
      </c>
      <c r="L40" s="116">
        <f>'6 Wear Planner'!M61</f>
        <v/>
      </c>
      <c r="M40" s="116">
        <f>'6 Wear Planner'!N61</f>
        <v/>
      </c>
      <c r="N40" s="116">
        <f>'6 Wear Planner'!O61</f>
        <v/>
      </c>
      <c r="O40" s="116">
        <f>'6 Wear Planner'!P61</f>
        <v/>
      </c>
      <c r="P40" s="116">
        <f>'6 Wear Planner'!Q61</f>
        <v/>
      </c>
      <c r="Q40" s="116">
        <f>'6 Wear Planner'!R61</f>
        <v/>
      </c>
      <c r="R40" s="116">
        <f>'6 Wear Planner'!S61</f>
        <v/>
      </c>
      <c r="S40" s="4">
        <f>'6 Wear Planner'!T61</f>
        <v/>
      </c>
      <c r="T40" s="4" t="n"/>
    </row>
    <row r="41" ht="14.25" customHeight="1" s="26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</row>
    <row r="42" ht="14.25" customHeight="1" s="26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</row>
    <row r="43" ht="14.25" customHeight="1" s="26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</row>
    <row r="44" ht="14.25" customHeight="1" s="26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</row>
    <row r="45" ht="14.25" customHeight="1" s="26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</row>
    <row r="46" ht="14.25" customHeight="1" s="26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</row>
    <row r="47" ht="14.25" customHeight="1" s="26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</row>
    <row r="48" ht="14.25" customHeight="1" s="267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</row>
    <row r="49" ht="14.25" customHeight="1" s="267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</row>
    <row r="50" ht="14.25" customHeight="1" s="26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</row>
    <row r="51" ht="14.25" customHeight="1" s="267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</row>
    <row r="52" ht="14.25" customHeight="1" s="267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</row>
    <row r="53" ht="14.25" customHeight="1" s="267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</row>
    <row r="54" ht="14.25" customHeight="1" s="267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</row>
    <row r="55" ht="14.25" customHeight="1" s="267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</row>
    <row r="56" ht="14.25" customHeight="1" s="267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</row>
    <row r="57" ht="14.25" customHeight="1" s="26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</row>
    <row r="58" ht="14.25" customHeight="1" s="267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</row>
    <row r="59" ht="14.25" customHeight="1" s="26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 ht="14.25" customHeight="1" s="26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</row>
    <row r="61" ht="14.25" customHeight="1" s="26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</row>
    <row r="62" ht="14.25" customHeight="1" s="26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</row>
    <row r="63" ht="14.25" customHeight="1" s="26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</row>
    <row r="64" ht="14.25" customHeight="1" s="26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</row>
    <row r="65" ht="14.25" customHeight="1" s="26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</row>
    <row r="66" ht="14.25" customHeight="1" s="26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</row>
    <row r="67" ht="14.25" customHeight="1" s="2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</row>
    <row r="68" ht="14.25" customHeight="1" s="26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</row>
    <row r="69" ht="14.25" customHeight="1" s="26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</row>
    <row r="70" ht="14.25" customHeight="1" s="26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</row>
    <row r="71" ht="14.25" customHeight="1" s="26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</row>
    <row r="72" ht="14.25" customHeight="1" s="26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</row>
    <row r="73" ht="14.25" customHeight="1" s="26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</row>
    <row r="74" ht="14.25" customHeight="1" s="26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</row>
    <row r="75" ht="14.25" customHeight="1" s="26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</row>
    <row r="76" ht="14.25" customHeight="1" s="26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</row>
    <row r="77" ht="14.25" customHeight="1" s="26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</row>
    <row r="78" ht="14.25" customHeight="1" s="267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</row>
    <row r="79" ht="14.25" customHeight="1" s="267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</row>
    <row r="80" ht="14.25" customHeight="1" s="267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</row>
    <row r="81" ht="14.25" customHeight="1" s="267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</row>
    <row r="82" ht="14.25" customHeight="1" s="267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</row>
    <row r="83" ht="14.25" customHeight="1" s="267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</row>
    <row r="84" ht="14.25" customHeight="1" s="267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</row>
    <row r="85" ht="14.25" customHeight="1" s="267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</row>
    <row r="86" ht="14.25" customHeight="1" s="267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</row>
    <row r="87" ht="14.25" customHeight="1" s="26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</row>
    <row r="88" ht="14.25" customHeight="1" s="267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</row>
    <row r="89" ht="14.25" customHeight="1" s="267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</row>
    <row r="90" ht="14.25" customHeight="1" s="267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</row>
    <row r="91" ht="14.25" customHeight="1" s="267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</row>
    <row r="92" ht="14.25" customHeight="1" s="267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</row>
    <row r="93" ht="14.25" customHeight="1" s="267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</row>
    <row r="94" ht="14.25" customHeight="1" s="267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</row>
    <row r="95" ht="14.25" customHeight="1" s="267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</row>
    <row r="96" ht="14.25" customHeight="1" s="267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</row>
    <row r="97" ht="14.25" customHeight="1" s="26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</row>
    <row r="98" ht="14.25" customHeight="1" s="267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</row>
    <row r="99" ht="14.25" customHeight="1" s="267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</row>
    <row r="100" ht="14.25" customHeight="1" s="267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</sheetData>
  <conditionalFormatting sqref="B29:R31">
    <cfRule type="expression" priority="1" dxfId="6" stopIfTrue="1">
      <formula>AND(B29=MAX(B$29:B$31),B33=MAX(B$33:B$35))</formula>
    </cfRule>
    <cfRule type="expression" priority="2" dxfId="2" stopIfTrue="1">
      <formula>AND(B29=MIN(B$29:B$31),B33=MAX(B$33:B$35))</formula>
    </cfRule>
    <cfRule type="expression" priority="3" dxfId="1" stopIfTrue="1">
      <formula>AND(B33=MAX(B$33:B$35),1=1)</formula>
    </cfRule>
  </conditionalFormatting>
  <conditionalFormatting sqref="B3:R3">
    <cfRule type="cellIs" priority="4" operator="equal" dxfId="3" stopIfTrue="1">
      <formula>"X"</formula>
    </cfRule>
  </conditionalFormatting>
  <conditionalFormatting sqref="B37:R39">
    <cfRule type="cellIs" priority="5" operator="lessThan" dxfId="2">
      <formula>0</formula>
    </cfRule>
    <cfRule type="cellIs" priority="6" operator="greaterThan" dxfId="1">
      <formula>0</formula>
    </cfRule>
  </conditionalFormatting>
  <pageMargins left="0.75" right="0.75" top="1" bottom="1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" customHeight="1"/>
  <cols>
    <col width="28.5" customWidth="1" style="267" min="1" max="1"/>
    <col width="12.83203125" customWidth="1" style="267" min="2" max="18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4.25" customHeight="1" s="267">
      <c r="A4" s="25" t="inlineStr">
        <is>
          <t>Prerace</t>
        </is>
      </c>
      <c r="B4" s="125" t="n"/>
      <c r="C4" s="125" t="n"/>
      <c r="D4" s="125" t="n"/>
      <c r="E4" s="125" t="n"/>
      <c r="F4" s="125" t="n"/>
      <c r="G4" s="125" t="n"/>
      <c r="H4" s="125" t="n"/>
      <c r="I4" s="125" t="n"/>
      <c r="J4" s="125" t="n"/>
      <c r="K4" s="125" t="n"/>
      <c r="L4" s="125" t="n"/>
      <c r="M4" s="125" t="n"/>
      <c r="N4" s="125" t="n"/>
      <c r="O4" s="125" t="n"/>
      <c r="P4" s="125" t="n"/>
      <c r="Q4" s="125" t="n"/>
      <c r="R4" s="125" t="n"/>
    </row>
    <row r="5" ht="14.25" customHeight="1" s="267">
      <c r="A5" s="4" t="inlineStr">
        <is>
          <t>Practice</t>
        </is>
      </c>
      <c r="B5" s="126">
        <f>-'4 Season Planner'!B13*50000</f>
        <v/>
      </c>
      <c r="C5" s="127">
        <f>-'4 Season Planner'!C13*50000</f>
        <v/>
      </c>
      <c r="D5" s="127">
        <f>-'4 Season Planner'!D13*50000</f>
        <v/>
      </c>
      <c r="E5" s="127">
        <f>-'4 Season Planner'!E13*50000</f>
        <v/>
      </c>
      <c r="F5" s="127">
        <f>-'4 Season Planner'!F13*50000</f>
        <v/>
      </c>
      <c r="G5" s="127">
        <f>-'4 Season Planner'!G13*50000</f>
        <v/>
      </c>
      <c r="H5" s="127">
        <f>-'4 Season Planner'!H13*50000</f>
        <v/>
      </c>
      <c r="I5" s="127">
        <f>-'4 Season Planner'!I13*50000</f>
        <v/>
      </c>
      <c r="J5" s="127">
        <f>-'4 Season Planner'!J13*50000</f>
        <v/>
      </c>
      <c r="K5" s="127">
        <f>-'4 Season Planner'!K13*50000</f>
        <v/>
      </c>
      <c r="L5" s="127">
        <f>-'4 Season Planner'!L13*50000</f>
        <v/>
      </c>
      <c r="M5" s="127">
        <f>-'4 Season Planner'!M13*50000</f>
        <v/>
      </c>
      <c r="N5" s="127">
        <f>-'4 Season Planner'!N13*50000</f>
        <v/>
      </c>
      <c r="O5" s="127">
        <f>-'4 Season Planner'!O13*50000</f>
        <v/>
      </c>
      <c r="P5" s="127">
        <f>-'4 Season Planner'!P13*50000</f>
        <v/>
      </c>
      <c r="Q5" s="127">
        <f>-'4 Season Planner'!Q13*50000</f>
        <v/>
      </c>
      <c r="R5" s="128">
        <f>-'4 Season Planner'!R13*50000</f>
        <v/>
      </c>
    </row>
    <row r="6" ht="14.25" customHeight="1" s="267">
      <c r="A6" s="4" t="inlineStr">
        <is>
          <t>Qualify</t>
        </is>
      </c>
      <c r="B6" s="129" t="n">
        <v>-200000</v>
      </c>
      <c r="C6" s="125" t="n">
        <v>-200000</v>
      </c>
      <c r="D6" s="125" t="n">
        <v>-200000</v>
      </c>
      <c r="E6" s="125" t="n">
        <v>-200000</v>
      </c>
      <c r="F6" s="125" t="n">
        <v>-200000</v>
      </c>
      <c r="G6" s="125" t="n">
        <v>-200000</v>
      </c>
      <c r="H6" s="125" t="n">
        <v>-200000</v>
      </c>
      <c r="I6" s="125" t="n">
        <v>-200000</v>
      </c>
      <c r="J6" s="125" t="n">
        <v>-200000</v>
      </c>
      <c r="K6" s="125" t="n">
        <v>-200000</v>
      </c>
      <c r="L6" s="125" t="n">
        <v>-200000</v>
      </c>
      <c r="M6" s="125" t="n">
        <v>-200000</v>
      </c>
      <c r="N6" s="125" t="n">
        <v>-200000</v>
      </c>
      <c r="O6" s="125" t="n">
        <v>-200000</v>
      </c>
      <c r="P6" s="125" t="n">
        <v>-200000</v>
      </c>
      <c r="Q6" s="125" t="n">
        <v>-200000</v>
      </c>
      <c r="R6" s="130" t="n">
        <v>-200000</v>
      </c>
    </row>
    <row r="7" ht="14.25" customHeight="1" s="267">
      <c r="A7" s="4" t="inlineStr">
        <is>
          <t>Testing</t>
        </is>
      </c>
      <c r="B7" s="131">
        <f>IF('6 Wear Planner'!C3+'6 Wear Planner'!C4&gt;0,-1000000,0)</f>
        <v/>
      </c>
      <c r="C7" s="132">
        <f>IF('6 Wear Planner'!D3+'6 Wear Planner'!D4&gt;0,-1000000,0)</f>
        <v/>
      </c>
      <c r="D7" s="132">
        <f>IF('6 Wear Planner'!E3+'6 Wear Planner'!E4&gt;0,-1000000,0)</f>
        <v/>
      </c>
      <c r="E7" s="132">
        <f>IF('6 Wear Planner'!F3+'6 Wear Planner'!F4&gt;0,-1000000,0)</f>
        <v/>
      </c>
      <c r="F7" s="132">
        <f>IF('6 Wear Planner'!G3+'6 Wear Planner'!G4&gt;0,-1000000,0)</f>
        <v/>
      </c>
      <c r="G7" s="132">
        <f>IF('6 Wear Planner'!H3+'6 Wear Planner'!H4&gt;0,-1000000,0)</f>
        <v/>
      </c>
      <c r="H7" s="132">
        <f>IF('6 Wear Planner'!I3+'6 Wear Planner'!I4&gt;0,-1000000,0)</f>
        <v/>
      </c>
      <c r="I7" s="132">
        <f>IF('6 Wear Planner'!J3+'6 Wear Planner'!J4&gt;0,-1000000,0)</f>
        <v/>
      </c>
      <c r="J7" s="132">
        <f>IF('6 Wear Planner'!K3+'6 Wear Planner'!K4&gt;0,-1000000,0)</f>
        <v/>
      </c>
      <c r="K7" s="132">
        <f>IF('6 Wear Planner'!L3+'6 Wear Planner'!L4&gt;0,-1000000,0)</f>
        <v/>
      </c>
      <c r="L7" s="132">
        <f>IF('6 Wear Planner'!M3+'6 Wear Planner'!M4&gt;0,-1000000,0)</f>
        <v/>
      </c>
      <c r="M7" s="132">
        <f>IF('6 Wear Planner'!N3+'6 Wear Planner'!N4&gt;0,-1000000,0)</f>
        <v/>
      </c>
      <c r="N7" s="132">
        <f>IF('6 Wear Planner'!O3+'6 Wear Planner'!O4&gt;0,-1000000,0)</f>
        <v/>
      </c>
      <c r="O7" s="132">
        <f>IF('6 Wear Planner'!P3+'6 Wear Planner'!P4&gt;0,-1000000,0)</f>
        <v/>
      </c>
      <c r="P7" s="132">
        <f>IF('6 Wear Planner'!Q3+'6 Wear Planner'!Q4&gt;0,-1000000,0)</f>
        <v/>
      </c>
      <c r="Q7" s="132">
        <f>IF('6 Wear Planner'!R3+'6 Wear Planner'!R4&gt;0,-1000000,0)</f>
        <v/>
      </c>
      <c r="R7" s="133">
        <f>IF('6 Wear Planner'!S3+'6 Wear Planner'!S4&gt;0,-1000000,0)</f>
        <v/>
      </c>
    </row>
    <row r="8" ht="14.25" customHeight="1" s="267">
      <c r="A8" s="4" t="n"/>
      <c r="B8" s="125" t="n"/>
      <c r="C8" s="125" t="n"/>
      <c r="D8" s="125" t="n"/>
      <c r="E8" s="125" t="n"/>
      <c r="F8" s="125" t="n"/>
      <c r="G8" s="125" t="n"/>
      <c r="H8" s="125" t="n"/>
      <c r="I8" s="125" t="n"/>
      <c r="J8" s="125" t="n"/>
      <c r="K8" s="125" t="n"/>
      <c r="L8" s="125" t="n"/>
      <c r="M8" s="125" t="n"/>
      <c r="N8" s="125" t="n"/>
      <c r="O8" s="125" t="n"/>
      <c r="P8" s="125" t="n"/>
      <c r="Q8" s="125" t="n"/>
      <c r="R8" s="125" t="n"/>
    </row>
    <row r="9" ht="14.25" customHeight="1" s="267">
      <c r="A9" s="4" t="inlineStr">
        <is>
          <t>Driver training</t>
        </is>
      </c>
      <c r="B9" s="126">
        <f>'12 Miscellaneous Calculations'!B20</f>
        <v/>
      </c>
      <c r="C9" s="127">
        <f>'12 Miscellaneous Calculations'!C20</f>
        <v/>
      </c>
      <c r="D9" s="127">
        <f>'12 Miscellaneous Calculations'!D20</f>
        <v/>
      </c>
      <c r="E9" s="127">
        <f>'12 Miscellaneous Calculations'!E20</f>
        <v/>
      </c>
      <c r="F9" s="127">
        <f>'12 Miscellaneous Calculations'!F20</f>
        <v/>
      </c>
      <c r="G9" s="127">
        <f>'12 Miscellaneous Calculations'!G20</f>
        <v/>
      </c>
      <c r="H9" s="127">
        <f>'12 Miscellaneous Calculations'!H20</f>
        <v/>
      </c>
      <c r="I9" s="127">
        <f>'12 Miscellaneous Calculations'!I20</f>
        <v/>
      </c>
      <c r="J9" s="127">
        <f>'12 Miscellaneous Calculations'!J20</f>
        <v/>
      </c>
      <c r="K9" s="127">
        <f>'12 Miscellaneous Calculations'!K20</f>
        <v/>
      </c>
      <c r="L9" s="127">
        <f>'12 Miscellaneous Calculations'!L20</f>
        <v/>
      </c>
      <c r="M9" s="127">
        <f>'12 Miscellaneous Calculations'!M20</f>
        <v/>
      </c>
      <c r="N9" s="127">
        <f>'12 Miscellaneous Calculations'!N20</f>
        <v/>
      </c>
      <c r="O9" s="127">
        <f>'12 Miscellaneous Calculations'!O20</f>
        <v/>
      </c>
      <c r="P9" s="127">
        <f>'12 Miscellaneous Calculations'!P20</f>
        <v/>
      </c>
      <c r="Q9" s="127">
        <f>'12 Miscellaneous Calculations'!Q20</f>
        <v/>
      </c>
      <c r="R9" s="128">
        <f>'12 Miscellaneous Calculations'!R20</f>
        <v/>
      </c>
    </row>
    <row r="10" ht="14.25" customHeight="1" s="267">
      <c r="A10" s="4" t="inlineStr">
        <is>
          <t>Staff training</t>
        </is>
      </c>
      <c r="B10" s="129">
        <f>'12 Miscellaneous Calculations'!B26</f>
        <v/>
      </c>
      <c r="C10" s="125">
        <f>'12 Miscellaneous Calculations'!C26</f>
        <v/>
      </c>
      <c r="D10" s="125">
        <f>'12 Miscellaneous Calculations'!D26</f>
        <v/>
      </c>
      <c r="E10" s="125">
        <f>'12 Miscellaneous Calculations'!E26</f>
        <v/>
      </c>
      <c r="F10" s="125">
        <f>'12 Miscellaneous Calculations'!F26</f>
        <v/>
      </c>
      <c r="G10" s="125">
        <f>'12 Miscellaneous Calculations'!G26</f>
        <v/>
      </c>
      <c r="H10" s="125">
        <f>'12 Miscellaneous Calculations'!H26</f>
        <v/>
      </c>
      <c r="I10" s="125">
        <f>'12 Miscellaneous Calculations'!I26</f>
        <v/>
      </c>
      <c r="J10" s="125">
        <f>'12 Miscellaneous Calculations'!J26</f>
        <v/>
      </c>
      <c r="K10" s="125">
        <f>'12 Miscellaneous Calculations'!K26</f>
        <v/>
      </c>
      <c r="L10" s="125">
        <f>'12 Miscellaneous Calculations'!L26</f>
        <v/>
      </c>
      <c r="M10" s="125">
        <f>'12 Miscellaneous Calculations'!M26</f>
        <v/>
      </c>
      <c r="N10" s="125">
        <f>'12 Miscellaneous Calculations'!N26</f>
        <v/>
      </c>
      <c r="O10" s="125">
        <f>'12 Miscellaneous Calculations'!O26</f>
        <v/>
      </c>
      <c r="P10" s="125">
        <f>'12 Miscellaneous Calculations'!P26</f>
        <v/>
      </c>
      <c r="Q10" s="125">
        <f>'12 Miscellaneous Calculations'!Q26</f>
        <v/>
      </c>
      <c r="R10" s="130">
        <f>'12 Miscellaneous Calculations'!R26</f>
        <v/>
      </c>
    </row>
    <row r="11" ht="14.25" customHeight="1" s="267">
      <c r="A11" s="4" t="inlineStr">
        <is>
          <t>Facility upgrades</t>
        </is>
      </c>
      <c r="B11" s="131">
        <f>'12 Miscellaneous Calculations'!B36</f>
        <v/>
      </c>
      <c r="C11" s="132">
        <f>'12 Miscellaneous Calculations'!C36</f>
        <v/>
      </c>
      <c r="D11" s="132">
        <f>'12 Miscellaneous Calculations'!D36</f>
        <v/>
      </c>
      <c r="E11" s="132">
        <f>'12 Miscellaneous Calculations'!E36</f>
        <v/>
      </c>
      <c r="F11" s="132">
        <f>'12 Miscellaneous Calculations'!F36</f>
        <v/>
      </c>
      <c r="G11" s="132">
        <f>'12 Miscellaneous Calculations'!G36</f>
        <v/>
      </c>
      <c r="H11" s="132">
        <f>'12 Miscellaneous Calculations'!H36</f>
        <v/>
      </c>
      <c r="I11" s="132">
        <f>'12 Miscellaneous Calculations'!I36</f>
        <v/>
      </c>
      <c r="J11" s="132">
        <f>'12 Miscellaneous Calculations'!J36</f>
        <v/>
      </c>
      <c r="K11" s="132">
        <f>'12 Miscellaneous Calculations'!K36</f>
        <v/>
      </c>
      <c r="L11" s="132">
        <f>'12 Miscellaneous Calculations'!L36</f>
        <v/>
      </c>
      <c r="M11" s="132">
        <f>'12 Miscellaneous Calculations'!M36</f>
        <v/>
      </c>
      <c r="N11" s="132">
        <f>'12 Miscellaneous Calculations'!N36</f>
        <v/>
      </c>
      <c r="O11" s="132">
        <f>'12 Miscellaneous Calculations'!O36</f>
        <v/>
      </c>
      <c r="P11" s="132">
        <f>'12 Miscellaneous Calculations'!P36</f>
        <v/>
      </c>
      <c r="Q11" s="132">
        <f>'12 Miscellaneous Calculations'!Q36</f>
        <v/>
      </c>
      <c r="R11" s="133">
        <f>'12 Miscellaneous Calculations'!R36</f>
        <v/>
      </c>
    </row>
    <row r="12" ht="14.25" customHeight="1" s="267">
      <c r="A12" s="4" t="n"/>
      <c r="B12" s="125" t="n"/>
      <c r="C12" s="125" t="n"/>
      <c r="D12" s="125" t="n"/>
      <c r="E12" s="125" t="n"/>
      <c r="F12" s="125" t="n"/>
      <c r="G12" s="125" t="n"/>
      <c r="H12" s="125" t="n"/>
      <c r="I12" s="125" t="n"/>
      <c r="J12" s="125" t="n"/>
      <c r="K12" s="125" t="n"/>
      <c r="L12" s="125" t="n"/>
      <c r="M12" s="125" t="n"/>
      <c r="N12" s="125" t="n"/>
      <c r="O12" s="125" t="n"/>
      <c r="P12" s="125" t="n"/>
      <c r="Q12" s="125" t="n"/>
      <c r="R12" s="125" t="n"/>
    </row>
    <row r="13" ht="14.25" customHeight="1" s="267">
      <c r="A13" s="4" t="inlineStr">
        <is>
          <t>Other</t>
        </is>
      </c>
      <c r="B13" s="134">
        <f>-'4 Season Planner'!B39</f>
        <v/>
      </c>
      <c r="C13" s="134">
        <f>-'4 Season Planner'!C39</f>
        <v/>
      </c>
      <c r="D13" s="134">
        <f>-'4 Season Planner'!D39</f>
        <v/>
      </c>
      <c r="E13" s="134">
        <f>-'4 Season Planner'!E39</f>
        <v/>
      </c>
      <c r="F13" s="134">
        <f>-'4 Season Planner'!F39</f>
        <v/>
      </c>
      <c r="G13" s="134">
        <f>-'4 Season Planner'!G39</f>
        <v/>
      </c>
      <c r="H13" s="134">
        <f>-'4 Season Planner'!H39</f>
        <v/>
      </c>
      <c r="I13" s="134">
        <f>-'4 Season Planner'!I39</f>
        <v/>
      </c>
      <c r="J13" s="134">
        <f>-'4 Season Planner'!J39</f>
        <v/>
      </c>
      <c r="K13" s="134">
        <f>-'4 Season Planner'!K39</f>
        <v/>
      </c>
      <c r="L13" s="134">
        <f>-'4 Season Planner'!L39</f>
        <v/>
      </c>
      <c r="M13" s="134">
        <f>-'4 Season Planner'!M39</f>
        <v/>
      </c>
      <c r="N13" s="134">
        <f>-'4 Season Planner'!N39</f>
        <v/>
      </c>
      <c r="O13" s="134">
        <f>-'4 Season Planner'!O39</f>
        <v/>
      </c>
      <c r="P13" s="134">
        <f>-'4 Season Planner'!P39</f>
        <v/>
      </c>
      <c r="Q13" s="134">
        <f>-'4 Season Planner'!Q39</f>
        <v/>
      </c>
      <c r="R13" s="135">
        <f>-'4 Season Planner'!R39</f>
        <v/>
      </c>
    </row>
    <row r="14" ht="14.25" customHeight="1" s="267">
      <c r="A14" s="4" t="n"/>
      <c r="B14" s="125" t="n"/>
      <c r="C14" s="125" t="n"/>
      <c r="D14" s="125" t="n"/>
      <c r="E14" s="125" t="n"/>
      <c r="F14" s="125" t="n"/>
      <c r="G14" s="125" t="n"/>
      <c r="H14" s="125" t="n"/>
      <c r="I14" s="125" t="n"/>
      <c r="J14" s="125" t="n"/>
      <c r="K14" s="125" t="n"/>
      <c r="L14" s="125" t="n"/>
      <c r="M14" s="125" t="n"/>
      <c r="N14" s="125" t="n"/>
      <c r="O14" s="125" t="n"/>
      <c r="P14" s="125" t="n"/>
      <c r="Q14" s="125" t="n"/>
      <c r="R14" s="125" t="n"/>
    </row>
    <row r="15" ht="14.25" customHeight="1" s="267">
      <c r="A15" s="25" t="inlineStr">
        <is>
          <t>Car upgrades</t>
        </is>
      </c>
      <c r="B15" s="125" t="n"/>
      <c r="C15" s="125" t="n"/>
      <c r="D15" s="125" t="n"/>
      <c r="E15" s="125" t="n"/>
      <c r="F15" s="125" t="n"/>
      <c r="G15" s="125" t="n"/>
      <c r="H15" s="125" t="n"/>
      <c r="I15" s="125" t="n"/>
      <c r="J15" s="125" t="n"/>
      <c r="K15" s="125" t="n"/>
      <c r="L15" s="125" t="n"/>
      <c r="M15" s="125" t="n"/>
      <c r="N15" s="125" t="n"/>
      <c r="O15" s="125" t="n"/>
      <c r="P15" s="125" t="n"/>
      <c r="Q15" s="125" t="n"/>
      <c r="R15" s="125" t="n"/>
    </row>
    <row r="16" ht="14.25" customHeight="1" s="267">
      <c r="A16" s="4" t="inlineStr">
        <is>
          <t>Chassis</t>
        </is>
      </c>
      <c r="B16" s="126">
        <f t="array" ref="B16">-IF(LEFT('6 Wear Planner'!C34,5)="Level",INDEX('13 Miscellaneous Data'!$C13:$K13,1,RIGHT('6 Wear Planner'!C34,1)),0)</f>
        <v/>
      </c>
      <c r="C16" s="127">
        <f t="array" ref="C16">-IF(LEFT('6 Wear Planner'!D34,5)="Level",INDEX('13 Miscellaneous Data'!$C13:$K13,1,RIGHT('6 Wear Planner'!D34,1)),0)</f>
        <v/>
      </c>
      <c r="D16" s="127">
        <f t="array" ref="D16">-IF(LEFT('6 Wear Planner'!E34,5)="Level",INDEX('13 Miscellaneous Data'!$C13:$K13,1,RIGHT('6 Wear Planner'!E34,1)),0)</f>
        <v/>
      </c>
      <c r="E16" s="127">
        <f t="array" ref="E16">-IF(LEFT('6 Wear Planner'!F34,5)="Level",INDEX('13 Miscellaneous Data'!$C13:$K13,1,RIGHT('6 Wear Planner'!F34,1)),0)</f>
        <v/>
      </c>
      <c r="F16" s="127">
        <f t="array" ref="F16">-IF(LEFT('6 Wear Planner'!G34,5)="Level",INDEX('13 Miscellaneous Data'!$C13:$K13,1,RIGHT('6 Wear Planner'!G34,1)),0)</f>
        <v/>
      </c>
      <c r="G16" s="127">
        <f t="array" ref="G16">-IF(LEFT('6 Wear Planner'!H34,5)="Level",INDEX('13 Miscellaneous Data'!$C13:$K13,1,RIGHT('6 Wear Planner'!H34,1)),0)</f>
        <v/>
      </c>
      <c r="H16" s="127">
        <f t="array" ref="H16">-IF(LEFT('6 Wear Planner'!I34,5)="Level",INDEX('13 Miscellaneous Data'!$C13:$K13,1,RIGHT('6 Wear Planner'!I34,1)),0)</f>
        <v/>
      </c>
      <c r="I16" s="127">
        <f t="array" ref="I16">-IF(LEFT('6 Wear Planner'!J34,5)="Level",INDEX('13 Miscellaneous Data'!$C13:$K13,1,RIGHT('6 Wear Planner'!J34,1)),0)</f>
        <v/>
      </c>
      <c r="J16" s="127">
        <f t="array" ref="J16">-IF(LEFT('6 Wear Planner'!K34,5)="Level",INDEX('13 Miscellaneous Data'!$C13:$K13,1,RIGHT('6 Wear Planner'!K34,1)),0)</f>
        <v/>
      </c>
      <c r="K16" s="127">
        <f t="array" ref="K16">-IF(LEFT('6 Wear Planner'!L34,5)="Level",INDEX('13 Miscellaneous Data'!$C13:$K13,1,RIGHT('6 Wear Planner'!L34,1)),0)</f>
        <v/>
      </c>
      <c r="L16" s="127">
        <f t="array" ref="L16">-IF(LEFT('6 Wear Planner'!M34,5)="Level",INDEX('13 Miscellaneous Data'!$C13:$K13,1,RIGHT('6 Wear Planner'!M34,1)),0)</f>
        <v/>
      </c>
      <c r="M16" s="127">
        <f t="array" ref="M16">-IF(LEFT('6 Wear Planner'!N34,5)="Level",INDEX('13 Miscellaneous Data'!$C13:$K13,1,RIGHT('6 Wear Planner'!N34,1)),0)</f>
        <v/>
      </c>
      <c r="N16" s="127">
        <f t="array" ref="N16">-IF(LEFT('6 Wear Planner'!O34,5)="Level",INDEX('13 Miscellaneous Data'!$C13:$K13,1,RIGHT('6 Wear Planner'!O34,1)),0)</f>
        <v/>
      </c>
      <c r="O16" s="127">
        <f t="array" ref="O16">-IF(LEFT('6 Wear Planner'!P34,5)="Level",INDEX('13 Miscellaneous Data'!$C13:$K13,1,RIGHT('6 Wear Planner'!P34,1)),0)</f>
        <v/>
      </c>
      <c r="P16" s="127">
        <f t="array" ref="P16">-IF(LEFT('6 Wear Planner'!Q34,5)="Level",INDEX('13 Miscellaneous Data'!$C13:$K13,1,RIGHT('6 Wear Planner'!Q34,1)),0)</f>
        <v/>
      </c>
      <c r="Q16" s="127">
        <f t="array" ref="Q16">-IF(LEFT('6 Wear Planner'!R34,5)="Level",INDEX('13 Miscellaneous Data'!$C13:$K13,1,RIGHT('6 Wear Planner'!R34,1)),0)</f>
        <v/>
      </c>
      <c r="R16" s="128">
        <f t="array" ref="R16">-IF(LEFT('6 Wear Planner'!S34,5)="Level",INDEX('13 Miscellaneous Data'!$C13:$K13,1,RIGHT('6 Wear Planner'!S34,1)),0)</f>
        <v/>
      </c>
    </row>
    <row r="17" ht="14.25" customHeight="1" s="267">
      <c r="A17" s="4" t="inlineStr">
        <is>
          <t>Engine</t>
        </is>
      </c>
      <c r="B17" s="129">
        <f t="array" ref="B17">-IF(LEFT('6 Wear Planner'!C35,5)="Level",INDEX('13 Miscellaneous Data'!$C14:$K14,1,RIGHT('6 Wear Planner'!C35,1)),0)</f>
        <v/>
      </c>
      <c r="C17" s="125">
        <f t="array" ref="C17">-IF(LEFT('6 Wear Planner'!D35,5)="Level",INDEX('13 Miscellaneous Data'!$C14:$K14,1,RIGHT('6 Wear Planner'!D35,1)),0)</f>
        <v/>
      </c>
      <c r="D17" s="125">
        <f t="array" ref="D17">-IF(LEFT('6 Wear Planner'!E35,5)="Level",INDEX('13 Miscellaneous Data'!$C14:$K14,1,RIGHT('6 Wear Planner'!E35,1)),0)</f>
        <v/>
      </c>
      <c r="E17" s="125">
        <f t="array" ref="E17">-IF(LEFT('6 Wear Planner'!F35,5)="Level",INDEX('13 Miscellaneous Data'!$C14:$K14,1,RIGHT('6 Wear Planner'!F35,1)),0)</f>
        <v/>
      </c>
      <c r="F17" s="125">
        <f t="array" ref="F17">-IF(LEFT('6 Wear Planner'!G35,5)="Level",INDEX('13 Miscellaneous Data'!$C14:$K14,1,RIGHT('6 Wear Planner'!G35,1)),0)</f>
        <v/>
      </c>
      <c r="G17" s="125">
        <f t="array" ref="G17">-IF(LEFT('6 Wear Planner'!H35,5)="Level",INDEX('13 Miscellaneous Data'!$C14:$K14,1,RIGHT('6 Wear Planner'!H35,1)),0)</f>
        <v/>
      </c>
      <c r="H17" s="125">
        <f t="array" ref="H17">-IF(LEFT('6 Wear Planner'!I35,5)="Level",INDEX('13 Miscellaneous Data'!$C14:$K14,1,RIGHT('6 Wear Planner'!I35,1)),0)</f>
        <v/>
      </c>
      <c r="I17" s="125">
        <f t="array" ref="I17">-IF(LEFT('6 Wear Planner'!J35,5)="Level",INDEX('13 Miscellaneous Data'!$C14:$K14,1,RIGHT('6 Wear Planner'!J35,1)),0)</f>
        <v/>
      </c>
      <c r="J17" s="125">
        <f t="array" ref="J17">-IF(LEFT('6 Wear Planner'!K35,5)="Level",INDEX('13 Miscellaneous Data'!$C14:$K14,1,RIGHT('6 Wear Planner'!K35,1)),0)</f>
        <v/>
      </c>
      <c r="K17" s="125">
        <f t="array" ref="K17">-IF(LEFT('6 Wear Planner'!L35,5)="Level",INDEX('13 Miscellaneous Data'!$C14:$K14,1,RIGHT('6 Wear Planner'!L35,1)),0)</f>
        <v/>
      </c>
      <c r="L17" s="125">
        <f t="array" ref="L17">-IF(LEFT('6 Wear Planner'!M35,5)="Level",INDEX('13 Miscellaneous Data'!$C14:$K14,1,RIGHT('6 Wear Planner'!M35,1)),0)</f>
        <v/>
      </c>
      <c r="M17" s="125">
        <f t="array" ref="M17">-IF(LEFT('6 Wear Planner'!N35,5)="Level",INDEX('13 Miscellaneous Data'!$C14:$K14,1,RIGHT('6 Wear Planner'!N35,1)),0)</f>
        <v/>
      </c>
      <c r="N17" s="125">
        <f t="array" ref="N17">-IF(LEFT('6 Wear Planner'!O35,5)="Level",INDEX('13 Miscellaneous Data'!$C14:$K14,1,RIGHT('6 Wear Planner'!O35,1)),0)</f>
        <v/>
      </c>
      <c r="O17" s="125">
        <f t="array" ref="O17">-IF(LEFT('6 Wear Planner'!P35,5)="Level",INDEX('13 Miscellaneous Data'!$C14:$K14,1,RIGHT('6 Wear Planner'!P35,1)),0)</f>
        <v/>
      </c>
      <c r="P17" s="125">
        <f t="array" ref="P17">-IF(LEFT('6 Wear Planner'!Q35,5)="Level",INDEX('13 Miscellaneous Data'!$C14:$K14,1,RIGHT('6 Wear Planner'!Q35,1)),0)</f>
        <v/>
      </c>
      <c r="Q17" s="125">
        <f t="array" ref="Q17">-IF(LEFT('6 Wear Planner'!R35,5)="Level",INDEX('13 Miscellaneous Data'!$C14:$K14,1,RIGHT('6 Wear Planner'!R35,1)),0)</f>
        <v/>
      </c>
      <c r="R17" s="130">
        <f t="array" ref="R17">-IF(LEFT('6 Wear Planner'!S35,5)="Level",INDEX('13 Miscellaneous Data'!$C14:$K14,1,RIGHT('6 Wear Planner'!S35,1)),0)</f>
        <v/>
      </c>
    </row>
    <row r="18" ht="14.25" customHeight="1" s="267">
      <c r="A18" s="4" t="inlineStr">
        <is>
          <t>Front Wing</t>
        </is>
      </c>
      <c r="B18" s="129">
        <f t="array" ref="B18">-IF(LEFT('6 Wear Planner'!C36,5)="Level",INDEX('13 Miscellaneous Data'!$C15:$K15,1,RIGHT('6 Wear Planner'!C36,1)),0)</f>
        <v/>
      </c>
      <c r="C18" s="125">
        <f t="array" ref="C18">-IF(LEFT('6 Wear Planner'!D36,5)="Level",INDEX('13 Miscellaneous Data'!$C15:$K15,1,RIGHT('6 Wear Planner'!D36,1)),0)</f>
        <v/>
      </c>
      <c r="D18" s="125">
        <f t="array" ref="D18">-IF(LEFT('6 Wear Planner'!E36,5)="Level",INDEX('13 Miscellaneous Data'!$C15:$K15,1,RIGHT('6 Wear Planner'!E36,1)),0)</f>
        <v/>
      </c>
      <c r="E18" s="125">
        <f t="array" ref="E18">-IF(LEFT('6 Wear Planner'!F36,5)="Level",INDEX('13 Miscellaneous Data'!$C15:$K15,1,RIGHT('6 Wear Planner'!F36,1)),0)</f>
        <v/>
      </c>
      <c r="F18" s="125">
        <f t="array" ref="F18">-IF(LEFT('6 Wear Planner'!G36,5)="Level",INDEX('13 Miscellaneous Data'!$C15:$K15,1,RIGHT('6 Wear Planner'!G36,1)),0)</f>
        <v/>
      </c>
      <c r="G18" s="125">
        <f t="array" ref="G18">-IF(LEFT('6 Wear Planner'!H36,5)="Level",INDEX('13 Miscellaneous Data'!$C15:$K15,1,RIGHT('6 Wear Planner'!H36,1)),0)</f>
        <v/>
      </c>
      <c r="H18" s="125">
        <f t="array" ref="H18">-IF(LEFT('6 Wear Planner'!I36,5)="Level",INDEX('13 Miscellaneous Data'!$C15:$K15,1,RIGHT('6 Wear Planner'!I36,1)),0)</f>
        <v/>
      </c>
      <c r="I18" s="125">
        <f t="array" ref="I18">-IF(LEFT('6 Wear Planner'!J36,5)="Level",INDEX('13 Miscellaneous Data'!$C15:$K15,1,RIGHT('6 Wear Planner'!J36,1)),0)</f>
        <v/>
      </c>
      <c r="J18" s="125">
        <f t="array" ref="J18">-IF(LEFT('6 Wear Planner'!K36,5)="Level",INDEX('13 Miscellaneous Data'!$C15:$K15,1,RIGHT('6 Wear Planner'!K36,1)),0)</f>
        <v/>
      </c>
      <c r="K18" s="125">
        <f t="array" ref="K18">-IF(LEFT('6 Wear Planner'!L36,5)="Level",INDEX('13 Miscellaneous Data'!$C15:$K15,1,RIGHT('6 Wear Planner'!L36,1)),0)</f>
        <v/>
      </c>
      <c r="L18" s="125">
        <f t="array" ref="L18">-IF(LEFT('6 Wear Planner'!M36,5)="Level",INDEX('13 Miscellaneous Data'!$C15:$K15,1,RIGHT('6 Wear Planner'!M36,1)),0)</f>
        <v/>
      </c>
      <c r="M18" s="125">
        <f t="array" ref="M18">-IF(LEFT('6 Wear Planner'!N36,5)="Level",INDEX('13 Miscellaneous Data'!$C15:$K15,1,RIGHT('6 Wear Planner'!N36,1)),0)</f>
        <v/>
      </c>
      <c r="N18" s="125">
        <f t="array" ref="N18">-IF(LEFT('6 Wear Planner'!O36,5)="Level",INDEX('13 Miscellaneous Data'!$C15:$K15,1,RIGHT('6 Wear Planner'!O36,1)),0)</f>
        <v/>
      </c>
      <c r="O18" s="125">
        <f t="array" ref="O18">-IF(LEFT('6 Wear Planner'!P36,5)="Level",INDEX('13 Miscellaneous Data'!$C15:$K15,1,RIGHT('6 Wear Planner'!P36,1)),0)</f>
        <v/>
      </c>
      <c r="P18" s="125">
        <f t="array" ref="P18">-IF(LEFT('6 Wear Planner'!Q36,5)="Level",INDEX('13 Miscellaneous Data'!$C15:$K15,1,RIGHT('6 Wear Planner'!Q36,1)),0)</f>
        <v/>
      </c>
      <c r="Q18" s="125">
        <f t="array" ref="Q18">-IF(LEFT('6 Wear Planner'!R36,5)="Level",INDEX('13 Miscellaneous Data'!$C15:$K15,1,RIGHT('6 Wear Planner'!R36,1)),0)</f>
        <v/>
      </c>
      <c r="R18" s="130">
        <f t="array" ref="R18">-IF(LEFT('6 Wear Planner'!S36,5)="Level",INDEX('13 Miscellaneous Data'!$C15:$K15,1,RIGHT('6 Wear Planner'!S36,1)),0)</f>
        <v/>
      </c>
    </row>
    <row r="19" ht="14.25" customHeight="1" s="267">
      <c r="A19" s="4" t="inlineStr">
        <is>
          <t>Rear Wing</t>
        </is>
      </c>
      <c r="B19" s="129">
        <f t="array" ref="B19">-IF(LEFT('6 Wear Planner'!C37,5)="Level",INDEX('13 Miscellaneous Data'!$C16:$K16,1,RIGHT('6 Wear Planner'!C37,1)),0)</f>
        <v/>
      </c>
      <c r="C19" s="125">
        <f t="array" ref="C19">-IF(LEFT('6 Wear Planner'!D37,5)="Level",INDEX('13 Miscellaneous Data'!$C16:$K16,1,RIGHT('6 Wear Planner'!D37,1)),0)</f>
        <v/>
      </c>
      <c r="D19" s="125">
        <f t="array" ref="D19">-IF(LEFT('6 Wear Planner'!E37,5)="Level",INDEX('13 Miscellaneous Data'!$C16:$K16,1,RIGHT('6 Wear Planner'!E37,1)),0)</f>
        <v/>
      </c>
      <c r="E19" s="125">
        <f t="array" ref="E19">-IF(LEFT('6 Wear Planner'!F37,5)="Level",INDEX('13 Miscellaneous Data'!$C16:$K16,1,RIGHT('6 Wear Planner'!F37,1)),0)</f>
        <v/>
      </c>
      <c r="F19" s="125">
        <f t="array" ref="F19">-IF(LEFT('6 Wear Planner'!G37,5)="Level",INDEX('13 Miscellaneous Data'!$C16:$K16,1,RIGHT('6 Wear Planner'!G37,1)),0)</f>
        <v/>
      </c>
      <c r="G19" s="125">
        <f t="array" ref="G19">-IF(LEFT('6 Wear Planner'!H37,5)="Level",INDEX('13 Miscellaneous Data'!$C16:$K16,1,RIGHT('6 Wear Planner'!H37,1)),0)</f>
        <v/>
      </c>
      <c r="H19" s="125">
        <f t="array" ref="H19">-IF(LEFT('6 Wear Planner'!I37,5)="Level",INDEX('13 Miscellaneous Data'!$C16:$K16,1,RIGHT('6 Wear Planner'!I37,1)),0)</f>
        <v/>
      </c>
      <c r="I19" s="125">
        <f t="array" ref="I19">-IF(LEFT('6 Wear Planner'!J37,5)="Level",INDEX('13 Miscellaneous Data'!$C16:$K16,1,RIGHT('6 Wear Planner'!J37,1)),0)</f>
        <v/>
      </c>
      <c r="J19" s="125">
        <f t="array" ref="J19">-IF(LEFT('6 Wear Planner'!K37,5)="Level",INDEX('13 Miscellaneous Data'!$C16:$K16,1,RIGHT('6 Wear Planner'!K37,1)),0)</f>
        <v/>
      </c>
      <c r="K19" s="125">
        <f t="array" ref="K19">-IF(LEFT('6 Wear Planner'!L37,5)="Level",INDEX('13 Miscellaneous Data'!$C16:$K16,1,RIGHT('6 Wear Planner'!L37,1)),0)</f>
        <v/>
      </c>
      <c r="L19" s="125">
        <f t="array" ref="L19">-IF(LEFT('6 Wear Planner'!M37,5)="Level",INDEX('13 Miscellaneous Data'!$C16:$K16,1,RIGHT('6 Wear Planner'!M37,1)),0)</f>
        <v/>
      </c>
      <c r="M19" s="125">
        <f t="array" ref="M19">-IF(LEFT('6 Wear Planner'!N37,5)="Level",INDEX('13 Miscellaneous Data'!$C16:$K16,1,RIGHT('6 Wear Planner'!N37,1)),0)</f>
        <v/>
      </c>
      <c r="N19" s="125">
        <f t="array" ref="N19">-IF(LEFT('6 Wear Planner'!O37,5)="Level",INDEX('13 Miscellaneous Data'!$C16:$K16,1,RIGHT('6 Wear Planner'!O37,1)),0)</f>
        <v/>
      </c>
      <c r="O19" s="125">
        <f t="array" ref="O19">-IF(LEFT('6 Wear Planner'!P37,5)="Level",INDEX('13 Miscellaneous Data'!$C16:$K16,1,RIGHT('6 Wear Planner'!P37,1)),0)</f>
        <v/>
      </c>
      <c r="P19" s="125">
        <f t="array" ref="P19">-IF(LEFT('6 Wear Planner'!Q37,5)="Level",INDEX('13 Miscellaneous Data'!$C16:$K16,1,RIGHT('6 Wear Planner'!Q37,1)),0)</f>
        <v/>
      </c>
      <c r="Q19" s="125">
        <f t="array" ref="Q19">-IF(LEFT('6 Wear Planner'!R37,5)="Level",INDEX('13 Miscellaneous Data'!$C16:$K16,1,RIGHT('6 Wear Planner'!R37,1)),0)</f>
        <v/>
      </c>
      <c r="R19" s="130">
        <f t="array" ref="R19">-IF(LEFT('6 Wear Planner'!S37,5)="Level",INDEX('13 Miscellaneous Data'!$C16:$K16,1,RIGHT('6 Wear Planner'!S37,1)),0)</f>
        <v/>
      </c>
    </row>
    <row r="20" ht="14.25" customHeight="1" s="267">
      <c r="A20" s="4" t="inlineStr">
        <is>
          <t>Underbody</t>
        </is>
      </c>
      <c r="B20" s="129">
        <f t="array" ref="B20">-IF(LEFT('6 Wear Planner'!C38,5)="Level",INDEX('13 Miscellaneous Data'!$C17:$K17,1,RIGHT('6 Wear Planner'!C38,1)),0)</f>
        <v/>
      </c>
      <c r="C20" s="125">
        <f t="array" ref="C20">-IF(LEFT('6 Wear Planner'!D38,5)="Level",INDEX('13 Miscellaneous Data'!$C17:$K17,1,RIGHT('6 Wear Planner'!D38,1)),0)</f>
        <v/>
      </c>
      <c r="D20" s="125">
        <f t="array" ref="D20">-IF(LEFT('6 Wear Planner'!E38,5)="Level",INDEX('13 Miscellaneous Data'!$C17:$K17,1,RIGHT('6 Wear Planner'!E38,1)),0)</f>
        <v/>
      </c>
      <c r="E20" s="125">
        <f t="array" ref="E20">-IF(LEFT('6 Wear Planner'!F38,5)="Level",INDEX('13 Miscellaneous Data'!$C17:$K17,1,RIGHT('6 Wear Planner'!F38,1)),0)</f>
        <v/>
      </c>
      <c r="F20" s="125">
        <f t="array" ref="F20">-IF(LEFT('6 Wear Planner'!G38,5)="Level",INDEX('13 Miscellaneous Data'!$C17:$K17,1,RIGHT('6 Wear Planner'!G38,1)),0)</f>
        <v/>
      </c>
      <c r="G20" s="125">
        <f t="array" ref="G20">-IF(LEFT('6 Wear Planner'!H38,5)="Level",INDEX('13 Miscellaneous Data'!$C17:$K17,1,RIGHT('6 Wear Planner'!H38,1)),0)</f>
        <v/>
      </c>
      <c r="H20" s="125">
        <f t="array" ref="H20">-IF(LEFT('6 Wear Planner'!I38,5)="Level",INDEX('13 Miscellaneous Data'!$C17:$K17,1,RIGHT('6 Wear Planner'!I38,1)),0)</f>
        <v/>
      </c>
      <c r="I20" s="125">
        <f t="array" ref="I20">-IF(LEFT('6 Wear Planner'!J38,5)="Level",INDEX('13 Miscellaneous Data'!$C17:$K17,1,RIGHT('6 Wear Planner'!J38,1)),0)</f>
        <v/>
      </c>
      <c r="J20" s="125">
        <f t="array" ref="J20">-IF(LEFT('6 Wear Planner'!K38,5)="Level",INDEX('13 Miscellaneous Data'!$C17:$K17,1,RIGHT('6 Wear Planner'!K38,1)),0)</f>
        <v/>
      </c>
      <c r="K20" s="125">
        <f t="array" ref="K20">-IF(LEFT('6 Wear Planner'!L38,5)="Level",INDEX('13 Miscellaneous Data'!$C17:$K17,1,RIGHT('6 Wear Planner'!L38,1)),0)</f>
        <v/>
      </c>
      <c r="L20" s="125">
        <f t="array" ref="L20">-IF(LEFT('6 Wear Planner'!M38,5)="Level",INDEX('13 Miscellaneous Data'!$C17:$K17,1,RIGHT('6 Wear Planner'!M38,1)),0)</f>
        <v/>
      </c>
      <c r="M20" s="125">
        <f t="array" ref="M20">-IF(LEFT('6 Wear Planner'!N38,5)="Level",INDEX('13 Miscellaneous Data'!$C17:$K17,1,RIGHT('6 Wear Planner'!N38,1)),0)</f>
        <v/>
      </c>
      <c r="N20" s="125">
        <f t="array" ref="N20">-IF(LEFT('6 Wear Planner'!O38,5)="Level",INDEX('13 Miscellaneous Data'!$C17:$K17,1,RIGHT('6 Wear Planner'!O38,1)),0)</f>
        <v/>
      </c>
      <c r="O20" s="125">
        <f t="array" ref="O20">-IF(LEFT('6 Wear Planner'!P38,5)="Level",INDEX('13 Miscellaneous Data'!$C17:$K17,1,RIGHT('6 Wear Planner'!P38,1)),0)</f>
        <v/>
      </c>
      <c r="P20" s="125">
        <f t="array" ref="P20">-IF(LEFT('6 Wear Planner'!Q38,5)="Level",INDEX('13 Miscellaneous Data'!$C17:$K17,1,RIGHT('6 Wear Planner'!Q38,1)),0)</f>
        <v/>
      </c>
      <c r="Q20" s="125">
        <f t="array" ref="Q20">-IF(LEFT('6 Wear Planner'!R38,5)="Level",INDEX('13 Miscellaneous Data'!$C17:$K17,1,RIGHT('6 Wear Planner'!R38,1)),0)</f>
        <v/>
      </c>
      <c r="R20" s="130">
        <f t="array" ref="R20">-IF(LEFT('6 Wear Planner'!S38,5)="Level",INDEX('13 Miscellaneous Data'!$C17:$K17,1,RIGHT('6 Wear Planner'!S38,1)),0)</f>
        <v/>
      </c>
    </row>
    <row r="21" ht="14.25" customHeight="1" s="267">
      <c r="A21" s="4" t="inlineStr">
        <is>
          <t>Sidepods</t>
        </is>
      </c>
      <c r="B21" s="129">
        <f t="array" ref="B21">-IF(LEFT('6 Wear Planner'!C39,5)="Level",INDEX('13 Miscellaneous Data'!$C18:$K18,1,RIGHT('6 Wear Planner'!C39,1)),0)</f>
        <v/>
      </c>
      <c r="C21" s="125">
        <f t="array" ref="C21">-IF(LEFT('6 Wear Planner'!D39,5)="Level",INDEX('13 Miscellaneous Data'!$C18:$K18,1,RIGHT('6 Wear Planner'!D39,1)),0)</f>
        <v/>
      </c>
      <c r="D21" s="125">
        <f t="array" ref="D21">-IF(LEFT('6 Wear Planner'!E39,5)="Level",INDEX('13 Miscellaneous Data'!$C18:$K18,1,RIGHT('6 Wear Planner'!E39,1)),0)</f>
        <v/>
      </c>
      <c r="E21" s="125">
        <f t="array" ref="E21">-IF(LEFT('6 Wear Planner'!F39,5)="Level",INDEX('13 Miscellaneous Data'!$C18:$K18,1,RIGHT('6 Wear Planner'!F39,1)),0)</f>
        <v/>
      </c>
      <c r="F21" s="125">
        <f t="array" ref="F21">-IF(LEFT('6 Wear Planner'!G39,5)="Level",INDEX('13 Miscellaneous Data'!$C18:$K18,1,RIGHT('6 Wear Planner'!G39,1)),0)</f>
        <v/>
      </c>
      <c r="G21" s="125">
        <f t="array" ref="G21">-IF(LEFT('6 Wear Planner'!H39,5)="Level",INDEX('13 Miscellaneous Data'!$C18:$K18,1,RIGHT('6 Wear Planner'!H39,1)),0)</f>
        <v/>
      </c>
      <c r="H21" s="125">
        <f t="array" ref="H21">-IF(LEFT('6 Wear Planner'!I39,5)="Level",INDEX('13 Miscellaneous Data'!$C18:$K18,1,RIGHT('6 Wear Planner'!I39,1)),0)</f>
        <v/>
      </c>
      <c r="I21" s="125">
        <f t="array" ref="I21">-IF(LEFT('6 Wear Planner'!J39,5)="Level",INDEX('13 Miscellaneous Data'!$C18:$K18,1,RIGHT('6 Wear Planner'!J39,1)),0)</f>
        <v/>
      </c>
      <c r="J21" s="125">
        <f t="array" ref="J21">-IF(LEFT('6 Wear Planner'!K39,5)="Level",INDEX('13 Miscellaneous Data'!$C18:$K18,1,RIGHT('6 Wear Planner'!K39,1)),0)</f>
        <v/>
      </c>
      <c r="K21" s="125">
        <f t="array" ref="K21">-IF(LEFT('6 Wear Planner'!L39,5)="Level",INDEX('13 Miscellaneous Data'!$C18:$K18,1,RIGHT('6 Wear Planner'!L39,1)),0)</f>
        <v/>
      </c>
      <c r="L21" s="125">
        <f t="array" ref="L21">-IF(LEFT('6 Wear Planner'!M39,5)="Level",INDEX('13 Miscellaneous Data'!$C18:$K18,1,RIGHT('6 Wear Planner'!M39,1)),0)</f>
        <v/>
      </c>
      <c r="M21" s="125">
        <f t="array" ref="M21">-IF(LEFT('6 Wear Planner'!N39,5)="Level",INDEX('13 Miscellaneous Data'!$C18:$K18,1,RIGHT('6 Wear Planner'!N39,1)),0)</f>
        <v/>
      </c>
      <c r="N21" s="125">
        <f t="array" ref="N21">-IF(LEFT('6 Wear Planner'!O39,5)="Level",INDEX('13 Miscellaneous Data'!$C18:$K18,1,RIGHT('6 Wear Planner'!O39,1)),0)</f>
        <v/>
      </c>
      <c r="O21" s="125">
        <f t="array" ref="O21">-IF(LEFT('6 Wear Planner'!P39,5)="Level",INDEX('13 Miscellaneous Data'!$C18:$K18,1,RIGHT('6 Wear Planner'!P39,1)),0)</f>
        <v/>
      </c>
      <c r="P21" s="125">
        <f t="array" ref="P21">-IF(LEFT('6 Wear Planner'!Q39,5)="Level",INDEX('13 Miscellaneous Data'!$C18:$K18,1,RIGHT('6 Wear Planner'!Q39,1)),0)</f>
        <v/>
      </c>
      <c r="Q21" s="125">
        <f t="array" ref="Q21">-IF(LEFT('6 Wear Planner'!R39,5)="Level",INDEX('13 Miscellaneous Data'!$C18:$K18,1,RIGHT('6 Wear Planner'!R39,1)),0)</f>
        <v/>
      </c>
      <c r="R21" s="130">
        <f t="array" ref="R21">-IF(LEFT('6 Wear Planner'!S39,5)="Level",INDEX('13 Miscellaneous Data'!$C18:$K18,1,RIGHT('6 Wear Planner'!S39,1)),0)</f>
        <v/>
      </c>
    </row>
    <row r="22" ht="14.25" customHeight="1" s="267">
      <c r="A22" s="4" t="inlineStr">
        <is>
          <t>Cooling</t>
        </is>
      </c>
      <c r="B22" s="129">
        <f t="array" ref="B22">-IF(LEFT('6 Wear Planner'!C40,5)="Level",INDEX('13 Miscellaneous Data'!$C19:$K19,1,RIGHT('6 Wear Planner'!C40,1)),0)</f>
        <v/>
      </c>
      <c r="C22" s="125">
        <f t="array" ref="C22">-IF(LEFT('6 Wear Planner'!D40,5)="Level",INDEX('13 Miscellaneous Data'!$C19:$K19,1,RIGHT('6 Wear Planner'!D40,1)),0)</f>
        <v/>
      </c>
      <c r="D22" s="125">
        <f t="array" ref="D22">-IF(LEFT('6 Wear Planner'!E40,5)="Level",INDEX('13 Miscellaneous Data'!$C19:$K19,1,RIGHT('6 Wear Planner'!E40,1)),0)</f>
        <v/>
      </c>
      <c r="E22" s="125">
        <f t="array" ref="E22">-IF(LEFT('6 Wear Planner'!F40,5)="Level",INDEX('13 Miscellaneous Data'!$C19:$K19,1,RIGHT('6 Wear Planner'!F40,1)),0)</f>
        <v/>
      </c>
      <c r="F22" s="125">
        <f t="array" ref="F22">-IF(LEFT('6 Wear Planner'!G40,5)="Level",INDEX('13 Miscellaneous Data'!$C19:$K19,1,RIGHT('6 Wear Planner'!G40,1)),0)</f>
        <v/>
      </c>
      <c r="G22" s="125">
        <f t="array" ref="G22">-IF(LEFT('6 Wear Planner'!H40,5)="Level",INDEX('13 Miscellaneous Data'!$C19:$K19,1,RIGHT('6 Wear Planner'!H40,1)),0)</f>
        <v/>
      </c>
      <c r="H22" s="125">
        <f t="array" ref="H22">-IF(LEFT('6 Wear Planner'!I40,5)="Level",INDEX('13 Miscellaneous Data'!$C19:$K19,1,RIGHT('6 Wear Planner'!I40,1)),0)</f>
        <v/>
      </c>
      <c r="I22" s="125">
        <f t="array" ref="I22">-IF(LEFT('6 Wear Planner'!J40,5)="Level",INDEX('13 Miscellaneous Data'!$C19:$K19,1,RIGHT('6 Wear Planner'!J40,1)),0)</f>
        <v/>
      </c>
      <c r="J22" s="125">
        <f t="array" ref="J22">-IF(LEFT('6 Wear Planner'!K40,5)="Level",INDEX('13 Miscellaneous Data'!$C19:$K19,1,RIGHT('6 Wear Planner'!K40,1)),0)</f>
        <v/>
      </c>
      <c r="K22" s="125">
        <f t="array" ref="K22">-IF(LEFT('6 Wear Planner'!L40,5)="Level",INDEX('13 Miscellaneous Data'!$C19:$K19,1,RIGHT('6 Wear Planner'!L40,1)),0)</f>
        <v/>
      </c>
      <c r="L22" s="125">
        <f t="array" ref="L22">-IF(LEFT('6 Wear Planner'!M40,5)="Level",INDEX('13 Miscellaneous Data'!$C19:$K19,1,RIGHT('6 Wear Planner'!M40,1)),0)</f>
        <v/>
      </c>
      <c r="M22" s="125">
        <f t="array" ref="M22">-IF(LEFT('6 Wear Planner'!N40,5)="Level",INDEX('13 Miscellaneous Data'!$C19:$K19,1,RIGHT('6 Wear Planner'!N40,1)),0)</f>
        <v/>
      </c>
      <c r="N22" s="125">
        <f t="array" ref="N22">-IF(LEFT('6 Wear Planner'!O40,5)="Level",INDEX('13 Miscellaneous Data'!$C19:$K19,1,RIGHT('6 Wear Planner'!O40,1)),0)</f>
        <v/>
      </c>
      <c r="O22" s="125">
        <f t="array" ref="O22">-IF(LEFT('6 Wear Planner'!P40,5)="Level",INDEX('13 Miscellaneous Data'!$C19:$K19,1,RIGHT('6 Wear Planner'!P40,1)),0)</f>
        <v/>
      </c>
      <c r="P22" s="125">
        <f t="array" ref="P22">-IF(LEFT('6 Wear Planner'!Q40,5)="Level",INDEX('13 Miscellaneous Data'!$C19:$K19,1,RIGHT('6 Wear Planner'!Q40,1)),0)</f>
        <v/>
      </c>
      <c r="Q22" s="125">
        <f t="array" ref="Q22">-IF(LEFT('6 Wear Planner'!R40,5)="Level",INDEX('13 Miscellaneous Data'!$C19:$K19,1,RIGHT('6 Wear Planner'!R40,1)),0)</f>
        <v/>
      </c>
      <c r="R22" s="130">
        <f t="array" ref="R22">-IF(LEFT('6 Wear Planner'!S40,5)="Level",INDEX('13 Miscellaneous Data'!$C19:$K19,1,RIGHT('6 Wear Planner'!S40,1)),0)</f>
        <v/>
      </c>
    </row>
    <row r="23" ht="14.25" customHeight="1" s="267">
      <c r="A23" s="4" t="inlineStr">
        <is>
          <t>Gearbox</t>
        </is>
      </c>
      <c r="B23" s="129">
        <f t="array" ref="B23">-IF(LEFT('6 Wear Planner'!C41,5)="Level",INDEX('13 Miscellaneous Data'!$C20:$K20,1,RIGHT('6 Wear Planner'!C41,1)),0)</f>
        <v/>
      </c>
      <c r="C23" s="125">
        <f t="array" ref="C23">-IF(LEFT('6 Wear Planner'!D41,5)="Level",INDEX('13 Miscellaneous Data'!$C20:$K20,1,RIGHT('6 Wear Planner'!D41,1)),0)</f>
        <v/>
      </c>
      <c r="D23" s="125">
        <f t="array" ref="D23">-IF(LEFT('6 Wear Planner'!E41,5)="Level",INDEX('13 Miscellaneous Data'!$C20:$K20,1,RIGHT('6 Wear Planner'!E41,1)),0)</f>
        <v/>
      </c>
      <c r="E23" s="125">
        <f t="array" ref="E23">-IF(LEFT('6 Wear Planner'!F41,5)="Level",INDEX('13 Miscellaneous Data'!$C20:$K20,1,RIGHT('6 Wear Planner'!F41,1)),0)</f>
        <v/>
      </c>
      <c r="F23" s="125">
        <f t="array" ref="F23">-IF(LEFT('6 Wear Planner'!G41,5)="Level",INDEX('13 Miscellaneous Data'!$C20:$K20,1,RIGHT('6 Wear Planner'!G41,1)),0)</f>
        <v/>
      </c>
      <c r="G23" s="125">
        <f t="array" ref="G23">-IF(LEFT('6 Wear Planner'!H41,5)="Level",INDEX('13 Miscellaneous Data'!$C20:$K20,1,RIGHT('6 Wear Planner'!H41,1)),0)</f>
        <v/>
      </c>
      <c r="H23" s="125">
        <f t="array" ref="H23">-IF(LEFT('6 Wear Planner'!I41,5)="Level",INDEX('13 Miscellaneous Data'!$C20:$K20,1,RIGHT('6 Wear Planner'!I41,1)),0)</f>
        <v/>
      </c>
      <c r="I23" s="125">
        <f t="array" ref="I23">-IF(LEFT('6 Wear Planner'!J41,5)="Level",INDEX('13 Miscellaneous Data'!$C20:$K20,1,RIGHT('6 Wear Planner'!J41,1)),0)</f>
        <v/>
      </c>
      <c r="J23" s="125">
        <f t="array" ref="J23">-IF(LEFT('6 Wear Planner'!K41,5)="Level",INDEX('13 Miscellaneous Data'!$C20:$K20,1,RIGHT('6 Wear Planner'!K41,1)),0)</f>
        <v/>
      </c>
      <c r="K23" s="125">
        <f t="array" ref="K23">-IF(LEFT('6 Wear Planner'!L41,5)="Level",INDEX('13 Miscellaneous Data'!$C20:$K20,1,RIGHT('6 Wear Planner'!L41,1)),0)</f>
        <v/>
      </c>
      <c r="L23" s="125">
        <f t="array" ref="L23">-IF(LEFT('6 Wear Planner'!M41,5)="Level",INDEX('13 Miscellaneous Data'!$C20:$K20,1,RIGHT('6 Wear Planner'!M41,1)),0)</f>
        <v/>
      </c>
      <c r="M23" s="125">
        <f t="array" ref="M23">-IF(LEFT('6 Wear Planner'!N41,5)="Level",INDEX('13 Miscellaneous Data'!$C20:$K20,1,RIGHT('6 Wear Planner'!N41,1)),0)</f>
        <v/>
      </c>
      <c r="N23" s="125">
        <f t="array" ref="N23">-IF(LEFT('6 Wear Planner'!O41,5)="Level",INDEX('13 Miscellaneous Data'!$C20:$K20,1,RIGHT('6 Wear Planner'!O41,1)),0)</f>
        <v/>
      </c>
      <c r="O23" s="125">
        <f t="array" ref="O23">-IF(LEFT('6 Wear Planner'!P41,5)="Level",INDEX('13 Miscellaneous Data'!$C20:$K20,1,RIGHT('6 Wear Planner'!P41,1)),0)</f>
        <v/>
      </c>
      <c r="P23" s="125">
        <f t="array" ref="P23">-IF(LEFT('6 Wear Planner'!Q41,5)="Level",INDEX('13 Miscellaneous Data'!$C20:$K20,1,RIGHT('6 Wear Planner'!Q41,1)),0)</f>
        <v/>
      </c>
      <c r="Q23" s="125">
        <f t="array" ref="Q23">-IF(LEFT('6 Wear Planner'!R41,5)="Level",INDEX('13 Miscellaneous Data'!$C20:$K20,1,RIGHT('6 Wear Planner'!R41,1)),0)</f>
        <v/>
      </c>
      <c r="R23" s="130">
        <f t="array" ref="R23">-IF(LEFT('6 Wear Planner'!S41,5)="Level",INDEX('13 Miscellaneous Data'!$C20:$K20,1,RIGHT('6 Wear Planner'!S41,1)),0)</f>
        <v/>
      </c>
    </row>
    <row r="24" ht="14.25" customHeight="1" s="267">
      <c r="A24" s="4" t="inlineStr">
        <is>
          <t>Brakes</t>
        </is>
      </c>
      <c r="B24" s="129">
        <f t="array" ref="B24">-IF(LEFT('6 Wear Planner'!C42,5)="Level",INDEX('13 Miscellaneous Data'!$C21:$K21,1,RIGHT('6 Wear Planner'!C42,1)),0)</f>
        <v/>
      </c>
      <c r="C24" s="125">
        <f t="array" ref="C24">-IF(LEFT('6 Wear Planner'!D42,5)="Level",INDEX('13 Miscellaneous Data'!$C21:$K21,1,RIGHT('6 Wear Planner'!D42,1)),0)</f>
        <v/>
      </c>
      <c r="D24" s="125">
        <f t="array" ref="D24">-IF(LEFT('6 Wear Planner'!E42,5)="Level",INDEX('13 Miscellaneous Data'!$C21:$K21,1,RIGHT('6 Wear Planner'!E42,1)),0)</f>
        <v/>
      </c>
      <c r="E24" s="125">
        <f t="array" ref="E24">-IF(LEFT('6 Wear Planner'!F42,5)="Level",INDEX('13 Miscellaneous Data'!$C21:$K21,1,RIGHT('6 Wear Planner'!F42,1)),0)</f>
        <v/>
      </c>
      <c r="F24" s="125">
        <f t="array" ref="F24">-IF(LEFT('6 Wear Planner'!G42,5)="Level",INDEX('13 Miscellaneous Data'!$C21:$K21,1,RIGHT('6 Wear Planner'!G42,1)),0)</f>
        <v/>
      </c>
      <c r="G24" s="125">
        <f t="array" ref="G24">-IF(LEFT('6 Wear Planner'!H42,5)="Level",INDEX('13 Miscellaneous Data'!$C21:$K21,1,RIGHT('6 Wear Planner'!H42,1)),0)</f>
        <v/>
      </c>
      <c r="H24" s="125">
        <f t="array" ref="H24">-IF(LEFT('6 Wear Planner'!I42,5)="Level",INDEX('13 Miscellaneous Data'!$C21:$K21,1,RIGHT('6 Wear Planner'!I42,1)),0)</f>
        <v/>
      </c>
      <c r="I24" s="125">
        <f t="array" ref="I24">-IF(LEFT('6 Wear Planner'!J42,5)="Level",INDEX('13 Miscellaneous Data'!$C21:$K21,1,RIGHT('6 Wear Planner'!J42,1)),0)</f>
        <v/>
      </c>
      <c r="J24" s="125">
        <f t="array" ref="J24">-IF(LEFT('6 Wear Planner'!K42,5)="Level",INDEX('13 Miscellaneous Data'!$C21:$K21,1,RIGHT('6 Wear Planner'!K42,1)),0)</f>
        <v/>
      </c>
      <c r="K24" s="125">
        <f t="array" ref="K24">-IF(LEFT('6 Wear Planner'!L42,5)="Level",INDEX('13 Miscellaneous Data'!$C21:$K21,1,RIGHT('6 Wear Planner'!L42,1)),0)</f>
        <v/>
      </c>
      <c r="L24" s="125">
        <f t="array" ref="L24">-IF(LEFT('6 Wear Planner'!M42,5)="Level",INDEX('13 Miscellaneous Data'!$C21:$K21,1,RIGHT('6 Wear Planner'!M42,1)),0)</f>
        <v/>
      </c>
      <c r="M24" s="125">
        <f t="array" ref="M24">-IF(LEFT('6 Wear Planner'!N42,5)="Level",INDEX('13 Miscellaneous Data'!$C21:$K21,1,RIGHT('6 Wear Planner'!N42,1)),0)</f>
        <v/>
      </c>
      <c r="N24" s="125">
        <f t="array" ref="N24">-IF(LEFT('6 Wear Planner'!O42,5)="Level",INDEX('13 Miscellaneous Data'!$C21:$K21,1,RIGHT('6 Wear Planner'!O42,1)),0)</f>
        <v/>
      </c>
      <c r="O24" s="125">
        <f t="array" ref="O24">-IF(LEFT('6 Wear Planner'!P42,5)="Level",INDEX('13 Miscellaneous Data'!$C21:$K21,1,RIGHT('6 Wear Planner'!P42,1)),0)</f>
        <v/>
      </c>
      <c r="P24" s="125">
        <f t="array" ref="P24">-IF(LEFT('6 Wear Planner'!Q42,5)="Level",INDEX('13 Miscellaneous Data'!$C21:$K21,1,RIGHT('6 Wear Planner'!Q42,1)),0)</f>
        <v/>
      </c>
      <c r="Q24" s="125">
        <f t="array" ref="Q24">-IF(LEFT('6 Wear Planner'!R42,5)="Level",INDEX('13 Miscellaneous Data'!$C21:$K21,1,RIGHT('6 Wear Planner'!R42,1)),0)</f>
        <v/>
      </c>
      <c r="R24" s="130">
        <f t="array" ref="R24">-IF(LEFT('6 Wear Planner'!S42,5)="Level",INDEX('13 Miscellaneous Data'!$C21:$K21,1,RIGHT('6 Wear Planner'!S42,1)),0)</f>
        <v/>
      </c>
    </row>
    <row r="25" ht="14.25" customHeight="1" s="267">
      <c r="A25" s="4" t="inlineStr">
        <is>
          <t>Suspension</t>
        </is>
      </c>
      <c r="B25" s="129">
        <f t="array" ref="B25">-IF(LEFT('6 Wear Planner'!C43,5)="Level",INDEX('13 Miscellaneous Data'!$C22:$K22,1,RIGHT('6 Wear Planner'!C43,1)),0)</f>
        <v/>
      </c>
      <c r="C25" s="125">
        <f t="array" ref="C25">-IF(LEFT('6 Wear Planner'!D43,5)="Level",INDEX('13 Miscellaneous Data'!$C22:$K22,1,RIGHT('6 Wear Planner'!D43,1)),0)</f>
        <v/>
      </c>
      <c r="D25" s="125">
        <f t="array" ref="D25">-IF(LEFT('6 Wear Planner'!E43,5)="Level",INDEX('13 Miscellaneous Data'!$C22:$K22,1,RIGHT('6 Wear Planner'!E43,1)),0)</f>
        <v/>
      </c>
      <c r="E25" s="125">
        <f t="array" ref="E25">-IF(LEFT('6 Wear Planner'!F43,5)="Level",INDEX('13 Miscellaneous Data'!$C22:$K22,1,RIGHT('6 Wear Planner'!F43,1)),0)</f>
        <v/>
      </c>
      <c r="F25" s="125">
        <f t="array" ref="F25">-IF(LEFT('6 Wear Planner'!G43,5)="Level",INDEX('13 Miscellaneous Data'!$C22:$K22,1,RIGHT('6 Wear Planner'!G43,1)),0)</f>
        <v/>
      </c>
      <c r="G25" s="125">
        <f t="array" ref="G25">-IF(LEFT('6 Wear Planner'!H43,5)="Level",INDEX('13 Miscellaneous Data'!$C22:$K22,1,RIGHT('6 Wear Planner'!H43,1)),0)</f>
        <v/>
      </c>
      <c r="H25" s="125">
        <f t="array" ref="H25">-IF(LEFT('6 Wear Planner'!I43,5)="Level",INDEX('13 Miscellaneous Data'!$C22:$K22,1,RIGHT('6 Wear Planner'!I43,1)),0)</f>
        <v/>
      </c>
      <c r="I25" s="125">
        <f t="array" ref="I25">-IF(LEFT('6 Wear Planner'!J43,5)="Level",INDEX('13 Miscellaneous Data'!$C22:$K22,1,RIGHT('6 Wear Planner'!J43,1)),0)</f>
        <v/>
      </c>
      <c r="J25" s="125">
        <f t="array" ref="J25">-IF(LEFT('6 Wear Planner'!K43,5)="Level",INDEX('13 Miscellaneous Data'!$C22:$K22,1,RIGHT('6 Wear Planner'!K43,1)),0)</f>
        <v/>
      </c>
      <c r="K25" s="125">
        <f t="array" ref="K25">-IF(LEFT('6 Wear Planner'!L43,5)="Level",INDEX('13 Miscellaneous Data'!$C22:$K22,1,RIGHT('6 Wear Planner'!L43,1)),0)</f>
        <v/>
      </c>
      <c r="L25" s="125">
        <f t="array" ref="L25">-IF(LEFT('6 Wear Planner'!M43,5)="Level",INDEX('13 Miscellaneous Data'!$C22:$K22,1,RIGHT('6 Wear Planner'!M43,1)),0)</f>
        <v/>
      </c>
      <c r="M25" s="125">
        <f t="array" ref="M25">-IF(LEFT('6 Wear Planner'!N43,5)="Level",INDEX('13 Miscellaneous Data'!$C22:$K22,1,RIGHT('6 Wear Planner'!N43,1)),0)</f>
        <v/>
      </c>
      <c r="N25" s="125">
        <f t="array" ref="N25">-IF(LEFT('6 Wear Planner'!O43,5)="Level",INDEX('13 Miscellaneous Data'!$C22:$K22,1,RIGHT('6 Wear Planner'!O43,1)),0)</f>
        <v/>
      </c>
      <c r="O25" s="125">
        <f t="array" ref="O25">-IF(LEFT('6 Wear Planner'!P43,5)="Level",INDEX('13 Miscellaneous Data'!$C22:$K22,1,RIGHT('6 Wear Planner'!P43,1)),0)</f>
        <v/>
      </c>
      <c r="P25" s="125">
        <f t="array" ref="P25">-IF(LEFT('6 Wear Planner'!Q43,5)="Level",INDEX('13 Miscellaneous Data'!$C22:$K22,1,RIGHT('6 Wear Planner'!Q43,1)),0)</f>
        <v/>
      </c>
      <c r="Q25" s="125">
        <f t="array" ref="Q25">-IF(LEFT('6 Wear Planner'!R43,5)="Level",INDEX('13 Miscellaneous Data'!$C22:$K22,1,RIGHT('6 Wear Planner'!R43,1)),0)</f>
        <v/>
      </c>
      <c r="R25" s="130">
        <f t="array" ref="R25">-IF(LEFT('6 Wear Planner'!S43,5)="Level",INDEX('13 Miscellaneous Data'!$C22:$K22,1,RIGHT('6 Wear Planner'!S43,1)),0)</f>
        <v/>
      </c>
    </row>
    <row r="26" ht="14.25" customHeight="1" s="267">
      <c r="A26" s="4" t="inlineStr">
        <is>
          <t>Electronics</t>
        </is>
      </c>
      <c r="B26" s="131">
        <f t="array" ref="B26">-IF(LEFT('6 Wear Planner'!C44,5)="Level",INDEX('13 Miscellaneous Data'!$C23:$K23,1,RIGHT('6 Wear Planner'!C44,1)),0)</f>
        <v/>
      </c>
      <c r="C26" s="132">
        <f t="array" ref="C26">-IF(LEFT('6 Wear Planner'!D44,5)="Level",INDEX('13 Miscellaneous Data'!$C23:$K23,1,RIGHT('6 Wear Planner'!D44,1)),0)</f>
        <v/>
      </c>
      <c r="D26" s="132">
        <f t="array" ref="D26">-IF(LEFT('6 Wear Planner'!E44,5)="Level",INDEX('13 Miscellaneous Data'!$C23:$K23,1,RIGHT('6 Wear Planner'!E44,1)),0)</f>
        <v/>
      </c>
      <c r="E26" s="132">
        <f t="array" ref="E26">-IF(LEFT('6 Wear Planner'!F44,5)="Level",INDEX('13 Miscellaneous Data'!$C23:$K23,1,RIGHT('6 Wear Planner'!F44,1)),0)</f>
        <v/>
      </c>
      <c r="F26" s="132">
        <f t="array" ref="F26">-IF(LEFT('6 Wear Planner'!G44,5)="Level",INDEX('13 Miscellaneous Data'!$C23:$K23,1,RIGHT('6 Wear Planner'!G44,1)),0)</f>
        <v/>
      </c>
      <c r="G26" s="132">
        <f t="array" ref="G26">-IF(LEFT('6 Wear Planner'!H44,5)="Level",INDEX('13 Miscellaneous Data'!$C23:$K23,1,RIGHT('6 Wear Planner'!H44,1)),0)</f>
        <v/>
      </c>
      <c r="H26" s="132">
        <f t="array" ref="H26">-IF(LEFT('6 Wear Planner'!I44,5)="Level",INDEX('13 Miscellaneous Data'!$C23:$K23,1,RIGHT('6 Wear Planner'!I44,1)),0)</f>
        <v/>
      </c>
      <c r="I26" s="132">
        <f t="array" ref="I26">-IF(LEFT('6 Wear Planner'!J44,5)="Level",INDEX('13 Miscellaneous Data'!$C23:$K23,1,RIGHT('6 Wear Planner'!J44,1)),0)</f>
        <v/>
      </c>
      <c r="J26" s="132">
        <f t="array" ref="J26">-IF(LEFT('6 Wear Planner'!K44,5)="Level",INDEX('13 Miscellaneous Data'!$C23:$K23,1,RIGHT('6 Wear Planner'!K44,1)),0)</f>
        <v/>
      </c>
      <c r="K26" s="132">
        <f t="array" ref="K26">-IF(LEFT('6 Wear Planner'!L44,5)="Level",INDEX('13 Miscellaneous Data'!$C23:$K23,1,RIGHT('6 Wear Planner'!L44,1)),0)</f>
        <v/>
      </c>
      <c r="L26" s="132">
        <f t="array" ref="L26">-IF(LEFT('6 Wear Planner'!M44,5)="Level",INDEX('13 Miscellaneous Data'!$C23:$K23,1,RIGHT('6 Wear Planner'!M44,1)),0)</f>
        <v/>
      </c>
      <c r="M26" s="132">
        <f t="array" ref="M26">-IF(LEFT('6 Wear Planner'!N44,5)="Level",INDEX('13 Miscellaneous Data'!$C23:$K23,1,RIGHT('6 Wear Planner'!N44,1)),0)</f>
        <v/>
      </c>
      <c r="N26" s="132">
        <f t="array" ref="N26">-IF(LEFT('6 Wear Planner'!O44,5)="Level",INDEX('13 Miscellaneous Data'!$C23:$K23,1,RIGHT('6 Wear Planner'!O44,1)),0)</f>
        <v/>
      </c>
      <c r="O26" s="132">
        <f t="array" ref="O26">-IF(LEFT('6 Wear Planner'!P44,5)="Level",INDEX('13 Miscellaneous Data'!$C23:$K23,1,RIGHT('6 Wear Planner'!P44,1)),0)</f>
        <v/>
      </c>
      <c r="P26" s="132">
        <f t="array" ref="P26">-IF(LEFT('6 Wear Planner'!Q44,5)="Level",INDEX('13 Miscellaneous Data'!$C23:$K23,1,RIGHT('6 Wear Planner'!Q44,1)),0)</f>
        <v/>
      </c>
      <c r="Q26" s="132">
        <f t="array" ref="Q26">-IF(LEFT('6 Wear Planner'!R44,5)="Level",INDEX('13 Miscellaneous Data'!$C23:$K23,1,RIGHT('6 Wear Planner'!R44,1)),0)</f>
        <v/>
      </c>
      <c r="R26" s="133">
        <f t="array" ref="R26">-IF(LEFT('6 Wear Planner'!S44,5)="Level",INDEX('13 Miscellaneous Data'!$C23:$K23,1,RIGHT('6 Wear Planner'!S44,1)),0)</f>
        <v/>
      </c>
    </row>
    <row r="27" ht="14.25" customHeight="1" s="267">
      <c r="A27" s="4" t="inlineStr">
        <is>
          <t>Total</t>
        </is>
      </c>
      <c r="B27" s="136">
        <f>SUM(B16:B26)</f>
        <v/>
      </c>
      <c r="C27" s="134">
        <f>SUM(C16:C26)</f>
        <v/>
      </c>
      <c r="D27" s="134">
        <f>SUM(D16:D26)</f>
        <v/>
      </c>
      <c r="E27" s="134">
        <f>SUM(E16:E26)</f>
        <v/>
      </c>
      <c r="F27" s="134">
        <f>SUM(F16:F26)</f>
        <v/>
      </c>
      <c r="G27" s="134">
        <f>SUM(G16:G26)</f>
        <v/>
      </c>
      <c r="H27" s="134">
        <f>SUM(H16:H26)</f>
        <v/>
      </c>
      <c r="I27" s="134">
        <f>SUM(I16:I26)</f>
        <v/>
      </c>
      <c r="J27" s="134">
        <f>SUM(J16:J26)</f>
        <v/>
      </c>
      <c r="K27" s="134">
        <f>SUM(K16:K26)</f>
        <v/>
      </c>
      <c r="L27" s="134">
        <f>SUM(L16:L26)</f>
        <v/>
      </c>
      <c r="M27" s="134">
        <f>SUM(M16:M26)</f>
        <v/>
      </c>
      <c r="N27" s="134">
        <f>SUM(N16:N26)</f>
        <v/>
      </c>
      <c r="O27" s="134">
        <f>SUM(O16:O26)</f>
        <v/>
      </c>
      <c r="P27" s="134">
        <f>SUM(P16:P26)</f>
        <v/>
      </c>
      <c r="Q27" s="134">
        <f>SUM(Q16:Q26)</f>
        <v/>
      </c>
      <c r="R27" s="135">
        <f>SUM(R16:R26)</f>
        <v/>
      </c>
    </row>
    <row r="28" ht="14.25" customHeight="1" s="267">
      <c r="A28" s="4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5" t="n"/>
      <c r="O28" s="125" t="n"/>
      <c r="P28" s="125" t="n"/>
      <c r="Q28" s="125" t="n"/>
      <c r="R28" s="125" t="n"/>
    </row>
    <row r="29" ht="14.25" customHeight="1" s="267">
      <c r="A29" s="25" t="inlineStr">
        <is>
          <t>Race</t>
        </is>
      </c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5" t="n"/>
      <c r="O29" s="125" t="n"/>
      <c r="P29" s="125" t="n"/>
      <c r="Q29" s="125" t="n"/>
      <c r="R29" s="125" t="n"/>
    </row>
    <row r="30" ht="14.25" customHeight="1" s="267">
      <c r="A30" s="4" t="inlineStr">
        <is>
          <t>Prize Money - Race</t>
        </is>
      </c>
      <c r="B30" s="126">
        <f t="array" ref="B30">IF('4 Season Planner'!B6="",0,INDEX('13 Miscellaneous Data'!$A$64:$S$103,'4 Season Planner'!B6,4*SUMIF('13 Miscellaneous Data'!$A$108:$A$112,'1 Season'!$B$3,'13 Miscellaneous Data'!$B$108:$B$112)-3))*IF(OR('4 Season Planner'!B9="",'1 Season'!B3="Rookie"),1,0.5)</f>
        <v/>
      </c>
      <c r="C30" s="127">
        <f t="array" ref="C30">IF('4 Season Planner'!C6="",0,INDEX('13 Miscellaneous Data'!$A$64:$S$103,'4 Season Planner'!C6,4*SUMIF('13 Miscellaneous Data'!$A$108:$A$112,'1 Season'!$B$3,'13 Miscellaneous Data'!$B$108:$B$112)-3))*IF(OR('4 Season Planner'!C9="",'1 Season'!C3="Rookie"),1,0.5)</f>
        <v/>
      </c>
      <c r="D30" s="127">
        <f t="array" ref="D30">IF('4 Season Planner'!D6="",0,INDEX('13 Miscellaneous Data'!$A$64:$S$103,'4 Season Planner'!D6,4*SUMIF('13 Miscellaneous Data'!$A$108:$A$112,'1 Season'!$B$3,'13 Miscellaneous Data'!$B$108:$B$112)-3))*IF(OR('4 Season Planner'!D9="",'1 Season'!D3="Rookie"),1,0.5)</f>
        <v/>
      </c>
      <c r="E30" s="127">
        <f t="array" ref="E30">IF('4 Season Planner'!E6="",0,INDEX('13 Miscellaneous Data'!$A$64:$S$103,'4 Season Planner'!E6,4*SUMIF('13 Miscellaneous Data'!$A$108:$A$112,'1 Season'!$B$3,'13 Miscellaneous Data'!$B$108:$B$112)-3))*IF(OR('4 Season Planner'!E9="",'1 Season'!E3="Rookie"),1,0.5)</f>
        <v/>
      </c>
      <c r="F30" s="127">
        <f t="array" ref="F30">IF('4 Season Planner'!F6="",0,INDEX('13 Miscellaneous Data'!$A$64:$S$103,'4 Season Planner'!F6,4*SUMIF('13 Miscellaneous Data'!$A$108:$A$112,'1 Season'!$B$3,'13 Miscellaneous Data'!$B$108:$B$112)-3))*IF(OR('4 Season Planner'!F9="",'1 Season'!F3="Rookie"),1,0.5)</f>
        <v/>
      </c>
      <c r="G30" s="127">
        <f t="array" ref="G30">IF('4 Season Planner'!G6="",0,INDEX('13 Miscellaneous Data'!$A$64:$S$103,'4 Season Planner'!G6,4*SUMIF('13 Miscellaneous Data'!$A$108:$A$112,'1 Season'!$B$3,'13 Miscellaneous Data'!$B$108:$B$112)-3))*IF(OR('4 Season Planner'!G9="",'1 Season'!G3="Rookie"),1,0.5)</f>
        <v/>
      </c>
      <c r="H30" s="127">
        <f t="array" ref="H30">IF('4 Season Planner'!H6="",0,INDEX('13 Miscellaneous Data'!$A$64:$S$103,'4 Season Planner'!H6,4*SUMIF('13 Miscellaneous Data'!$A$108:$A$112,'1 Season'!$B$3,'13 Miscellaneous Data'!$B$108:$B$112)-3))*IF(OR('4 Season Planner'!H9="",'1 Season'!H3="Rookie"),1,0.5)</f>
        <v/>
      </c>
      <c r="I30" s="127">
        <f t="array" ref="I30">IF('4 Season Planner'!I6="",0,INDEX('13 Miscellaneous Data'!$A$64:$S$103,'4 Season Planner'!I6,4*SUMIF('13 Miscellaneous Data'!$A$108:$A$112,'1 Season'!$B$3,'13 Miscellaneous Data'!$B$108:$B$112)-3))*IF(OR('4 Season Planner'!I9="",'1 Season'!I3="Rookie"),1,0.5)</f>
        <v/>
      </c>
      <c r="J30" s="127">
        <f t="array" ref="J30">IF('4 Season Planner'!J6="",0,INDEX('13 Miscellaneous Data'!$A$64:$S$103,'4 Season Planner'!J6,4*SUMIF('13 Miscellaneous Data'!$A$108:$A$112,'1 Season'!$B$3,'13 Miscellaneous Data'!$B$108:$B$112)-3))*IF(OR('4 Season Planner'!J9="",'1 Season'!J3="Rookie"),1,0.5)</f>
        <v/>
      </c>
      <c r="K30" s="127">
        <f t="array" ref="K30">IF('4 Season Planner'!K6="",0,INDEX('13 Miscellaneous Data'!$A$64:$S$103,'4 Season Planner'!K6,4*SUMIF('13 Miscellaneous Data'!$A$108:$A$112,'1 Season'!$B$3,'13 Miscellaneous Data'!$B$108:$B$112)-3))*IF(OR('4 Season Planner'!K9="",'1 Season'!K3="Rookie"),1,0.5)</f>
        <v/>
      </c>
      <c r="L30" s="127">
        <f t="array" ref="L30">IF('4 Season Planner'!L6="",0,INDEX('13 Miscellaneous Data'!$A$64:$S$103,'4 Season Planner'!L6,4*SUMIF('13 Miscellaneous Data'!$A$108:$A$112,'1 Season'!$B$3,'13 Miscellaneous Data'!$B$108:$B$112)-3))*IF(OR('4 Season Planner'!L9="",'1 Season'!L3="Rookie"),1,0.5)</f>
        <v/>
      </c>
      <c r="M30" s="127">
        <f t="array" ref="M30">IF('4 Season Planner'!M6="",0,INDEX('13 Miscellaneous Data'!$A$64:$S$103,'4 Season Planner'!M6,4*SUMIF('13 Miscellaneous Data'!$A$108:$A$112,'1 Season'!$B$3,'13 Miscellaneous Data'!$B$108:$B$112)-3))*IF(OR('4 Season Planner'!M9="",'1 Season'!M3="Rookie"),1,0.5)</f>
        <v/>
      </c>
      <c r="N30" s="127">
        <f t="array" ref="N30">IF('4 Season Planner'!N6="",0,INDEX('13 Miscellaneous Data'!$A$64:$S$103,'4 Season Planner'!N6,4*SUMIF('13 Miscellaneous Data'!$A$108:$A$112,'1 Season'!$B$3,'13 Miscellaneous Data'!$B$108:$B$112)-3))*IF(OR('4 Season Planner'!N9="",'1 Season'!N3="Rookie"),1,0.5)</f>
        <v/>
      </c>
      <c r="O30" s="127">
        <f t="array" ref="O30">IF('4 Season Planner'!O6="",0,INDEX('13 Miscellaneous Data'!$A$64:$S$103,'4 Season Planner'!O6,4*SUMIF('13 Miscellaneous Data'!$A$108:$A$112,'1 Season'!$B$3,'13 Miscellaneous Data'!$B$108:$B$112)-3))*IF(OR('4 Season Planner'!O9="",'1 Season'!O3="Rookie"),1,0.5)</f>
        <v/>
      </c>
      <c r="P30" s="127">
        <f t="array" ref="P30">IF('4 Season Planner'!P6="",0,INDEX('13 Miscellaneous Data'!$A$64:$S$103,'4 Season Planner'!P6,4*SUMIF('13 Miscellaneous Data'!$A$108:$A$112,'1 Season'!$B$3,'13 Miscellaneous Data'!$B$108:$B$112)-3))*IF(OR('4 Season Planner'!P9="",'1 Season'!P3="Rookie"),1,0.5)</f>
        <v/>
      </c>
      <c r="Q30" s="127">
        <f t="array" ref="Q30">IF('4 Season Planner'!Q6="",0,INDEX('13 Miscellaneous Data'!$A$64:$S$103,'4 Season Planner'!Q6,4*SUMIF('13 Miscellaneous Data'!$A$108:$A$112,'1 Season'!$B$3,'13 Miscellaneous Data'!$B$108:$B$112)-3))*IF(OR('4 Season Planner'!Q9="",'1 Season'!Q3="Rookie"),1,0.5)</f>
        <v/>
      </c>
      <c r="R30" s="128">
        <f t="array" ref="R30">IF('4 Season Planner'!R6="",0,INDEX('13 Miscellaneous Data'!$A$64:$S$103,'4 Season Planner'!R6,4*SUMIF('13 Miscellaneous Data'!$A$108:$A$112,'1 Season'!$B$3,'13 Miscellaneous Data'!$B$108:$B$112)-3))*IF(OR('4 Season Planner'!R9="",'1 Season'!R3="Rookie"),1,0.5)+IF('4 Season Planner'!B15="",0,INDEX('13 Miscellaneous Data'!$A$64:$S$103,'4 Season Planner'!B15,4*SUMIF('13 Miscellaneous Data'!$A$108:$A$112,'1 Season'!$B$3,'13 Miscellaneous Data'!$B$108:$B$112)-1))</f>
        <v/>
      </c>
    </row>
    <row r="31" ht="14.25" customHeight="1" s="267">
      <c r="A31" s="4" t="inlineStr">
        <is>
          <t>Prize Money - Qualifying</t>
        </is>
      </c>
      <c r="B31" s="129">
        <f t="array" ref="B31">IF('4 Season Planner'!B5="",0,INDEX('13 Miscellaneous Data'!$A$64:$S$103,'4 Season Planner'!B5,4*SUMIF('13 Miscellaneous Data'!$A$108:$A$112,'1 Season'!$B$3,'13 Miscellaneous Data'!$B$108:$B$112)-2))</f>
        <v/>
      </c>
      <c r="C31" s="125">
        <f t="array" ref="C31">IF('4 Season Planner'!C5="",0,INDEX('13 Miscellaneous Data'!$A$64:$S$103,'4 Season Planner'!C5,4*SUMIF('13 Miscellaneous Data'!$A$108:$A$112,'1 Season'!$B$3,'13 Miscellaneous Data'!$B$108:$B$112)-2))</f>
        <v/>
      </c>
      <c r="D31" s="125">
        <f t="array" ref="D31">IF('4 Season Planner'!D5="",0,INDEX('13 Miscellaneous Data'!$A$64:$S$103,'4 Season Planner'!D5,4*SUMIF('13 Miscellaneous Data'!$A$108:$A$112,'1 Season'!$B$3,'13 Miscellaneous Data'!$B$108:$B$112)-2))</f>
        <v/>
      </c>
      <c r="E31" s="125">
        <f t="array" ref="E31">IF('4 Season Planner'!E5="",0,INDEX('13 Miscellaneous Data'!$A$64:$S$103,'4 Season Planner'!E5,4*SUMIF('13 Miscellaneous Data'!$A$108:$A$112,'1 Season'!$B$3,'13 Miscellaneous Data'!$B$108:$B$112)-2))</f>
        <v/>
      </c>
      <c r="F31" s="125">
        <f t="array" ref="F31">IF('4 Season Planner'!F5="",0,INDEX('13 Miscellaneous Data'!$A$64:$S$103,'4 Season Planner'!F5,4*SUMIF('13 Miscellaneous Data'!$A$108:$A$112,'1 Season'!$B$3,'13 Miscellaneous Data'!$B$108:$B$112)-2))</f>
        <v/>
      </c>
      <c r="G31" s="125">
        <f t="array" ref="G31">IF('4 Season Planner'!G5="",0,INDEX('13 Miscellaneous Data'!$A$64:$S$103,'4 Season Planner'!G5,4*SUMIF('13 Miscellaneous Data'!$A$108:$A$112,'1 Season'!$B$3,'13 Miscellaneous Data'!$B$108:$B$112)-2))</f>
        <v/>
      </c>
      <c r="H31" s="125">
        <f t="array" ref="H31">IF('4 Season Planner'!H5="",0,INDEX('13 Miscellaneous Data'!$A$64:$S$103,'4 Season Planner'!H5,4*SUMIF('13 Miscellaneous Data'!$A$108:$A$112,'1 Season'!$B$3,'13 Miscellaneous Data'!$B$108:$B$112)-2))</f>
        <v/>
      </c>
      <c r="I31" s="125">
        <f t="array" ref="I31">IF('4 Season Planner'!I5="",0,INDEX('13 Miscellaneous Data'!$A$64:$S$103,'4 Season Planner'!I5,4*SUMIF('13 Miscellaneous Data'!$A$108:$A$112,'1 Season'!$B$3,'13 Miscellaneous Data'!$B$108:$B$112)-2))</f>
        <v/>
      </c>
      <c r="J31" s="125">
        <f t="array" ref="J31">IF('4 Season Planner'!J5="",0,INDEX('13 Miscellaneous Data'!$A$64:$S$103,'4 Season Planner'!J5,4*SUMIF('13 Miscellaneous Data'!$A$108:$A$112,'1 Season'!$B$3,'13 Miscellaneous Data'!$B$108:$B$112)-2))</f>
        <v/>
      </c>
      <c r="K31" s="125">
        <f t="array" ref="K31">IF('4 Season Planner'!K5="",0,INDEX('13 Miscellaneous Data'!$A$64:$S$103,'4 Season Planner'!K5,4*SUMIF('13 Miscellaneous Data'!$A$108:$A$112,'1 Season'!$B$3,'13 Miscellaneous Data'!$B$108:$B$112)-2))</f>
        <v/>
      </c>
      <c r="L31" s="125">
        <f t="array" ref="L31">IF('4 Season Planner'!L5="",0,INDEX('13 Miscellaneous Data'!$A$64:$S$103,'4 Season Planner'!L5,4*SUMIF('13 Miscellaneous Data'!$A$108:$A$112,'1 Season'!$B$3,'13 Miscellaneous Data'!$B$108:$B$112)-2))</f>
        <v/>
      </c>
      <c r="M31" s="125">
        <f t="array" ref="M31">IF('4 Season Planner'!M5="",0,INDEX('13 Miscellaneous Data'!$A$64:$S$103,'4 Season Planner'!M5,4*SUMIF('13 Miscellaneous Data'!$A$108:$A$112,'1 Season'!$B$3,'13 Miscellaneous Data'!$B$108:$B$112)-2))</f>
        <v/>
      </c>
      <c r="N31" s="125">
        <f t="array" ref="N31">IF('4 Season Planner'!N5="",0,INDEX('13 Miscellaneous Data'!$A$64:$S$103,'4 Season Planner'!N5,4*SUMIF('13 Miscellaneous Data'!$A$108:$A$112,'1 Season'!$B$3,'13 Miscellaneous Data'!$B$108:$B$112)-2))</f>
        <v/>
      </c>
      <c r="O31" s="125">
        <f t="array" ref="O31">IF('4 Season Planner'!O5="",0,INDEX('13 Miscellaneous Data'!$A$64:$S$103,'4 Season Planner'!O5,4*SUMIF('13 Miscellaneous Data'!$A$108:$A$112,'1 Season'!$B$3,'13 Miscellaneous Data'!$B$108:$B$112)-2))</f>
        <v/>
      </c>
      <c r="P31" s="125">
        <f t="array" ref="P31">IF('4 Season Planner'!P5="",0,INDEX('13 Miscellaneous Data'!$A$64:$S$103,'4 Season Planner'!P5,4*SUMIF('13 Miscellaneous Data'!$A$108:$A$112,'1 Season'!$B$3,'13 Miscellaneous Data'!$B$108:$B$112)-2))</f>
        <v/>
      </c>
      <c r="Q31" s="125">
        <f t="array" ref="Q31">IF('4 Season Planner'!Q5="",0,INDEX('13 Miscellaneous Data'!$A$64:$S$103,'4 Season Planner'!Q5,4*SUMIF('13 Miscellaneous Data'!$A$108:$A$112,'1 Season'!$B$3,'13 Miscellaneous Data'!$B$108:$B$112)-2))</f>
        <v/>
      </c>
      <c r="R31" s="130">
        <f t="array" ref="R31">IF('4 Season Planner'!R5="",0,INDEX('13 Miscellaneous Data'!$A$64:$S$103,'4 Season Planner'!R5,4*SUMIF('13 Miscellaneous Data'!$A$108:$A$112,'1 Season'!$B$3,'13 Miscellaneous Data'!$B$108:$B$112)-2))</f>
        <v/>
      </c>
    </row>
    <row r="32" ht="14.25" customHeight="1" s="267">
      <c r="A32" s="4" t="inlineStr">
        <is>
          <t>Prize Money - Cup</t>
        </is>
      </c>
      <c r="B32" s="129">
        <f t="array" ref="B32">IF('4 Season Planner'!B8="",0,INDEX('13 Miscellaneous Data'!$A$105:$S$105,1,4*SUMIF('13 Miscellaneous Data'!$A$108:$A$112,'1 Season'!$B$3,'13 Miscellaneous Data'!$B$108:$B$112)-3))</f>
        <v/>
      </c>
      <c r="C32" s="125">
        <f t="array" ref="C32">IF('4 Season Planner'!C8="",0,INDEX('13 Miscellaneous Data'!$A$105:$S$105,1,4*SUMIF('13 Miscellaneous Data'!$A$108:$A$112,'1 Season'!$B$3,'13 Miscellaneous Data'!$B$108:$B$112)-3))</f>
        <v/>
      </c>
      <c r="D32" s="125">
        <f t="array" ref="D32">IF('4 Season Planner'!D8="",0,INDEX('13 Miscellaneous Data'!$A$105:$S$105,1,4*SUMIF('13 Miscellaneous Data'!$A$108:$A$112,'1 Season'!$B$3,'13 Miscellaneous Data'!$B$108:$B$112)-3))</f>
        <v/>
      </c>
      <c r="E32" s="125">
        <f t="array" ref="E32">IF('4 Season Planner'!E8="",0,INDEX('13 Miscellaneous Data'!$A$105:$S$105,1,4*SUMIF('13 Miscellaneous Data'!$A$108:$A$112,'1 Season'!$B$3,'13 Miscellaneous Data'!$B$108:$B$112)-3))</f>
        <v/>
      </c>
      <c r="F32" s="125">
        <f t="array" ref="F32">IF('4 Season Planner'!F8="",0,INDEX('13 Miscellaneous Data'!$A$105:$S$105,1,4*SUMIF('13 Miscellaneous Data'!$A$108:$A$112,'1 Season'!$B$3,'13 Miscellaneous Data'!$B$108:$B$112)-3))</f>
        <v/>
      </c>
      <c r="G32" s="125">
        <f t="array" ref="G32">IF('4 Season Planner'!G8="",0,INDEX('13 Miscellaneous Data'!$A$105:$S$105,1,4*SUMIF('13 Miscellaneous Data'!$A$108:$A$112,'1 Season'!$B$3,'13 Miscellaneous Data'!$B$108:$B$112)-3))</f>
        <v/>
      </c>
      <c r="H32" s="125">
        <f t="array" ref="H32">IF('4 Season Planner'!H8="",0,INDEX('13 Miscellaneous Data'!$A$105:$S$105,1,4*SUMIF('13 Miscellaneous Data'!$A$108:$A$112,'1 Season'!$B$3,'13 Miscellaneous Data'!$B$108:$B$112)-3))</f>
        <v/>
      </c>
      <c r="I32" s="125">
        <f t="array" ref="I32">IF('4 Season Planner'!I8="",0,INDEX('13 Miscellaneous Data'!$A$105:$S$105,1,4*SUMIF('13 Miscellaneous Data'!$A$108:$A$112,'1 Season'!$B$3,'13 Miscellaneous Data'!$B$108:$B$112)-3))</f>
        <v/>
      </c>
      <c r="J32" s="125">
        <f t="array" ref="J32">IF('4 Season Planner'!J8="",0,INDEX('13 Miscellaneous Data'!$A$105:$S$105,1,4*SUMIF('13 Miscellaneous Data'!$A$108:$A$112,'1 Season'!$B$3,'13 Miscellaneous Data'!$B$108:$B$112)-3))</f>
        <v/>
      </c>
      <c r="K32" s="125">
        <f t="array" ref="K32">IF('4 Season Planner'!K8="",0,INDEX('13 Miscellaneous Data'!$A$105:$S$105,1,4*SUMIF('13 Miscellaneous Data'!$A$108:$A$112,'1 Season'!$B$3,'13 Miscellaneous Data'!$B$108:$B$112)-3))</f>
        <v/>
      </c>
      <c r="L32" s="125">
        <f t="array" ref="L32">IF('4 Season Planner'!L8="",0,INDEX('13 Miscellaneous Data'!$A$105:$S$105,1,4*SUMIF('13 Miscellaneous Data'!$A$108:$A$112,'1 Season'!$B$3,'13 Miscellaneous Data'!$B$108:$B$112)-3))</f>
        <v/>
      </c>
      <c r="M32" s="125">
        <f t="array" ref="M32">IF('4 Season Planner'!M8="",0,INDEX('13 Miscellaneous Data'!$A$105:$S$105,1,4*SUMIF('13 Miscellaneous Data'!$A$108:$A$112,'1 Season'!$B$3,'13 Miscellaneous Data'!$B$108:$B$112)-3))</f>
        <v/>
      </c>
      <c r="N32" s="125">
        <f t="array" ref="N32">IF('4 Season Planner'!N8="",0,INDEX('13 Miscellaneous Data'!$A$105:$S$105,1,4*SUMIF('13 Miscellaneous Data'!$A$108:$A$112,'1 Season'!$B$3,'13 Miscellaneous Data'!$B$108:$B$112)-3))</f>
        <v/>
      </c>
      <c r="O32" s="125">
        <f t="array" ref="O32">IF('4 Season Planner'!O8="",0,INDEX('13 Miscellaneous Data'!$A$105:$S$105,1,4*SUMIF('13 Miscellaneous Data'!$A$108:$A$112,'1 Season'!$B$3,'13 Miscellaneous Data'!$B$108:$B$112)-3))</f>
        <v/>
      </c>
      <c r="P32" s="125">
        <f t="array" ref="P32">IF('4 Season Planner'!P8="",0,INDEX('13 Miscellaneous Data'!$A$105:$S$105,1,4*SUMIF('13 Miscellaneous Data'!$A$108:$A$112,'1 Season'!$B$3,'13 Miscellaneous Data'!$B$108:$B$112)-3))</f>
        <v/>
      </c>
      <c r="Q32" s="125">
        <f t="array" ref="Q32">IF('4 Season Planner'!Q8="",0,INDEX('13 Miscellaneous Data'!$A$105:$S$105,1,4*SUMIF('13 Miscellaneous Data'!$A$108:$A$112,'1 Season'!$B$3,'13 Miscellaneous Data'!$B$108:$B$112)-3))</f>
        <v/>
      </c>
      <c r="R32" s="130">
        <f t="array" ref="R32">IF('4 Season Planner'!R8="",0,INDEX('13 Miscellaneous Data'!$A$105:$S$105,1,4*SUMIF('13 Miscellaneous Data'!$A$108:$A$112,'1 Season'!$B$3,'13 Miscellaneous Data'!$B$108:$B$112)-3))</f>
        <v/>
      </c>
    </row>
    <row r="33" ht="14.25" customHeight="1" s="267">
      <c r="A33" s="4" t="inlineStr">
        <is>
          <t>Prize Money - Fastest Lap</t>
        </is>
      </c>
      <c r="B33" s="131">
        <f>IF('4 Season Planner'!B7="",0,1000000)</f>
        <v/>
      </c>
      <c r="C33" s="132">
        <f>IF('4 Season Planner'!C7="",0,1000000)</f>
        <v/>
      </c>
      <c r="D33" s="132">
        <f>IF('4 Season Planner'!D7="",0,1000000)</f>
        <v/>
      </c>
      <c r="E33" s="132">
        <f>IF('4 Season Planner'!E7="",0,1000000)</f>
        <v/>
      </c>
      <c r="F33" s="132">
        <f>IF('4 Season Planner'!F7="",0,1000000)</f>
        <v/>
      </c>
      <c r="G33" s="132">
        <f>IF('4 Season Planner'!G7="",0,1000000)</f>
        <v/>
      </c>
      <c r="H33" s="132">
        <f>IF('4 Season Planner'!H7="",0,1000000)</f>
        <v/>
      </c>
      <c r="I33" s="132">
        <f>IF('4 Season Planner'!I7="",0,1000000)</f>
        <v/>
      </c>
      <c r="J33" s="132">
        <f>IF('4 Season Planner'!J7="",0,1000000)</f>
        <v/>
      </c>
      <c r="K33" s="132">
        <f>IF('4 Season Planner'!K7="",0,1000000)</f>
        <v/>
      </c>
      <c r="L33" s="132">
        <f>IF('4 Season Planner'!L7="",0,1000000)</f>
        <v/>
      </c>
      <c r="M33" s="132">
        <f>IF('4 Season Planner'!M7="",0,1000000)</f>
        <v/>
      </c>
      <c r="N33" s="132">
        <f>IF('4 Season Planner'!N7="",0,1000000)</f>
        <v/>
      </c>
      <c r="O33" s="132">
        <f>IF('4 Season Planner'!O7="",0,1000000)</f>
        <v/>
      </c>
      <c r="P33" s="132">
        <f>IF('4 Season Planner'!P7="",0,1000000)</f>
        <v/>
      </c>
      <c r="Q33" s="132">
        <f>IF('4 Season Planner'!Q7="",0,1000000)</f>
        <v/>
      </c>
      <c r="R33" s="133">
        <f>IF('4 Season Planner'!R7="",0,1000000)</f>
        <v/>
      </c>
    </row>
    <row r="34" ht="14.25" customHeight="1" s="267">
      <c r="A34" s="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5" t="n"/>
      <c r="R34" s="125" t="n"/>
    </row>
    <row r="35" ht="14.25" customHeight="1" s="267">
      <c r="A35" s="4" t="inlineStr">
        <is>
          <t>Sponsor income</t>
        </is>
      </c>
      <c r="B35" s="136">
        <f>'4 Season Planner'!B11</f>
        <v/>
      </c>
      <c r="C35" s="134">
        <f>'4 Season Planner'!C11</f>
        <v/>
      </c>
      <c r="D35" s="134">
        <f>'4 Season Planner'!D11</f>
        <v/>
      </c>
      <c r="E35" s="134">
        <f>'4 Season Planner'!E11</f>
        <v/>
      </c>
      <c r="F35" s="134">
        <f>'4 Season Planner'!F11</f>
        <v/>
      </c>
      <c r="G35" s="134">
        <f>'4 Season Planner'!G11</f>
        <v/>
      </c>
      <c r="H35" s="134">
        <f>'4 Season Planner'!H11</f>
        <v/>
      </c>
      <c r="I35" s="134">
        <f>'4 Season Planner'!I11</f>
        <v/>
      </c>
      <c r="J35" s="134">
        <f>'4 Season Planner'!J11</f>
        <v/>
      </c>
      <c r="K35" s="134">
        <f>'4 Season Planner'!K11</f>
        <v/>
      </c>
      <c r="L35" s="134">
        <f>'4 Season Planner'!L11</f>
        <v/>
      </c>
      <c r="M35" s="134">
        <f>'4 Season Planner'!M11</f>
        <v/>
      </c>
      <c r="N35" s="134">
        <f>'4 Season Planner'!N11</f>
        <v/>
      </c>
      <c r="O35" s="134">
        <f>'4 Season Planner'!O11</f>
        <v/>
      </c>
      <c r="P35" s="134">
        <f>'4 Season Planner'!P11</f>
        <v/>
      </c>
      <c r="Q35" s="134">
        <f>'4 Season Planner'!Q11</f>
        <v/>
      </c>
      <c r="R35" s="135">
        <f>'4 Season Planner'!R11</f>
        <v/>
      </c>
    </row>
    <row r="36" ht="14.25" customHeight="1" s="267">
      <c r="A36" s="4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25" t="n"/>
      <c r="O36" s="125" t="n"/>
      <c r="P36" s="125" t="n"/>
      <c r="Q36" s="125" t="n"/>
      <c r="R36" s="125" t="n"/>
    </row>
    <row r="37" ht="14.25" customHeight="1" s="267">
      <c r="A37" s="4" t="inlineStr">
        <is>
          <t>Driver Salary</t>
        </is>
      </c>
      <c r="B37" s="126">
        <f>-'9 Calculated Stuff Data'!B18</f>
        <v/>
      </c>
      <c r="C37" s="127">
        <f>-'9 Calculated Stuff Data'!C18</f>
        <v/>
      </c>
      <c r="D37" s="127">
        <f>-'9 Calculated Stuff Data'!D18</f>
        <v/>
      </c>
      <c r="E37" s="127">
        <f>-'9 Calculated Stuff Data'!E18</f>
        <v/>
      </c>
      <c r="F37" s="127">
        <f>-'9 Calculated Stuff Data'!F18</f>
        <v/>
      </c>
      <c r="G37" s="127">
        <f>-'9 Calculated Stuff Data'!G18</f>
        <v/>
      </c>
      <c r="H37" s="127">
        <f>-'9 Calculated Stuff Data'!H18</f>
        <v/>
      </c>
      <c r="I37" s="127">
        <f>-'9 Calculated Stuff Data'!I18</f>
        <v/>
      </c>
      <c r="J37" s="127">
        <f>-'9 Calculated Stuff Data'!J18</f>
        <v/>
      </c>
      <c r="K37" s="127">
        <f>-'9 Calculated Stuff Data'!K18</f>
        <v/>
      </c>
      <c r="L37" s="127">
        <f>-'9 Calculated Stuff Data'!L18</f>
        <v/>
      </c>
      <c r="M37" s="127">
        <f>-'9 Calculated Stuff Data'!M18</f>
        <v/>
      </c>
      <c r="N37" s="127">
        <f>-'9 Calculated Stuff Data'!N18</f>
        <v/>
      </c>
      <c r="O37" s="127">
        <f>-'9 Calculated Stuff Data'!O18</f>
        <v/>
      </c>
      <c r="P37" s="127">
        <f>-'9 Calculated Stuff Data'!P18</f>
        <v/>
      </c>
      <c r="Q37" s="127">
        <f>-'9 Calculated Stuff Data'!Q18</f>
        <v/>
      </c>
      <c r="R37" s="128">
        <f>-'9 Calculated Stuff Data'!R18</f>
        <v/>
      </c>
    </row>
    <row r="38" ht="14.25" customHeight="1" s="267">
      <c r="A38" s="4" t="inlineStr">
        <is>
          <t>Driver Bonuses</t>
        </is>
      </c>
      <c r="B38" s="129">
        <f>-IF('4 Season Planner'!B6="",0,IF('4 Season Planner'!B6=1,'9 Calculated Stuff Data'!G21,IF('4 Season Planner'!B6&lt;4,'9 Calculated Stuff Data'!G20,IF('4 Season Planner'!B6&lt;9,'9 Calculated Stuff Data'!G19,0))))</f>
        <v/>
      </c>
      <c r="C38" s="125">
        <f>-IF('4 Season Planner'!C6="",0,IF('4 Season Planner'!C6=1,'9 Calculated Stuff Data'!H21,IF('4 Season Planner'!C6&lt;4,'9 Calculated Stuff Data'!H20,IF('4 Season Planner'!C6&lt;9,'9 Calculated Stuff Data'!H19,0))))</f>
        <v/>
      </c>
      <c r="D38" s="125">
        <f>-IF('4 Season Planner'!D6="",0,IF('4 Season Planner'!D6=1,'9 Calculated Stuff Data'!I21,IF('4 Season Planner'!D6&lt;4,'9 Calculated Stuff Data'!I20,IF('4 Season Planner'!D6&lt;9,'9 Calculated Stuff Data'!I19,0))))</f>
        <v/>
      </c>
      <c r="E38" s="125">
        <f>-IF('4 Season Planner'!E6="",0,IF('4 Season Planner'!E6=1,'9 Calculated Stuff Data'!J21,IF('4 Season Planner'!E6&lt;4,'9 Calculated Stuff Data'!J20,IF('4 Season Planner'!E6&lt;9,'9 Calculated Stuff Data'!J19,0))))</f>
        <v/>
      </c>
      <c r="F38" s="125">
        <f>-IF('4 Season Planner'!F6="",0,IF('4 Season Planner'!F6=1,'9 Calculated Stuff Data'!K21,IF('4 Season Planner'!F6&lt;4,'9 Calculated Stuff Data'!K20,IF('4 Season Planner'!F6&lt;9,'9 Calculated Stuff Data'!K19,0))))</f>
        <v/>
      </c>
      <c r="G38" s="125">
        <f>-IF('4 Season Planner'!G6="",0,IF('4 Season Planner'!G6=1,'9 Calculated Stuff Data'!L21,IF('4 Season Planner'!G6&lt;4,'9 Calculated Stuff Data'!L20,IF('4 Season Planner'!G6&lt;9,'9 Calculated Stuff Data'!L19,0))))</f>
        <v/>
      </c>
      <c r="H38" s="125">
        <f>-IF('4 Season Planner'!H6="",0,IF('4 Season Planner'!H6=1,'9 Calculated Stuff Data'!M21,IF('4 Season Planner'!H6&lt;4,'9 Calculated Stuff Data'!M20,IF('4 Season Planner'!H6&lt;9,'9 Calculated Stuff Data'!M19,0))))</f>
        <v/>
      </c>
      <c r="I38" s="125">
        <f>-IF('4 Season Planner'!I6="",0,IF('4 Season Planner'!I6=1,'9 Calculated Stuff Data'!N21,IF('4 Season Planner'!I6&lt;4,'9 Calculated Stuff Data'!N20,IF('4 Season Planner'!I6&lt;9,'9 Calculated Stuff Data'!N19,0))))</f>
        <v/>
      </c>
      <c r="J38" s="125">
        <f>-IF('4 Season Planner'!J6="",0,IF('4 Season Planner'!J6=1,'9 Calculated Stuff Data'!O21,IF('4 Season Planner'!J6&lt;4,'9 Calculated Stuff Data'!O20,IF('4 Season Planner'!J6&lt;9,'9 Calculated Stuff Data'!O19,0))))</f>
        <v/>
      </c>
      <c r="K38" s="125">
        <f>-IF('4 Season Planner'!K6="",0,IF('4 Season Planner'!K6=1,'9 Calculated Stuff Data'!P21,IF('4 Season Planner'!K6&lt;4,'9 Calculated Stuff Data'!P20,IF('4 Season Planner'!K6&lt;9,'9 Calculated Stuff Data'!P19,0))))</f>
        <v/>
      </c>
      <c r="L38" s="125">
        <f>-IF('4 Season Planner'!L6="",0,IF('4 Season Planner'!L6=1,'9 Calculated Stuff Data'!Q21,IF('4 Season Planner'!L6&lt;4,'9 Calculated Stuff Data'!Q20,IF('4 Season Planner'!L6&lt;9,'9 Calculated Stuff Data'!Q19,0))))</f>
        <v/>
      </c>
      <c r="M38" s="125">
        <f>-IF('4 Season Planner'!M6="",0,IF('4 Season Planner'!M6=1,'9 Calculated Stuff Data'!R21,IF('4 Season Planner'!M6&lt;4,'9 Calculated Stuff Data'!R20,IF('4 Season Planner'!M6&lt;9,'9 Calculated Stuff Data'!R19,0))))</f>
        <v/>
      </c>
      <c r="N38" s="125">
        <f>-IF('4 Season Planner'!N6="",0,IF('4 Season Planner'!N6=1,'9 Calculated Stuff Data'!S21,IF('4 Season Planner'!N6&lt;4,'9 Calculated Stuff Data'!S20,IF('4 Season Planner'!N6&lt;9,'9 Calculated Stuff Data'!S19,0))))</f>
        <v/>
      </c>
      <c r="O38" s="125">
        <f>-IF('4 Season Planner'!O6="",0,IF('4 Season Planner'!O6=1,'9 Calculated Stuff Data'!T21,IF('4 Season Planner'!O6&lt;4,'9 Calculated Stuff Data'!T20,IF('4 Season Planner'!O6&lt;9,'9 Calculated Stuff Data'!T19,0))))</f>
        <v/>
      </c>
      <c r="P38" s="125">
        <f>-IF('4 Season Planner'!P6="",0,IF('4 Season Planner'!P6=1,'9 Calculated Stuff Data'!U21,IF('4 Season Planner'!P6&lt;4,'9 Calculated Stuff Data'!U20,IF('4 Season Planner'!P6&lt;9,'9 Calculated Stuff Data'!U19,0))))</f>
        <v/>
      </c>
      <c r="Q38" s="125">
        <f>-IF('4 Season Planner'!Q6="",0,IF('4 Season Planner'!Q6=1,'9 Calculated Stuff Data'!V21,IF('4 Season Planner'!Q6&lt;4,'9 Calculated Stuff Data'!V20,IF('4 Season Planner'!Q6&lt;9,'9 Calculated Stuff Data'!V19,0))))</f>
        <v/>
      </c>
      <c r="R38" s="130">
        <f>-IF('4 Season Planner'!R6="",0,IF('4 Season Planner'!R6=1,'9 Calculated Stuff Data'!W21,IF('4 Season Planner'!R6&lt;4,'9 Calculated Stuff Data'!W20,IF('4 Season Planner'!R6&lt;9,'9 Calculated Stuff Data'!W19,0))))</f>
        <v/>
      </c>
    </row>
    <row r="39" ht="14.25" customHeight="1" s="267">
      <c r="A39" s="4" t="inlineStr">
        <is>
          <t>Technical Director Salary</t>
        </is>
      </c>
      <c r="B39" s="129">
        <f>-'9 Calculated Stuff Data'!B34</f>
        <v/>
      </c>
      <c r="C39" s="125">
        <f>-'9 Calculated Stuff Data'!C34</f>
        <v/>
      </c>
      <c r="D39" s="125">
        <f>-'9 Calculated Stuff Data'!D34</f>
        <v/>
      </c>
      <c r="E39" s="125">
        <f>-'9 Calculated Stuff Data'!E34</f>
        <v/>
      </c>
      <c r="F39" s="125">
        <f>-'9 Calculated Stuff Data'!F34</f>
        <v/>
      </c>
      <c r="G39" s="125">
        <f>-'9 Calculated Stuff Data'!G34</f>
        <v/>
      </c>
      <c r="H39" s="125">
        <f>-'9 Calculated Stuff Data'!H34</f>
        <v/>
      </c>
      <c r="I39" s="125">
        <f>-'9 Calculated Stuff Data'!I34</f>
        <v/>
      </c>
      <c r="J39" s="125">
        <f>-'9 Calculated Stuff Data'!J34</f>
        <v/>
      </c>
      <c r="K39" s="125">
        <f>-'9 Calculated Stuff Data'!K34</f>
        <v/>
      </c>
      <c r="L39" s="125">
        <f>-'9 Calculated Stuff Data'!L34</f>
        <v/>
      </c>
      <c r="M39" s="125">
        <f>-'9 Calculated Stuff Data'!M34</f>
        <v/>
      </c>
      <c r="N39" s="125">
        <f>-'9 Calculated Stuff Data'!N34</f>
        <v/>
      </c>
      <c r="O39" s="125">
        <f>-'9 Calculated Stuff Data'!O34</f>
        <v/>
      </c>
      <c r="P39" s="125">
        <f>-'9 Calculated Stuff Data'!P34</f>
        <v/>
      </c>
      <c r="Q39" s="125">
        <f>-'9 Calculated Stuff Data'!Q34</f>
        <v/>
      </c>
      <c r="R39" s="130">
        <f>-'9 Calculated Stuff Data'!R34</f>
        <v/>
      </c>
    </row>
    <row r="40" ht="14.25" customHeight="1" s="267">
      <c r="A40" s="4" t="inlineStr">
        <is>
          <t>Technical Director Bonuses</t>
        </is>
      </c>
      <c r="B40" s="129">
        <f>-IF('4 Season Planner'!B6="",0,IF('4 Season Planner'!B6=1,'9 Calculated Stuff Data'!G37,IF('4 Season Planner'!B6&lt;4,'9 Calculated Stuff Data'!G36,IF('4 Season Planner'!B6&lt;9,'9 Calculated Stuff Data'!G35,0))))</f>
        <v/>
      </c>
      <c r="C40" s="125">
        <f>-IF('4 Season Planner'!C6="",0,IF('4 Season Planner'!C6=1,'9 Calculated Stuff Data'!H37,IF('4 Season Planner'!C6&lt;4,'9 Calculated Stuff Data'!H36,IF('4 Season Planner'!C6&lt;9,'9 Calculated Stuff Data'!H35,0))))</f>
        <v/>
      </c>
      <c r="D40" s="125">
        <f>-IF('4 Season Planner'!D6="",0,IF('4 Season Planner'!D6=1,'9 Calculated Stuff Data'!I37,IF('4 Season Planner'!D6&lt;4,'9 Calculated Stuff Data'!I36,IF('4 Season Planner'!D6&lt;9,'9 Calculated Stuff Data'!I35,0))))</f>
        <v/>
      </c>
      <c r="E40" s="125">
        <f>-IF('4 Season Planner'!E6="",0,IF('4 Season Planner'!E6=1,'9 Calculated Stuff Data'!J37,IF('4 Season Planner'!E6&lt;4,'9 Calculated Stuff Data'!J36,IF('4 Season Planner'!E6&lt;9,'9 Calculated Stuff Data'!J35,0))))</f>
        <v/>
      </c>
      <c r="F40" s="125">
        <f>-IF('4 Season Planner'!F6="",0,IF('4 Season Planner'!F6=1,'9 Calculated Stuff Data'!K37,IF('4 Season Planner'!F6&lt;4,'9 Calculated Stuff Data'!K36,IF('4 Season Planner'!F6&lt;9,'9 Calculated Stuff Data'!K35,0))))</f>
        <v/>
      </c>
      <c r="G40" s="125">
        <f>-IF('4 Season Planner'!G6="",0,IF('4 Season Planner'!G6=1,'9 Calculated Stuff Data'!L37,IF('4 Season Planner'!G6&lt;4,'9 Calculated Stuff Data'!L36,IF('4 Season Planner'!G6&lt;9,'9 Calculated Stuff Data'!L35,0))))</f>
        <v/>
      </c>
      <c r="H40" s="125">
        <f>-IF('4 Season Planner'!H6="",0,IF('4 Season Planner'!H6=1,'9 Calculated Stuff Data'!M37,IF('4 Season Planner'!H6&lt;4,'9 Calculated Stuff Data'!M36,IF('4 Season Planner'!H6&lt;9,'9 Calculated Stuff Data'!M35,0))))</f>
        <v/>
      </c>
      <c r="I40" s="125">
        <f>-IF('4 Season Planner'!I6="",0,IF('4 Season Planner'!I6=1,'9 Calculated Stuff Data'!N37,IF('4 Season Planner'!I6&lt;4,'9 Calculated Stuff Data'!N36,IF('4 Season Planner'!I6&lt;9,'9 Calculated Stuff Data'!N35,0))))</f>
        <v/>
      </c>
      <c r="J40" s="125">
        <f>-IF('4 Season Planner'!J6="",0,IF('4 Season Planner'!J6=1,'9 Calculated Stuff Data'!O37,IF('4 Season Planner'!J6&lt;4,'9 Calculated Stuff Data'!O36,IF('4 Season Planner'!J6&lt;9,'9 Calculated Stuff Data'!O35,0))))</f>
        <v/>
      </c>
      <c r="K40" s="125">
        <f>-IF('4 Season Planner'!K6="",0,IF('4 Season Planner'!K6=1,'9 Calculated Stuff Data'!P37,IF('4 Season Planner'!K6&lt;4,'9 Calculated Stuff Data'!P36,IF('4 Season Planner'!K6&lt;9,'9 Calculated Stuff Data'!P35,0))))</f>
        <v/>
      </c>
      <c r="L40" s="125">
        <f>-IF('4 Season Planner'!L6="",0,IF('4 Season Planner'!L6=1,'9 Calculated Stuff Data'!Q37,IF('4 Season Planner'!L6&lt;4,'9 Calculated Stuff Data'!Q36,IF('4 Season Planner'!L6&lt;9,'9 Calculated Stuff Data'!Q35,0))))</f>
        <v/>
      </c>
      <c r="M40" s="125">
        <f>-IF('4 Season Planner'!M6="",0,IF('4 Season Planner'!M6=1,'9 Calculated Stuff Data'!R37,IF('4 Season Planner'!M6&lt;4,'9 Calculated Stuff Data'!R36,IF('4 Season Planner'!M6&lt;9,'9 Calculated Stuff Data'!R35,0))))</f>
        <v/>
      </c>
      <c r="N40" s="125">
        <f>-IF('4 Season Planner'!N6="",0,IF('4 Season Planner'!N6=1,'9 Calculated Stuff Data'!S37,IF('4 Season Planner'!N6&lt;4,'9 Calculated Stuff Data'!S36,IF('4 Season Planner'!N6&lt;9,'9 Calculated Stuff Data'!S35,0))))</f>
        <v/>
      </c>
      <c r="O40" s="125">
        <f>-IF('4 Season Planner'!O6="",0,IF('4 Season Planner'!O6=1,'9 Calculated Stuff Data'!T37,IF('4 Season Planner'!O6&lt;4,'9 Calculated Stuff Data'!T36,IF('4 Season Planner'!O6&lt;9,'9 Calculated Stuff Data'!T35,0))))</f>
        <v/>
      </c>
      <c r="P40" s="125">
        <f>-IF('4 Season Planner'!P6="",0,IF('4 Season Planner'!P6=1,'9 Calculated Stuff Data'!U37,IF('4 Season Planner'!P6&lt;4,'9 Calculated Stuff Data'!U36,IF('4 Season Planner'!P6&lt;9,'9 Calculated Stuff Data'!U35,0))))</f>
        <v/>
      </c>
      <c r="Q40" s="125">
        <f>-IF('4 Season Planner'!Q6="",0,IF('4 Season Planner'!Q6=1,'9 Calculated Stuff Data'!V37,IF('4 Season Planner'!Q6&lt;4,'9 Calculated Stuff Data'!V36,IF('4 Season Planner'!Q6&lt;9,'9 Calculated Stuff Data'!V35,0))))</f>
        <v/>
      </c>
      <c r="R40" s="130">
        <f>-IF('4 Season Planner'!R6="",0,IF('4 Season Planner'!R6=1,'9 Calculated Stuff Data'!W37,IF('4 Season Planner'!R6&lt;4,'9 Calculated Stuff Data'!W36,IF('4 Season Planner'!R6&lt;9,'9 Calculated Stuff Data'!W35,0))))</f>
        <v/>
      </c>
    </row>
    <row r="41" ht="14.25" customHeight="1" s="267">
      <c r="A41" s="4" t="inlineStr">
        <is>
          <t>Staff salary</t>
        </is>
      </c>
      <c r="B41" s="129">
        <f>-11000*'9 Calculated Stuff Data'!B43-6000*'9 Calculated Stuff Data'!B44-18000*'9 Calculated Stuff Data'!B45</f>
        <v/>
      </c>
      <c r="C41" s="125">
        <f>-11000*'9 Calculated Stuff Data'!C43-6000*'9 Calculated Stuff Data'!C44-18000*'9 Calculated Stuff Data'!C45</f>
        <v/>
      </c>
      <c r="D41" s="125">
        <f>-11000*'9 Calculated Stuff Data'!D43-6000*'9 Calculated Stuff Data'!D44-18000*'9 Calculated Stuff Data'!D45</f>
        <v/>
      </c>
      <c r="E41" s="125">
        <f>-11000*'9 Calculated Stuff Data'!E43-6000*'9 Calculated Stuff Data'!E44-18000*'9 Calculated Stuff Data'!E45</f>
        <v/>
      </c>
      <c r="F41" s="125">
        <f>-11000*'9 Calculated Stuff Data'!F43-6000*'9 Calculated Stuff Data'!F44-18000*'9 Calculated Stuff Data'!F45</f>
        <v/>
      </c>
      <c r="G41" s="125">
        <f>-11000*'9 Calculated Stuff Data'!G43-6000*'9 Calculated Stuff Data'!G44-18000*'9 Calculated Stuff Data'!G45</f>
        <v/>
      </c>
      <c r="H41" s="125">
        <f>-11000*'9 Calculated Stuff Data'!H43-6000*'9 Calculated Stuff Data'!H44-18000*'9 Calculated Stuff Data'!H45</f>
        <v/>
      </c>
      <c r="I41" s="125">
        <f>-11000*'9 Calculated Stuff Data'!I43-6000*'9 Calculated Stuff Data'!I44-18000*'9 Calculated Stuff Data'!I45</f>
        <v/>
      </c>
      <c r="J41" s="125">
        <f>-11000*'9 Calculated Stuff Data'!J43-6000*'9 Calculated Stuff Data'!J44-18000*'9 Calculated Stuff Data'!J45</f>
        <v/>
      </c>
      <c r="K41" s="125">
        <f>-11000*'9 Calculated Stuff Data'!K43-6000*'9 Calculated Stuff Data'!K44-18000*'9 Calculated Stuff Data'!K45</f>
        <v/>
      </c>
      <c r="L41" s="125">
        <f>-11000*'9 Calculated Stuff Data'!L43-6000*'9 Calculated Stuff Data'!L44-18000*'9 Calculated Stuff Data'!L45</f>
        <v/>
      </c>
      <c r="M41" s="125">
        <f>-11000*'9 Calculated Stuff Data'!M43-6000*'9 Calculated Stuff Data'!M44-18000*'9 Calculated Stuff Data'!M45</f>
        <v/>
      </c>
      <c r="N41" s="125">
        <f>-11000*'9 Calculated Stuff Data'!N43-6000*'9 Calculated Stuff Data'!N44-18000*'9 Calculated Stuff Data'!N45</f>
        <v/>
      </c>
      <c r="O41" s="125">
        <f>-11000*'9 Calculated Stuff Data'!O43-6000*'9 Calculated Stuff Data'!O44-18000*'9 Calculated Stuff Data'!O45</f>
        <v/>
      </c>
      <c r="P41" s="125">
        <f>-11000*'9 Calculated Stuff Data'!P43-6000*'9 Calculated Stuff Data'!P44-18000*'9 Calculated Stuff Data'!P45</f>
        <v/>
      </c>
      <c r="Q41" s="125">
        <f>-11000*'9 Calculated Stuff Data'!Q43-6000*'9 Calculated Stuff Data'!Q44-18000*'9 Calculated Stuff Data'!Q45</f>
        <v/>
      </c>
      <c r="R41" s="130">
        <f>-11000*'9 Calculated Stuff Data'!R43-6000*'9 Calculated Stuff Data'!R44-18000*'9 Calculated Stuff Data'!R45</f>
        <v/>
      </c>
    </row>
    <row r="42" ht="14.25" customHeight="1" s="267">
      <c r="A42" s="4" t="inlineStr">
        <is>
          <t>Facilities maintenance</t>
        </is>
      </c>
      <c r="B42" s="131">
        <f>-SUM('9 Calculated Stuff Data'!B48:B54)*5000</f>
        <v/>
      </c>
      <c r="C42" s="132">
        <f>-SUM('9 Calculated Stuff Data'!C48:C54)*5000</f>
        <v/>
      </c>
      <c r="D42" s="132">
        <f>-SUM('9 Calculated Stuff Data'!D48:D54)*5000</f>
        <v/>
      </c>
      <c r="E42" s="132">
        <f>-SUM('9 Calculated Stuff Data'!E48:E54)*5000</f>
        <v/>
      </c>
      <c r="F42" s="132">
        <f>-SUM('9 Calculated Stuff Data'!F48:F54)*5000</f>
        <v/>
      </c>
      <c r="G42" s="132">
        <f>-SUM('9 Calculated Stuff Data'!G48:G54)*5000</f>
        <v/>
      </c>
      <c r="H42" s="132">
        <f>-SUM('9 Calculated Stuff Data'!H48:H54)*5000</f>
        <v/>
      </c>
      <c r="I42" s="132">
        <f>-SUM('9 Calculated Stuff Data'!I48:I54)*5000</f>
        <v/>
      </c>
      <c r="J42" s="132">
        <f>-SUM('9 Calculated Stuff Data'!J48:J54)*5000</f>
        <v/>
      </c>
      <c r="K42" s="132">
        <f>-SUM('9 Calculated Stuff Data'!K48:K54)*5000</f>
        <v/>
      </c>
      <c r="L42" s="132">
        <f>-SUM('9 Calculated Stuff Data'!L48:L54)*5000</f>
        <v/>
      </c>
      <c r="M42" s="132">
        <f>-SUM('9 Calculated Stuff Data'!M48:M54)*5000</f>
        <v/>
      </c>
      <c r="N42" s="132">
        <f>-SUM('9 Calculated Stuff Data'!N48:N54)*5000</f>
        <v/>
      </c>
      <c r="O42" s="132">
        <f>-SUM('9 Calculated Stuff Data'!O48:O54)*5000</f>
        <v/>
      </c>
      <c r="P42" s="132">
        <f>-SUM('9 Calculated Stuff Data'!P48:P54)*5000</f>
        <v/>
      </c>
      <c r="Q42" s="132">
        <f>-SUM('9 Calculated Stuff Data'!Q48:Q54)*5000</f>
        <v/>
      </c>
      <c r="R42" s="133">
        <f>-SUM('9 Calculated Stuff Data'!R48:R54)*5000</f>
        <v/>
      </c>
    </row>
    <row r="43" ht="14.25" customHeight="1" s="267">
      <c r="A43" s="4" t="n"/>
      <c r="B43" s="125" t="n"/>
      <c r="C43" s="125" t="n"/>
      <c r="D43" s="125" t="n"/>
      <c r="E43" s="125" t="n"/>
      <c r="F43" s="125" t="n"/>
      <c r="G43" s="125" t="n"/>
      <c r="H43" s="125" t="n"/>
      <c r="I43" s="125" t="n"/>
      <c r="J43" s="125" t="n"/>
      <c r="K43" s="125" t="n"/>
      <c r="L43" s="125" t="n"/>
      <c r="M43" s="125" t="n"/>
      <c r="N43" s="125" t="n"/>
      <c r="O43" s="125" t="n"/>
      <c r="P43" s="125" t="n"/>
      <c r="Q43" s="125" t="n"/>
      <c r="R43" s="125" t="n"/>
    </row>
    <row r="44" ht="14.25" customHeight="1" s="267">
      <c r="A44" s="4" t="inlineStr">
        <is>
          <t>Tyre costs</t>
        </is>
      </c>
      <c r="B44" s="136">
        <f>-IF('1 Season'!$B$24="","",VLOOKUP('1 Season'!$B$24,'13 Miscellaneous Data'!$A$2:$I$10,3,FALSE))</f>
        <v/>
      </c>
      <c r="C44" s="134">
        <f>-IF('1 Season'!$B$24="","",VLOOKUP('1 Season'!$B$24,'13 Miscellaneous Data'!$A$2:$I$10,3,FALSE))</f>
        <v/>
      </c>
      <c r="D44" s="134">
        <f>-IF('1 Season'!$B$24="","",VLOOKUP('1 Season'!$B$24,'13 Miscellaneous Data'!$A$2:$I$10,3,FALSE))</f>
        <v/>
      </c>
      <c r="E44" s="134">
        <f>-IF('1 Season'!$B$24="","",VLOOKUP('1 Season'!$B$24,'13 Miscellaneous Data'!$A$2:$I$10,3,FALSE))</f>
        <v/>
      </c>
      <c r="F44" s="134">
        <f>-IF('1 Season'!$B$24="","",VLOOKUP('1 Season'!$B$24,'13 Miscellaneous Data'!$A$2:$I$10,3,FALSE))</f>
        <v/>
      </c>
      <c r="G44" s="134">
        <f>-IF('1 Season'!$B$24="","",VLOOKUP('1 Season'!$B$24,'13 Miscellaneous Data'!$A$2:$I$10,3,FALSE))</f>
        <v/>
      </c>
      <c r="H44" s="134">
        <f>-IF('1 Season'!$B$24="","",VLOOKUP('1 Season'!$B$24,'13 Miscellaneous Data'!$A$2:$I$10,3,FALSE))</f>
        <v/>
      </c>
      <c r="I44" s="134">
        <f>-IF('1 Season'!$B$24="","",VLOOKUP('1 Season'!$B$24,'13 Miscellaneous Data'!$A$2:$I$10,3,FALSE))</f>
        <v/>
      </c>
      <c r="J44" s="134">
        <f>-IF('1 Season'!$B$24="","",VLOOKUP('1 Season'!$B$24,'13 Miscellaneous Data'!$A$2:$I$10,3,FALSE))</f>
        <v/>
      </c>
      <c r="K44" s="134">
        <f>-IF('1 Season'!$B$24="","",VLOOKUP('1 Season'!$B$24,'13 Miscellaneous Data'!$A$2:$I$10,3,FALSE))</f>
        <v/>
      </c>
      <c r="L44" s="134">
        <f>-IF('1 Season'!$B$24="","",VLOOKUP('1 Season'!$B$24,'13 Miscellaneous Data'!$A$2:$I$10,3,FALSE))</f>
        <v/>
      </c>
      <c r="M44" s="134">
        <f>-IF('1 Season'!$B$24="","",VLOOKUP('1 Season'!$B$24,'13 Miscellaneous Data'!$A$2:$I$10,3,FALSE))</f>
        <v/>
      </c>
      <c r="N44" s="134">
        <f>-IF('1 Season'!$B$24="","",VLOOKUP('1 Season'!$B$24,'13 Miscellaneous Data'!$A$2:$I$10,3,FALSE))</f>
        <v/>
      </c>
      <c r="O44" s="134">
        <f>-IF('1 Season'!$B$24="","",VLOOKUP('1 Season'!$B$24,'13 Miscellaneous Data'!$A$2:$I$10,3,FALSE))</f>
        <v/>
      </c>
      <c r="P44" s="134">
        <f>-IF('1 Season'!$B$24="","",VLOOKUP('1 Season'!$B$24,'13 Miscellaneous Data'!$A$2:$I$10,3,FALSE))</f>
        <v/>
      </c>
      <c r="Q44" s="134">
        <f>-IF('1 Season'!$B$24="","",VLOOKUP('1 Season'!$B$24,'13 Miscellaneous Data'!$A$2:$I$10,3,FALSE))</f>
        <v/>
      </c>
      <c r="R44" s="135">
        <f>-IF('1 Season'!$B$24="","",VLOOKUP('1 Season'!$B$24,'13 Miscellaneous Data'!$A$2:$I$10,3,FALSE))</f>
        <v/>
      </c>
    </row>
    <row r="45" ht="14.25" customHeight="1" s="267">
      <c r="A45" s="4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 ht="14.25" customHeight="1" s="267">
      <c r="A46" s="25" t="inlineStr">
        <is>
          <t>Money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 ht="14.25" customHeight="1" s="267">
      <c r="A47" s="4" t="inlineStr">
        <is>
          <t>Money at End of Previous Race</t>
        </is>
      </c>
      <c r="B47" s="126">
        <f>'1 Season'!B26</f>
        <v/>
      </c>
      <c r="C47" s="127">
        <f>B51</f>
        <v/>
      </c>
      <c r="D47" s="127">
        <f>C51</f>
        <v/>
      </c>
      <c r="E47" s="127">
        <f>D51</f>
        <v/>
      </c>
      <c r="F47" s="127">
        <f>E51</f>
        <v/>
      </c>
      <c r="G47" s="127">
        <f>F51</f>
        <v/>
      </c>
      <c r="H47" s="127">
        <f>G51</f>
        <v/>
      </c>
      <c r="I47" s="127">
        <f>H51</f>
        <v/>
      </c>
      <c r="J47" s="127">
        <f>I51</f>
        <v/>
      </c>
      <c r="K47" s="127">
        <f>J51</f>
        <v/>
      </c>
      <c r="L47" s="127">
        <f>K51</f>
        <v/>
      </c>
      <c r="M47" s="127">
        <f>L51</f>
        <v/>
      </c>
      <c r="N47" s="127">
        <f>M51</f>
        <v/>
      </c>
      <c r="O47" s="127">
        <f>N51</f>
        <v/>
      </c>
      <c r="P47" s="127">
        <f>O51</f>
        <v/>
      </c>
      <c r="Q47" s="127">
        <f>P51</f>
        <v/>
      </c>
      <c r="R47" s="128">
        <f>Q51</f>
        <v/>
      </c>
    </row>
    <row r="48" ht="14.25" customHeight="1" s="267">
      <c r="A48" s="4" t="inlineStr">
        <is>
          <t>Pre-race income/expenditure</t>
        </is>
      </c>
      <c r="B48" s="129">
        <f>B5+B6+B7+B9+B10+B11+B13+B27</f>
        <v/>
      </c>
      <c r="C48" s="125">
        <f>C5+C6+C7+C9+C10+C11+C13+C27</f>
        <v/>
      </c>
      <c r="D48" s="125">
        <f>D5+D6+D7+D9+D10+D11+D13+D27</f>
        <v/>
      </c>
      <c r="E48" s="125">
        <f>E5+E6+E7+E9+E10+E11+E13+E27</f>
        <v/>
      </c>
      <c r="F48" s="125">
        <f>F5+F6+F7+F9+F10+F11+F13+F27</f>
        <v/>
      </c>
      <c r="G48" s="125">
        <f>G5+G6+G7+G9+G10+G11+G13+G27</f>
        <v/>
      </c>
      <c r="H48" s="125">
        <f>H5+H6+H7+H9+H10+H11+H13+H27</f>
        <v/>
      </c>
      <c r="I48" s="125">
        <f>I5+I6+I7+I9+I10+I11+I13+I27</f>
        <v/>
      </c>
      <c r="J48" s="125">
        <f>J5+J6+J7+J9+J10+J11+J13+J27</f>
        <v/>
      </c>
      <c r="K48" s="125">
        <f>K5+K6+K7+K9+K10+K11+K13+K27</f>
        <v/>
      </c>
      <c r="L48" s="125">
        <f>L5+L6+L7+L9+L10+L11+L13+L27</f>
        <v/>
      </c>
      <c r="M48" s="125">
        <f>M5+M6+M7+M9+M10+M11+M13+M27</f>
        <v/>
      </c>
      <c r="N48" s="125">
        <f>N5+N6+N7+N9+N10+N11+N13+N27</f>
        <v/>
      </c>
      <c r="O48" s="125">
        <f>O5+O6+O7+O9+O10+O11+O13+O27</f>
        <v/>
      </c>
      <c r="P48" s="125">
        <f>P5+P6+P7+P9+P10+P11+P13+P27</f>
        <v/>
      </c>
      <c r="Q48" s="125">
        <f>Q5+Q6+Q7+Q9+Q10+Q11+Q13+Q27</f>
        <v/>
      </c>
      <c r="R48" s="130">
        <f>R5+R6+R7+R9+R10+R11+R13+R27</f>
        <v/>
      </c>
    </row>
    <row r="49" ht="14.25" customHeight="1" s="267">
      <c r="A49" s="137" t="inlineStr">
        <is>
          <t>Money at Start of Race</t>
        </is>
      </c>
      <c r="B49" s="138">
        <f>IF(B54="",B47+B48,B54)</f>
        <v/>
      </c>
      <c r="C49" s="139">
        <f>IF(C54="",C47+C48,C54)</f>
        <v/>
      </c>
      <c r="D49" s="139">
        <f>IF(D54="",D47+D48,D54)</f>
        <v/>
      </c>
      <c r="E49" s="139">
        <f>IF(E54="",E47+E48,E54)</f>
        <v/>
      </c>
      <c r="F49" s="139">
        <f>IF(F54="",F47+F48,F54)</f>
        <v/>
      </c>
      <c r="G49" s="139">
        <f>IF(G54="",G47+G48,G54)</f>
        <v/>
      </c>
      <c r="H49" s="139">
        <f>IF(H54="",H47+H48,H54)</f>
        <v/>
      </c>
      <c r="I49" s="139">
        <f>IF(I54="",I47+I48,I54)</f>
        <v/>
      </c>
      <c r="J49" s="139">
        <f>IF(J54="",J47+J48,J54)</f>
        <v/>
      </c>
      <c r="K49" s="139">
        <f>IF(K54="",K47+K48,K54)</f>
        <v/>
      </c>
      <c r="L49" s="139">
        <f>IF(L54="",L47+L48,L54)</f>
        <v/>
      </c>
      <c r="M49" s="139">
        <f>IF(M54="",M47+M48,M54)</f>
        <v/>
      </c>
      <c r="N49" s="139">
        <f>IF(N54="",N47+N48,N54)</f>
        <v/>
      </c>
      <c r="O49" s="139">
        <f>IF(O54="",O47+O48,O54)</f>
        <v/>
      </c>
      <c r="P49" s="139">
        <f>IF(P54="",P47+P48,P54)</f>
        <v/>
      </c>
      <c r="Q49" s="139">
        <f>IF(Q54="",Q47+Q48,Q54)</f>
        <v/>
      </c>
      <c r="R49" s="140">
        <f>IF(R54="",R47+R48,R54)</f>
        <v/>
      </c>
    </row>
    <row r="50" ht="14.25" customHeight="1" s="267">
      <c r="A50" s="4" t="inlineStr">
        <is>
          <t>Race income/expenditure</t>
        </is>
      </c>
      <c r="B50" s="129">
        <f>SUM(B30:B44)</f>
        <v/>
      </c>
      <c r="C50" s="125">
        <f>SUM(C30:C44)</f>
        <v/>
      </c>
      <c r="D50" s="125">
        <f>SUM(D30:D44)</f>
        <v/>
      </c>
      <c r="E50" s="125">
        <f>SUM(E30:E44)</f>
        <v/>
      </c>
      <c r="F50" s="125">
        <f>SUM(F30:F44)</f>
        <v/>
      </c>
      <c r="G50" s="125">
        <f>SUM(G30:G44)</f>
        <v/>
      </c>
      <c r="H50" s="125">
        <f>SUM(H30:H44)</f>
        <v/>
      </c>
      <c r="I50" s="125">
        <f>SUM(I30:I44)</f>
        <v/>
      </c>
      <c r="J50" s="125">
        <f>SUM(J30:J44)</f>
        <v/>
      </c>
      <c r="K50" s="125">
        <f>SUM(K30:K44)</f>
        <v/>
      </c>
      <c r="L50" s="125">
        <f>SUM(L30:L44)</f>
        <v/>
      </c>
      <c r="M50" s="125">
        <f>SUM(M30:M44)</f>
        <v/>
      </c>
      <c r="N50" s="125">
        <f>SUM(N30:N44)</f>
        <v/>
      </c>
      <c r="O50" s="125">
        <f>SUM(O30:O44)</f>
        <v/>
      </c>
      <c r="P50" s="125">
        <f>SUM(P30:P44)</f>
        <v/>
      </c>
      <c r="Q50" s="125">
        <f>SUM(Q30:Q44)</f>
        <v/>
      </c>
      <c r="R50" s="130">
        <f>SUM(R30:R44)</f>
        <v/>
      </c>
    </row>
    <row r="51" ht="14.25" customHeight="1" s="267">
      <c r="A51" s="137" t="inlineStr">
        <is>
          <t>Money at End of Race</t>
        </is>
      </c>
      <c r="B51" s="141">
        <f>IF(B55="",B49+B50,B55)</f>
        <v/>
      </c>
      <c r="C51" s="142">
        <f>IF(C55="",C49+C50,C55)</f>
        <v/>
      </c>
      <c r="D51" s="142">
        <f>IF(D55="",D49+D50,D55)</f>
        <v/>
      </c>
      <c r="E51" s="142">
        <f>IF(E55="",E49+E50,E55)</f>
        <v/>
      </c>
      <c r="F51" s="142">
        <f>IF(F55="",F49+F50,F55)</f>
        <v/>
      </c>
      <c r="G51" s="142">
        <f>IF(G55="",G49+G50,G55)</f>
        <v/>
      </c>
      <c r="H51" s="142">
        <f>IF(H55="",H49+H50,H55)</f>
        <v/>
      </c>
      <c r="I51" s="142">
        <f>IF(I55="",I49+I50,I55)</f>
        <v/>
      </c>
      <c r="J51" s="142">
        <f>IF(J55="",J49+J50,J55)</f>
        <v/>
      </c>
      <c r="K51" s="142">
        <f>IF(K55="",K49+K50,K55)</f>
        <v/>
      </c>
      <c r="L51" s="142">
        <f>IF(L55="",L49+L50,L55)</f>
        <v/>
      </c>
      <c r="M51" s="142">
        <f>IF(M55="",M49+M50,M55)</f>
        <v/>
      </c>
      <c r="N51" s="142">
        <f>IF(N55="",N49+N50,N55)</f>
        <v/>
      </c>
      <c r="O51" s="142">
        <f>IF(O55="",O49+O50,O55)</f>
        <v/>
      </c>
      <c r="P51" s="142">
        <f>IF(P55="",P49+P50,P55)</f>
        <v/>
      </c>
      <c r="Q51" s="142">
        <f>IF(Q55="",Q49+Q50,Q55)</f>
        <v/>
      </c>
      <c r="R51" s="143">
        <f>IF(R55="",R49+R50,R55)</f>
        <v/>
      </c>
    </row>
    <row r="52" ht="14.25" customHeight="1" s="267">
      <c r="A52" s="4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 ht="14.25" customHeight="1" s="267">
      <c r="A53" s="25" t="inlineStr">
        <is>
          <t>Actual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 ht="14.25" customHeight="1" s="267">
      <c r="A54" s="144" t="inlineStr">
        <is>
          <t>Money at Start of Race</t>
        </is>
      </c>
      <c r="B54" s="145" t="n"/>
      <c r="C54" s="146" t="n"/>
      <c r="D54" s="146" t="n"/>
      <c r="E54" s="146" t="n"/>
      <c r="F54" s="146" t="n"/>
      <c r="G54" s="146" t="n"/>
      <c r="H54" s="146" t="n"/>
      <c r="I54" s="146" t="n"/>
      <c r="J54" s="146" t="n"/>
      <c r="K54" s="146" t="n"/>
      <c r="L54" s="146" t="n"/>
      <c r="M54" s="146" t="n"/>
      <c r="N54" s="146" t="n"/>
      <c r="O54" s="146" t="n"/>
      <c r="P54" s="146" t="n"/>
      <c r="Q54" s="146" t="n"/>
      <c r="R54" s="147" t="n"/>
    </row>
    <row r="55" ht="14.25" customHeight="1" s="267">
      <c r="A55" s="144" t="inlineStr">
        <is>
          <t>Money at End of Race</t>
        </is>
      </c>
      <c r="B55" s="148" t="n"/>
      <c r="C55" s="149" t="n"/>
      <c r="D55" s="149" t="n"/>
      <c r="E55" s="149" t="n"/>
      <c r="F55" s="149" t="n"/>
      <c r="G55" s="149" t="n"/>
      <c r="H55" s="149" t="n"/>
      <c r="I55" s="149" t="n"/>
      <c r="J55" s="149" t="n"/>
      <c r="K55" s="149" t="n"/>
      <c r="L55" s="149" t="n"/>
      <c r="M55" s="149" t="n"/>
      <c r="N55" s="149" t="n"/>
      <c r="O55" s="149" t="n"/>
      <c r="P55" s="149" t="n"/>
      <c r="Q55" s="149" t="n"/>
      <c r="R55" s="150" t="n"/>
    </row>
    <row r="56" ht="14.25" customHeight="1" s="267">
      <c r="A56" s="4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 ht="14.25" customHeight="1" s="267">
      <c r="A57" s="4" t="n"/>
      <c r="B57" s="3" t="n">
        <v>20663590</v>
      </c>
      <c r="C57" s="3" t="n">
        <v>12329454</v>
      </c>
      <c r="D57" s="3" t="n">
        <v>20003044</v>
      </c>
      <c r="E57" s="3" t="n">
        <v>-1382206</v>
      </c>
      <c r="F57" s="3" t="n">
        <v>-3044707</v>
      </c>
      <c r="G57" s="3" t="n">
        <v>3028471</v>
      </c>
      <c r="H57" s="3" t="n">
        <v>-1204700</v>
      </c>
      <c r="I57" s="3" t="n">
        <v>1801803</v>
      </c>
      <c r="J57" s="3" t="n">
        <v>762383</v>
      </c>
      <c r="K57" s="3" t="n">
        <v>-5893344</v>
      </c>
      <c r="L57" s="3" t="n">
        <v>-7925523</v>
      </c>
      <c r="M57" s="3" t="n">
        <v>-9690733</v>
      </c>
      <c r="N57" s="3" t="n">
        <v>-12424915</v>
      </c>
      <c r="O57" s="3" t="n">
        <v>-25840867</v>
      </c>
      <c r="P57" s="3" t="n">
        <v>-37455567</v>
      </c>
      <c r="Q57" s="3" t="n">
        <v>-29666977</v>
      </c>
      <c r="R57" s="3" t="n">
        <v>-21878387</v>
      </c>
    </row>
    <row r="58" ht="14.25" customHeight="1" s="267">
      <c r="A58" s="4" t="inlineStr">
        <is>
          <t>Original EoR budget (s78)</t>
        </is>
      </c>
      <c r="B58" s="151" t="n">
        <v>20663590</v>
      </c>
      <c r="C58" s="151" t="n">
        <v>12329454</v>
      </c>
      <c r="D58" s="151" t="n">
        <v>20003044</v>
      </c>
      <c r="E58" s="151" t="n">
        <v>897880</v>
      </c>
      <c r="F58" s="151" t="n">
        <v>-764621</v>
      </c>
      <c r="G58" s="151" t="n">
        <v>6948969</v>
      </c>
      <c r="H58" s="151" t="n">
        <v>661612</v>
      </c>
      <c r="I58" s="151" t="n">
        <v>3762187</v>
      </c>
      <c r="J58" s="151" t="n">
        <v>-5090029</v>
      </c>
      <c r="K58" s="151" t="n">
        <v>-7513170</v>
      </c>
      <c r="L58" s="151" t="n">
        <v>-3555413</v>
      </c>
      <c r="M58" s="151" t="n">
        <v>-13433738</v>
      </c>
      <c r="N58" s="151" t="n">
        <v>-16215132</v>
      </c>
      <c r="O58" s="151" t="n">
        <v>-17484649</v>
      </c>
      <c r="P58" s="151" t="n">
        <v>-31054670</v>
      </c>
      <c r="Q58" s="151" t="n">
        <v>-23266080</v>
      </c>
      <c r="R58" s="151" t="n">
        <v>-15477490</v>
      </c>
    </row>
    <row r="59" ht="14.25" customHeight="1" s="267">
      <c r="A59" s="4" t="inlineStr">
        <is>
          <t>Diff from Original this race</t>
        </is>
      </c>
      <c r="B59" s="125">
        <f>B60-0</f>
        <v/>
      </c>
      <c r="C59" s="125">
        <f>C60-B60</f>
        <v/>
      </c>
      <c r="D59" s="125">
        <f>D60-C60</f>
        <v/>
      </c>
      <c r="E59" s="125">
        <f>E60-D60</f>
        <v/>
      </c>
      <c r="F59" s="125">
        <f>F60-E60</f>
        <v/>
      </c>
      <c r="G59" s="125">
        <f>G60-F60</f>
        <v/>
      </c>
      <c r="H59" s="125">
        <f>H60-G60</f>
        <v/>
      </c>
      <c r="I59" s="125">
        <f>I60-H60</f>
        <v/>
      </c>
      <c r="J59" s="125">
        <f>J60-I60</f>
        <v/>
      </c>
      <c r="K59" s="125">
        <f>K60-J60</f>
        <v/>
      </c>
      <c r="L59" s="125">
        <f>L60-K60</f>
        <v/>
      </c>
      <c r="M59" s="125">
        <f>M60-L60</f>
        <v/>
      </c>
      <c r="N59" s="125">
        <f>N60-M60</f>
        <v/>
      </c>
      <c r="O59" s="125">
        <f>O60-N60</f>
        <v/>
      </c>
      <c r="P59" s="125">
        <f>P60-O60</f>
        <v/>
      </c>
      <c r="Q59" s="125">
        <f>Q60-P60</f>
        <v/>
      </c>
      <c r="R59" s="125">
        <f>R60-Q60</f>
        <v/>
      </c>
    </row>
    <row r="60" ht="14.25" customHeight="1" s="267">
      <c r="A60" s="4" t="inlineStr">
        <is>
          <t>Difference from Original total</t>
        </is>
      </c>
      <c r="B60" s="141">
        <f>B51-B58</f>
        <v/>
      </c>
      <c r="C60" s="142">
        <f>C51-C58</f>
        <v/>
      </c>
      <c r="D60" s="142">
        <f>D51-D58</f>
        <v/>
      </c>
      <c r="E60" s="142">
        <f>E51-E58</f>
        <v/>
      </c>
      <c r="F60" s="142">
        <f>F51-F58</f>
        <v/>
      </c>
      <c r="G60" s="142">
        <f>G51-G58</f>
        <v/>
      </c>
      <c r="H60" s="142">
        <f>H51-H58</f>
        <v/>
      </c>
      <c r="I60" s="142">
        <f>I51-I58</f>
        <v/>
      </c>
      <c r="J60" s="142">
        <f>J51-J58</f>
        <v/>
      </c>
      <c r="K60" s="142">
        <f>K51-K58</f>
        <v/>
      </c>
      <c r="L60" s="142">
        <f>L51-L58</f>
        <v/>
      </c>
      <c r="M60" s="142">
        <f>M51-M58</f>
        <v/>
      </c>
      <c r="N60" s="142">
        <f>N51-N58</f>
        <v/>
      </c>
      <c r="O60" s="142">
        <f>O51-O58</f>
        <v/>
      </c>
      <c r="P60" s="142">
        <f>P51-P58</f>
        <v/>
      </c>
      <c r="Q60" s="142">
        <f>Q51-Q58</f>
        <v/>
      </c>
      <c r="R60" s="143">
        <f>R51-R58</f>
        <v/>
      </c>
    </row>
    <row r="61" ht="14.25" customHeight="1" s="267">
      <c r="A61" s="4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</row>
    <row r="62" ht="14.25" customHeight="1" s="267">
      <c r="A62" s="4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</row>
    <row r="63" ht="14.25" customHeight="1" s="267">
      <c r="A63" s="4" t="n"/>
      <c r="B63" s="148" t="n"/>
      <c r="C63" s="149" t="n"/>
      <c r="D63" s="149" t="n"/>
      <c r="E63" s="149" t="n"/>
      <c r="F63" s="149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</row>
    <row r="64" ht="14.25" customHeight="1" s="267">
      <c r="A64" s="4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</row>
    <row r="65" ht="14.25" customHeight="1" s="267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</row>
    <row r="66" ht="14.25" customHeight="1" s="267">
      <c r="A66" s="4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</row>
    <row r="67" ht="14.25" customHeight="1" s="267">
      <c r="A67" s="4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</row>
    <row r="68" ht="14.25" customHeight="1" s="267">
      <c r="A68" s="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</row>
    <row r="69" ht="14.25" customHeight="1" s="267">
      <c r="A69" s="4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</row>
    <row r="70" ht="14.25" customHeight="1" s="267">
      <c r="A70" s="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</row>
    <row r="71" ht="14.25" customHeight="1" s="267">
      <c r="A71" s="4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 ht="14.25" customHeight="1" s="267">
      <c r="A72" s="4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</row>
    <row r="73" ht="14.25" customHeight="1" s="267">
      <c r="A73" s="4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</row>
    <row r="74" ht="14.25" customHeight="1" s="267">
      <c r="A74" s="4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</row>
    <row r="75" ht="14.25" customHeight="1" s="267">
      <c r="A75" s="4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</row>
    <row r="76" ht="14.25" customHeight="1" s="267">
      <c r="A76" s="4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 ht="14.25" customHeight="1" s="267">
      <c r="A77" s="4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</row>
    <row r="78" ht="14.25" customHeight="1" s="267">
      <c r="A78" s="4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</row>
    <row r="79" ht="14.25" customHeight="1" s="267">
      <c r="A79" s="4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 ht="14.25" customHeight="1" s="267">
      <c r="A80" s="4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</row>
    <row r="81" ht="14.25" customHeight="1" s="267">
      <c r="A81" s="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 ht="14.25" customHeight="1" s="267">
      <c r="A82" s="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 ht="14.25" customHeight="1" s="267">
      <c r="A84" s="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</row>
    <row r="85" ht="14.25" customHeight="1" s="267">
      <c r="A85" s="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</row>
    <row r="86" ht="14.25" customHeight="1" s="267">
      <c r="A86" s="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</row>
    <row r="87" ht="14.25" customHeight="1" s="267">
      <c r="A87" s="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</row>
    <row r="88" ht="14.25" customHeight="1" s="267">
      <c r="A88" s="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</row>
    <row r="89" ht="14.25" customHeight="1" s="267">
      <c r="A89" s="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</row>
    <row r="90" ht="14.25" customHeight="1" s="267">
      <c r="A90" s="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</row>
    <row r="91" ht="14.25" customHeight="1" s="267">
      <c r="A91" s="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  <row r="92" ht="14.25" customHeight="1" s="267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</row>
    <row r="93" ht="14.25" customHeight="1" s="267">
      <c r="A93" s="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</row>
    <row r="94" ht="14.25" customHeight="1" s="267">
      <c r="A94" s="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</row>
    <row r="95" ht="14.25" customHeight="1" s="267">
      <c r="A95" s="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</row>
    <row r="97" ht="14.25" customHeight="1" s="267">
      <c r="A97" s="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</row>
    <row r="98" ht="14.25" customHeight="1" s="267">
      <c r="A98" s="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</row>
    <row r="99" ht="14.25" customHeight="1" s="267">
      <c r="A99" s="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</row>
    <row r="100" ht="14.25" customHeight="1" s="267">
      <c r="A100" s="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</row>
  </sheetData>
  <pageMargins left="0.75" right="0.75" top="1" bottom="1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"/>
  <sheetViews>
    <sheetView tabSelected="1" workbookViewId="0">
      <selection activeCell="H27" sqref="H27"/>
    </sheetView>
  </sheetViews>
  <sheetFormatPr baseColWidth="10" defaultColWidth="14.5" defaultRowHeight="15" customHeight="1"/>
  <cols>
    <col width="23.33203125" customWidth="1" style="267" min="1" max="1"/>
    <col width="12" customWidth="1" style="267" min="2" max="3"/>
    <col width="9.1640625" customWidth="1" style="267" min="4" max="5"/>
    <col width="12" customWidth="1" style="267" min="6" max="6"/>
    <col width="14.5" customWidth="1" style="267" min="7" max="7"/>
    <col width="10" customWidth="1" style="267" min="8" max="8"/>
    <col width="8.5" customWidth="1" style="267" min="9" max="9"/>
    <col width="10" customWidth="1" style="267" min="10" max="15"/>
    <col width="11.5" customWidth="1" style="267" min="16" max="16"/>
    <col width="9.1640625" customWidth="1" style="267" min="17" max="17"/>
    <col width="16.6640625" customWidth="1" style="267" min="18" max="18"/>
    <col width="9.1640625" customWidth="1" style="267" min="19" max="26"/>
  </cols>
  <sheetData>
    <row r="1" ht="14.25" customHeight="1" s="267">
      <c r="A1" s="1" t="inlineStr">
        <is>
          <t>Race Number</t>
        </is>
      </c>
      <c r="B1" s="2" t="n">
        <v>4</v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4.25" customHeight="1" s="267">
      <c r="A2" s="4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4.25" customHeight="1" s="267">
      <c r="A3" s="152" t="inlineStr">
        <is>
          <t>Race Circuit</t>
        </is>
      </c>
      <c r="B3" s="119">
        <f>IF(C3="",IF(B1="","",VLOOKUP($B$1,'1 Season'!$A$6:$T$22,2,FALSE)),C3)</f>
        <v/>
      </c>
      <c r="C3" s="153" t="inlineStr">
        <is>
          <t>Suzuka</t>
        </is>
      </c>
      <c r="D3" s="4" t="n"/>
      <c r="E3" s="4" t="n"/>
      <c r="F3" s="152" t="inlineStr">
        <is>
          <t>Chassis</t>
        </is>
      </c>
      <c r="G3" s="9">
        <f>IF(I3="",IF($B$1="","",VLOOKUP(F3,'10 Calculated Part Data'!$A$18:$R$28,$B$1+1,FALSE)),I3)</f>
        <v/>
      </c>
      <c r="H3" s="154">
        <f>IF(J3="",IF($B$1="","",VLOOKUP(F3,'10 Calculated Part Data'!$A$111:$R$121,$B$1+1,FALSE)),J3)</f>
        <v/>
      </c>
      <c r="I3" s="36" t="n"/>
      <c r="J3" s="40" t="n"/>
      <c r="K3" s="4" t="n"/>
      <c r="L3" s="277" t="inlineStr">
        <is>
          <t>Concentration</t>
        </is>
      </c>
      <c r="M3" s="278" t="n"/>
      <c r="N3" s="155">
        <f>IF(O3="",IF($B$1="","",VLOOKUP(L3,'9 Calculated Stuff Data'!$A$5:$R$16,$B$1+1,FALSE)),O3)</f>
        <v/>
      </c>
      <c r="O3" s="120" t="n"/>
      <c r="P3" s="4" t="n"/>
      <c r="Q3" s="4" t="n"/>
      <c r="R3" s="4" t="inlineStr">
        <is>
          <t>tyre wear</t>
        </is>
      </c>
      <c r="S3" s="4">
        <f>VLOOKUP(B8,'13 Miscellaneous Data'!A122:B126,2,FALSE)</f>
        <v/>
      </c>
      <c r="T3" s="4" t="n"/>
      <c r="U3" s="4" t="inlineStr">
        <is>
          <t>risk</t>
        </is>
      </c>
      <c r="V3" s="4" t="n">
        <v>1.20394519813292</v>
      </c>
      <c r="W3" s="4" t="n">
        <v>0.839472</v>
      </c>
      <c r="X3" s="4" t="n"/>
      <c r="Y3" s="4" t="n"/>
      <c r="Z3" s="4">
        <f>VLOOKUP(B3,'11 Tracks'!A3:AL62,28,TRUE)</f>
        <v/>
      </c>
    </row>
    <row r="4" ht="14.25" customHeight="1" s="267">
      <c r="A4" s="156" t="inlineStr">
        <is>
          <t>Number of Laps</t>
        </is>
      </c>
      <c r="B4" s="157">
        <f>VLOOKUP($B$3,'11 Tracks'!$A$3:$S$62,6,FALSE)</f>
        <v/>
      </c>
      <c r="C4" s="4" t="n"/>
      <c r="D4" s="4" t="n"/>
      <c r="E4" s="4" t="n"/>
      <c r="F4" s="156" t="inlineStr">
        <is>
          <t>Engine</t>
        </is>
      </c>
      <c r="G4" s="3">
        <f>IF(I4="",IF($B$1="","",VLOOKUP(F4,'10 Calculated Part Data'!$A$18:$R$28,$B$1+1,FALSE)),I4)</f>
        <v/>
      </c>
      <c r="H4" s="158">
        <f>IF(J4="",IF($B$1="","",VLOOKUP(F4,'10 Calculated Part Data'!$A$111:$R$121,$B$1+1,FALSE)),J4)</f>
        <v/>
      </c>
      <c r="I4" s="37" t="n"/>
      <c r="J4" s="41" t="n"/>
      <c r="K4" s="4" t="n"/>
      <c r="L4" s="272" t="inlineStr">
        <is>
          <t>Talent</t>
        </is>
      </c>
      <c r="N4" s="159">
        <f>IF(O4="",IF($B$1="","",VLOOKUP(L4,'9 Calculated Stuff Data'!$A$5:$R$16,$B$1+1,FALSE)),O4)</f>
        <v/>
      </c>
      <c r="O4" s="121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>
        <f>VLOOKUP(B3,'11 Tracks'!A3:AL62,29,TRUE)</f>
        <v/>
      </c>
    </row>
    <row r="5" ht="14.25" customHeight="1" s="267">
      <c r="A5" s="156" t="inlineStr">
        <is>
          <t>Lap length (kms)</t>
        </is>
      </c>
      <c r="B5" s="157">
        <f>VLOOKUP($B$3,'11 Tracks'!$A$3:$S$62,7,FALSE)</f>
        <v/>
      </c>
      <c r="C5" s="4" t="n"/>
      <c r="D5" s="4" t="n"/>
      <c r="E5" s="4" t="n"/>
      <c r="F5" s="156" t="inlineStr">
        <is>
          <t>Front Wing</t>
        </is>
      </c>
      <c r="G5" s="3">
        <f>IF(I5="",IF($B$1="","",VLOOKUP(F5,'10 Calculated Part Data'!$A$18:$R$28,$B$1+1,FALSE)),I5)</f>
        <v/>
      </c>
      <c r="H5" s="158">
        <f>IF(J5="",IF($B$1="","",VLOOKUP(F5,'10 Calculated Part Data'!$A$111:$R$121,$B$1+1,FALSE)),J5)</f>
        <v/>
      </c>
      <c r="I5" s="37" t="n"/>
      <c r="J5" s="41" t="n"/>
      <c r="K5" s="4" t="n"/>
      <c r="L5" s="272" t="inlineStr">
        <is>
          <t>Aggressiveness</t>
        </is>
      </c>
      <c r="N5" s="159">
        <f>IF(O5="",IF($B$1="","",VLOOKUP(L5,'9 Calculated Stuff Data'!$A$5:$R$16,$B$1+1,FALSE)),O5)</f>
        <v/>
      </c>
      <c r="O5" s="121" t="n"/>
      <c r="P5" s="4" t="n"/>
      <c r="Q5" s="4" t="n"/>
      <c r="R5" s="4" t="inlineStr">
        <is>
          <t>const</t>
        </is>
      </c>
      <c r="S5" s="4" t="n">
        <v>0.790185</v>
      </c>
      <c r="T5" s="4" t="n"/>
      <c r="U5" s="4" t="inlineStr">
        <is>
          <t>Extra Soft</t>
        </is>
      </c>
      <c r="V5" s="4" t="n">
        <v>0.6042935575856382</v>
      </c>
      <c r="W5" s="4" t="n">
        <v>0.01161468514742286</v>
      </c>
      <c r="X5" s="4" t="n"/>
      <c r="Y5" s="4" t="n"/>
      <c r="Z5" s="4">
        <f>VLOOKUP(B3,'11 Tracks'!A3:AL62,30,TRUE)</f>
        <v/>
      </c>
    </row>
    <row r="6" ht="14.25" customHeight="1" s="267">
      <c r="A6" s="156" t="inlineStr">
        <is>
          <t>Pit lane length (seconds)</t>
        </is>
      </c>
      <c r="B6" s="157">
        <f>VLOOKUP($B$3,'11 Tracks'!$A$3:$S$62,10,FALSE)</f>
        <v/>
      </c>
      <c r="C6" s="4" t="n"/>
      <c r="D6" s="160" t="n"/>
      <c r="E6" s="160" t="n"/>
      <c r="F6" s="156" t="inlineStr">
        <is>
          <t>Rear Wing</t>
        </is>
      </c>
      <c r="G6" s="3">
        <f>IF(I6="",IF($B$1="","",VLOOKUP(F6,'10 Calculated Part Data'!$A$18:$R$28,$B$1+1,FALSE)),I6)</f>
        <v/>
      </c>
      <c r="H6" s="158">
        <f>IF(J6="",IF($B$1="","",VLOOKUP(F6,'10 Calculated Part Data'!$A$111:$R$121,$B$1+1,FALSE)),J6)</f>
        <v/>
      </c>
      <c r="I6" s="37" t="n"/>
      <c r="J6" s="41" t="n"/>
      <c r="K6" s="4" t="n"/>
      <c r="L6" s="272" t="inlineStr">
        <is>
          <t>Experience</t>
        </is>
      </c>
      <c r="N6" s="159">
        <f>IF(O6="",IF($B$1="","",VLOOKUP(L6,'9 Calculated Stuff Data'!$A$5:$R$16,$B$1+1,FALSE)),O6)</f>
        <v/>
      </c>
      <c r="O6" s="121" t="n"/>
      <c r="P6" s="4" t="n"/>
      <c r="Q6" s="4" t="n"/>
      <c r="R6" s="4" t="inlineStr">
        <is>
          <t>wear</t>
        </is>
      </c>
      <c r="S6" s="4" t="n">
        <v>0.110683</v>
      </c>
      <c r="T6" s="4" t="n"/>
      <c r="U6" s="4" t="inlineStr">
        <is>
          <t>Soft</t>
        </is>
      </c>
      <c r="V6" s="4" t="n">
        <v>0.4426786210982313</v>
      </c>
      <c r="W6" s="4" t="n">
        <v>0.00918051254546904</v>
      </c>
      <c r="X6" s="4" t="n"/>
      <c r="Y6" s="4" t="n"/>
      <c r="Z6" s="4">
        <f>VLOOKUP(B3,'11 Tracks'!A3:AL62,31,TRUE)</f>
        <v/>
      </c>
    </row>
    <row r="7" ht="14.25" customHeight="1" s="267">
      <c r="A7" s="156" t="inlineStr">
        <is>
          <t>Fuel Consumption</t>
        </is>
      </c>
      <c r="B7" s="157">
        <f>VLOOKUP($B$3,'11 Tracks'!$A$3:$S$62,14,FALSE)</f>
        <v/>
      </c>
      <c r="C7" s="4" t="n"/>
      <c r="D7" s="4" t="inlineStr">
        <is>
          <t xml:space="preserve"> </t>
        </is>
      </c>
      <c r="E7" s="4" t="n"/>
      <c r="F7" s="156" t="inlineStr">
        <is>
          <t>Underbody</t>
        </is>
      </c>
      <c r="G7" s="3">
        <f>IF(I7="",IF($B$1="","",VLOOKUP(F7,'10 Calculated Part Data'!$A$18:$R$28,$B$1+1,FALSE)),I7)</f>
        <v/>
      </c>
      <c r="H7" s="158">
        <f>IF(J7="",IF($B$1="","",VLOOKUP(F7,'10 Calculated Part Data'!$A$111:$R$121,$B$1+1,FALSE)),J7)</f>
        <v/>
      </c>
      <c r="I7" s="37" t="n"/>
      <c r="J7" s="41" t="n"/>
      <c r="K7" s="4" t="n"/>
      <c r="L7" s="272" t="inlineStr">
        <is>
          <t>Technical</t>
        </is>
      </c>
      <c r="N7" s="159">
        <f>IF(O7="",IF($B$1="","",VLOOKUP(L7,'9 Calculated Stuff Data'!$A$5:$R$16,$B$1+1,FALSE)),O7)</f>
        <v/>
      </c>
      <c r="O7" s="121" t="n"/>
      <c r="P7" s="4" t="n"/>
      <c r="Q7" s="4" t="n"/>
      <c r="R7" s="4" t="inlineStr">
        <is>
          <t>temp</t>
        </is>
      </c>
      <c r="S7" s="4" t="n">
        <v>0.011673</v>
      </c>
      <c r="T7" s="4" t="n"/>
      <c r="U7" s="4" t="inlineStr">
        <is>
          <t>Medium</t>
        </is>
      </c>
      <c r="V7" s="4" t="n">
        <v>0.3543795743159935</v>
      </c>
      <c r="W7" s="4" t="n">
        <v>0.005758569258821863</v>
      </c>
      <c r="X7" s="4" t="n"/>
      <c r="Y7" s="4" t="n"/>
      <c r="Z7" s="4">
        <f>VLOOKUP(B3,'11 Tracks'!A3:AL62,32,TRUE)</f>
        <v/>
      </c>
    </row>
    <row r="8" ht="14.25" customHeight="1" s="267">
      <c r="A8" s="156" t="inlineStr">
        <is>
          <t>Tyre Wear</t>
        </is>
      </c>
      <c r="B8" s="157">
        <f>VLOOKUP($B$3,'11 Tracks'!$A$3:$S$62,15,FALSE)</f>
        <v/>
      </c>
      <c r="C8" s="4" t="n"/>
      <c r="D8" s="4" t="n"/>
      <c r="E8" s="4" t="n"/>
      <c r="F8" s="156" t="inlineStr">
        <is>
          <t>Sidepods</t>
        </is>
      </c>
      <c r="G8" s="3">
        <f>IF(I8="",IF($B$1="","",VLOOKUP(F8,'10 Calculated Part Data'!$A$18:$R$28,$B$1+1,FALSE)),I8)</f>
        <v/>
      </c>
      <c r="H8" s="158">
        <f>IF(J8="",IF($B$1="","",VLOOKUP(F8,'10 Calculated Part Data'!$A$111:$R$121,$B$1+1,FALSE)),J8)</f>
        <v/>
      </c>
      <c r="I8" s="37" t="n"/>
      <c r="J8" s="41" t="n"/>
      <c r="K8" s="4" t="n"/>
      <c r="L8" s="272" t="inlineStr">
        <is>
          <t>Stamina</t>
        </is>
      </c>
      <c r="N8" s="159">
        <f>IF(O8="",IF($B$1="","",VLOOKUP(L8,'9 Calculated Stuff Data'!$A$5:$R$16,$B$1+1,FALSE)),O8)</f>
        <v/>
      </c>
      <c r="O8" s="121" t="n"/>
      <c r="P8" s="4" t="n"/>
      <c r="Q8" s="4" t="n"/>
      <c r="R8" s="4" t="inlineStr">
        <is>
          <t>durab</t>
        </is>
      </c>
      <c r="S8" s="4" t="n">
        <v>-0.041106</v>
      </c>
      <c r="T8" s="4" t="n"/>
      <c r="U8" s="4" t="inlineStr">
        <is>
          <t>Hard</t>
        </is>
      </c>
      <c r="V8" s="4" t="n">
        <v>0.2806894706014196</v>
      </c>
      <c r="W8" s="4" t="n">
        <v>0.003523459085431324</v>
      </c>
      <c r="X8" s="4" t="n"/>
      <c r="Y8" s="4" t="n"/>
      <c r="Z8" s="4">
        <f>VLOOKUP(B3,'11 Tracks'!A3:AL62,33,TRUE)</f>
        <v/>
      </c>
    </row>
    <row r="9" ht="14.25" customHeight="1" s="267">
      <c r="A9" s="156" t="inlineStr">
        <is>
          <t>Tyre Wear Constant</t>
        </is>
      </c>
      <c r="B9" s="17">
        <f>VLOOKUP(B3,'11 Tracks'!A3:S62,17)</f>
        <v/>
      </c>
      <c r="C9" s="4" t="n"/>
      <c r="D9" s="4" t="n"/>
      <c r="E9" s="4" t="n"/>
      <c r="F9" s="156" t="inlineStr">
        <is>
          <t>Cooling</t>
        </is>
      </c>
      <c r="G9" s="3">
        <f>IF(I9="",IF($B$1="","",VLOOKUP(F9,'10 Calculated Part Data'!$A$18:$R$28,$B$1+1,FALSE)),I9)</f>
        <v/>
      </c>
      <c r="H9" s="158">
        <f>IF(J9="",IF($B$1="","",VLOOKUP(F9,'10 Calculated Part Data'!$A$111:$R$121,$B$1+1,FALSE)),J9)</f>
        <v/>
      </c>
      <c r="I9" s="37" t="n"/>
      <c r="J9" s="41" t="n"/>
      <c r="K9" s="4" t="n"/>
      <c r="L9" s="272" t="inlineStr">
        <is>
          <t>Charisma</t>
        </is>
      </c>
      <c r="N9" s="159">
        <f>IF(O9="",IF($B$1="","",VLOOKUP(L9,'9 Calculated Stuff Data'!$A$5:$R$16,$B$1+1,FALSE)),O9)</f>
        <v/>
      </c>
      <c r="O9" s="121" t="n"/>
      <c r="P9" s="4" t="n"/>
      <c r="Q9" s="4" t="n"/>
      <c r="R9" s="4" t="inlineStr">
        <is>
          <t>comp</t>
        </is>
      </c>
      <c r="S9" s="4" t="n">
        <v>-0.229628</v>
      </c>
      <c r="T9" s="4" t="n"/>
      <c r="U9" s="4" t="inlineStr">
        <is>
          <t>Rain</t>
        </is>
      </c>
      <c r="V9" s="4" t="n">
        <v>0.057248</v>
      </c>
      <c r="W9" s="4" t="n">
        <v>0.006993</v>
      </c>
      <c r="X9" s="4" t="n"/>
      <c r="Y9" s="4" t="n"/>
      <c r="Z9" s="4">
        <f>VLOOKUP(B3,'11 Tracks'!A3:AL62,34,TRUE)</f>
        <v/>
      </c>
    </row>
    <row r="10" ht="14.25" customHeight="1" s="267">
      <c r="A10" s="161" t="inlineStr">
        <is>
          <t>Overtaking</t>
        </is>
      </c>
      <c r="B10" s="162">
        <f>VLOOKUP(B3,'11 Tracks'!A3:S62,12)</f>
        <v/>
      </c>
      <c r="C10" s="4" t="n"/>
      <c r="D10" s="4" t="n"/>
      <c r="E10" s="4" t="n"/>
      <c r="F10" s="156" t="inlineStr">
        <is>
          <t>Gearbox</t>
        </is>
      </c>
      <c r="G10" s="3">
        <f>IF(I10="",IF($B$1="","",VLOOKUP(F10,'10 Calculated Part Data'!$A$18:$R$28,$B$1+1,FALSE)),I10)</f>
        <v/>
      </c>
      <c r="H10" s="158">
        <f>IF(J10="",IF($B$1="","",VLOOKUP(F10,'10 Calculated Part Data'!$A$111:$R$121,$B$1+1,FALSE)),J10)</f>
        <v/>
      </c>
      <c r="I10" s="37" t="n"/>
      <c r="J10" s="41" t="n"/>
      <c r="K10" s="4" t="n"/>
      <c r="L10" s="272" t="inlineStr">
        <is>
          <t>Motivation</t>
        </is>
      </c>
      <c r="N10" s="159">
        <f>IF(O10="",IF($B$1="","",VLOOKUP(L10,'9 Calculated Stuff Data'!$A$5:$R$16,$B$1+1,FALSE)),O10)</f>
        <v/>
      </c>
      <c r="O10" s="121" t="n"/>
      <c r="P10" s="4" t="n"/>
      <c r="Q10" s="4" t="n"/>
      <c r="R10" s="4" t="inlineStr">
        <is>
          <t>agress</t>
        </is>
      </c>
      <c r="S10" s="4" t="n">
        <v>0.00018</v>
      </c>
      <c r="T10" s="4" t="n"/>
      <c r="U10" s="4" t="n"/>
      <c r="V10" s="4" t="n"/>
      <c r="W10" s="4" t="n"/>
      <c r="X10" s="4" t="n"/>
      <c r="Y10" s="4" t="n"/>
      <c r="Z10" s="4">
        <f>VLOOKUP(B3,'11 Tracks'!A3:AL62,35,TRUE)</f>
        <v/>
      </c>
    </row>
    <row r="11" ht="14.25" customHeight="1" s="267">
      <c r="A11" s="4" t="n"/>
      <c r="B11" s="4" t="n"/>
      <c r="C11" s="4" t="n"/>
      <c r="D11" s="4" t="n"/>
      <c r="E11" s="4" t="n"/>
      <c r="F11" s="156" t="inlineStr">
        <is>
          <t>Brakes</t>
        </is>
      </c>
      <c r="G11" s="3">
        <f>IF(I11="",IF($B$1="","",VLOOKUP(F11,'10 Calculated Part Data'!$A$18:$R$28,$B$1+1,FALSE)),I11)</f>
        <v/>
      </c>
      <c r="H11" s="158">
        <f>IF(J11="",IF($B$1="","",VLOOKUP(F11,'10 Calculated Part Data'!$A$111:$R$121,$B$1+1,FALSE)),J11)</f>
        <v/>
      </c>
      <c r="I11" s="37" t="n"/>
      <c r="J11" s="41" t="n"/>
      <c r="K11" s="4" t="n"/>
      <c r="L11" s="272" t="inlineStr">
        <is>
          <t>Reputation</t>
        </is>
      </c>
      <c r="N11" s="159">
        <f>IF(O11="",IF($B$1="","",VLOOKUP(L11,'9 Calculated Stuff Data'!$A$5:$R$16,$B$1+1,FALSE)),O11)</f>
        <v/>
      </c>
      <c r="O11" s="121" t="n"/>
      <c r="P11" s="4" t="n"/>
      <c r="Q11" s="4" t="n"/>
      <c r="R11" s="4" t="inlineStr">
        <is>
          <t>exp</t>
        </is>
      </c>
      <c r="S11" s="4" t="n">
        <v>-8.8e-05</v>
      </c>
      <c r="T11" s="4" t="n"/>
      <c r="U11" s="4" t="inlineStr">
        <is>
          <t>man</t>
        </is>
      </c>
      <c r="V11" s="4" t="n">
        <v>0.03539299522940389</v>
      </c>
      <c r="W11" s="4" t="n">
        <v>0.046017</v>
      </c>
      <c r="X11" s="4" t="n"/>
      <c r="Y11" s="4" t="n"/>
      <c r="Z11" s="4">
        <f>VLOOKUP(B3,'11 Tracks'!A3:AL62,36,TRUE)</f>
        <v/>
      </c>
    </row>
    <row r="12" ht="14.25" customHeight="1" s="267">
      <c r="A12" s="152" t="inlineStr">
        <is>
          <t>Tyres</t>
        </is>
      </c>
      <c r="B12" s="119">
        <f>IF(C12="",'1 Season'!B24,C12)</f>
        <v/>
      </c>
      <c r="C12" s="153" t="inlineStr">
        <is>
          <t>Pipirelli</t>
        </is>
      </c>
      <c r="D12" s="4" t="n"/>
      <c r="E12" s="4" t="n"/>
      <c r="F12" s="156" t="inlineStr">
        <is>
          <t>Suspension</t>
        </is>
      </c>
      <c r="G12" s="3">
        <f>IF(I12="",IF($B$1="","",VLOOKUP(F12,'10 Calculated Part Data'!$A$18:$R$28,$B$1+1,FALSE)),I12)</f>
        <v/>
      </c>
      <c r="H12" s="158">
        <f>IF(J12="",IF($B$1="","",VLOOKUP(F12,'10 Calculated Part Data'!$A$111:$R$121,$B$1+1,FALSE)),J12)</f>
        <v/>
      </c>
      <c r="I12" s="37" t="n"/>
      <c r="J12" s="41" t="n"/>
      <c r="K12" s="4" t="n"/>
      <c r="L12" s="272" t="inlineStr">
        <is>
          <t>Weight</t>
        </is>
      </c>
      <c r="N12" s="159">
        <f>IF(O12="",IF($B$1="","",VLOOKUP(L12,'9 Calculated Stuff Data'!$A$5:$R$16,$B$1+1,FALSE)),O12)</f>
        <v/>
      </c>
      <c r="O12" s="121" t="n"/>
      <c r="P12" s="4" t="n"/>
      <c r="Q12" s="4" t="n"/>
      <c r="R12" s="4" t="inlineStr">
        <is>
          <t>sus</t>
        </is>
      </c>
      <c r="S12" s="4" t="n">
        <v>-0.01433</v>
      </c>
      <c r="T12" s="4" t="n"/>
      <c r="U12" s="4" t="n"/>
      <c r="V12" s="4" t="n"/>
      <c r="W12" s="4" t="n"/>
      <c r="X12" s="4" t="n"/>
      <c r="Y12" s="4" t="n"/>
      <c r="Z12" s="4">
        <f>VLOOKUP(B3,'11 Tracks'!A3:AL62,37,TRUE)</f>
        <v/>
      </c>
    </row>
    <row r="13" ht="14.25" customHeight="1" s="267">
      <c r="A13" s="161" t="inlineStr">
        <is>
          <t>Durability</t>
        </is>
      </c>
      <c r="B13" s="162">
        <f>VLOOKUP(B12,'13 Miscellaneous Data'!A2:I10,7,FALSE)</f>
        <v/>
      </c>
      <c r="C13" s="4" t="n"/>
      <c r="D13" s="4" t="n"/>
      <c r="E13" s="4" t="n"/>
      <c r="F13" s="161" t="inlineStr">
        <is>
          <t>Electronics</t>
        </is>
      </c>
      <c r="G13" s="20">
        <f>IF(I13="",IF($B$1="","",VLOOKUP(F13,'10 Calculated Part Data'!$A$18:$R$28,$B$1+1,FALSE)),I13)</f>
        <v/>
      </c>
      <c r="H13" s="163">
        <f>IF(J13="",IF($B$1="","",VLOOKUP(F13,'10 Calculated Part Data'!$A$111:$R$121,$B$1+1,FALSE)),J13)</f>
        <v/>
      </c>
      <c r="I13" s="38" t="n"/>
      <c r="J13" s="42" t="n"/>
      <c r="K13" s="4" t="n"/>
      <c r="L13" s="275" t="inlineStr">
        <is>
          <t>Age</t>
        </is>
      </c>
      <c r="M13" s="276" t="n"/>
      <c r="N13" s="164">
        <f>IF(O13="",IF($B$1="","",VLOOKUP(L13,'9 Calculated Stuff Data'!$A$5:$R$16,$B$1+1,FALSE)),O13)</f>
        <v/>
      </c>
      <c r="O13" s="122" t="n"/>
      <c r="P13" s="4" t="n"/>
      <c r="Q13" s="4" t="n"/>
      <c r="R13" s="4" t="inlineStr">
        <is>
          <t>risk</t>
        </is>
      </c>
      <c r="S13" s="4" t="n">
        <v>0.00257</v>
      </c>
      <c r="T13" s="4" t="n"/>
      <c r="U13" s="4" t="inlineStr">
        <is>
          <t>exp</t>
        </is>
      </c>
      <c r="V13" s="4" t="n">
        <v>-0.000249968276706737</v>
      </c>
      <c r="W13" s="4" t="n">
        <v>-0.00021</v>
      </c>
      <c r="X13" s="4" t="n"/>
      <c r="Y13" s="4" t="n"/>
      <c r="Z13" s="4">
        <f>VLOOKUP(B3,'11 Tracks'!A3:AL62,38,TRUE)</f>
        <v/>
      </c>
    </row>
    <row r="14" ht="14.25" customHeight="1" s="267">
      <c r="A14" s="4" t="n"/>
      <c r="B14" s="3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inlineStr">
        <is>
          <t>agg</t>
        </is>
      </c>
      <c r="V14" s="165" t="n">
        <v>6.495002971985111e-05</v>
      </c>
      <c r="W14" s="4" t="n">
        <v>0.000138</v>
      </c>
      <c r="X14" s="4" t="n"/>
      <c r="Y14" s="4" t="n"/>
      <c r="Z14" s="160">
        <f>VLOOKUP(B3,'11 Tracks'!A3:AL62,27,TRUE)</f>
        <v/>
      </c>
    </row>
    <row r="15" ht="14.25" customHeight="1" s="267">
      <c r="A15" s="1" t="inlineStr">
        <is>
          <t>Risk</t>
        </is>
      </c>
      <c r="B15" s="166">
        <f>IF(C15="",IF(B1="","",HLOOKUP(B1,'6 Wear Planner'!C1:S5,5)),C15)</f>
        <v/>
      </c>
      <c r="C15" s="2" t="n">
        <v>10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inlineStr">
        <is>
          <t>sus</t>
        </is>
      </c>
      <c r="V15" s="4" t="n">
        <v>-0.009067393266171698</v>
      </c>
      <c r="W15" s="4" t="n">
        <v>-0.00695</v>
      </c>
      <c r="X15" s="4" t="n"/>
      <c r="Y15" s="4" t="n"/>
      <c r="Z15" s="4" t="n"/>
    </row>
    <row r="16" ht="14.25" customHeight="1" s="267">
      <c r="A16" s="4" t="n"/>
      <c r="B16" s="4" t="n"/>
      <c r="C16" s="4" t="n"/>
      <c r="D16" s="4" t="n"/>
      <c r="E16" s="4" t="n"/>
      <c r="F16" s="4" t="n"/>
      <c r="G16" s="167" t="inlineStr">
        <is>
          <t>1st Qualification</t>
        </is>
      </c>
      <c r="H16" s="168" t="n"/>
      <c r="I16" s="168" t="n"/>
      <c r="J16" s="169" t="inlineStr">
        <is>
          <t>F Wing</t>
        </is>
      </c>
      <c r="K16" s="3" t="inlineStr">
        <is>
          <t>R Wing</t>
        </is>
      </c>
      <c r="L16" s="169" t="inlineStr">
        <is>
          <t>Engine</t>
        </is>
      </c>
      <c r="M16" s="169" t="inlineStr">
        <is>
          <t>Brakes</t>
        </is>
      </c>
      <c r="N16" s="169" t="inlineStr">
        <is>
          <t>Gearbox</t>
        </is>
      </c>
      <c r="O16" s="169" t="inlineStr">
        <is>
          <t>Suspension</t>
        </is>
      </c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4.25" customHeight="1" s="267">
      <c r="A17" s="152" t="inlineStr">
        <is>
          <t>Temperature</t>
        </is>
      </c>
      <c r="B17" s="33" t="n">
        <v>24</v>
      </c>
      <c r="C17" s="4" t="n"/>
      <c r="D17" s="4" t="n"/>
      <c r="E17" s="4" t="n"/>
      <c r="F17" s="4" t="n"/>
      <c r="G17" s="270" t="inlineStr">
        <is>
          <t>Temperature</t>
        </is>
      </c>
      <c r="H17" s="279" t="n">
        <v>9</v>
      </c>
      <c r="I17" s="170" t="inlineStr">
        <is>
          <t>DRY</t>
        </is>
      </c>
      <c r="J17" s="171">
        <f>((((((((G5+G6)*15)-((G3)*10))-((G7)*8))-(((H5+H6)*28)/99*C3100))+(((H3)*25)/99*100))+(((H7)*15)/99*100))+((H17)*(5.75-(N4*0.0075))))+(VLOOKUP(B3,'11 Tracks'!A$2:Z$62,22,FALSE)/(1.5/((750-N4)/500)))-(VLOOKUP(B3,'11 Tracks'!A2:AA62,27)+0.532*H17-5.368*G3+0.139*H3*100+9.389*G5-0.179*H5*100-4.88*G7+0.104*H7*100+(-0.00133*VLOOKUP(B3,'11 Tracks'!A2:AA62,27)+0.201)*N4-0.258*N5-24.999*(G6-G5)+0.478*(H6-H5)*100)/2</f>
        <v/>
      </c>
      <c r="K17" s="172">
        <f>((((((((G5+G6)*15)-((G3)*10))-((G7)*8))-(((H5+H6)*28)/99*100))+(((H3)*25)/99*100))+(((H7)*15)/99*100))+((H17)*(5.75-(N4*0.0075))))+(VLOOKUP(B3,'11 Tracks'!A$2:Z$62,22,FALSE)/(1.5/((750-N4)/500)))+(VLOOKUP(B3,'11 Tracks'!A2:AA62,27)+0.532*H17-5.368*G3+0.139*H3*100+9.389*G5-0.179*H5*100-4.88*G7+0.104*H7*100+(-0.00133*VLOOKUP(B3,'11 Tracks'!A2:AA62,27)+0.201)*N4-0.258*N5-24.999*(G6-G5)+0.478*(H6-H5)*100)/2</f>
        <v/>
      </c>
      <c r="L17" s="172">
        <f>((((((((VLOOKUP(B3,'11 Tracks'!A$2:Z$62,23,FALSE)+((((VLOOKUP(B3,'11 Tracks'!A$2:Z$62,23,FALSE)+24)*(125/300))/250)*N6))+((-3+(-0.005*N6))*H17))+(0.3*N5))+(16*G4))+(3*G13))+(5*G9))-(0.5*H4*100))-(0.07*H9*100))-(0.05*H13*100)</f>
        <v/>
      </c>
      <c r="M17" s="172">
        <f>(((((((VLOOKUP(B3,'11 Tracks'!A$2:Z$62,24,FALSE)-((G11)*29))+((G3)*6))+((G13)*6))+(((H11)*70)/99*100))-(((H3)*14)/99*100))-(((H13)*9)/99*100))-(((N4)*125)/250))+((H17)*6)</f>
        <v/>
      </c>
      <c r="N17" s="172">
        <f>(((((VLOOKUP(B3,'11 Tracks'!A$2:Z$62,25,FALSE)-((G10)*41))+((G13)*9))+(((H10)*107)/99*100))-(((H13)*14)/99*100))+(((N3)*125)/250))-((H17)*4)</f>
        <v/>
      </c>
      <c r="O17" s="173">
        <f>((((((((((VLOOKUP(B3,'11 Tracks'!A$2:Z$62,26,FALSE)+((G12)*31))-((G3)*14))-((G7)*12))+((G8)*6))-(((H12)*68)/99*100))+(((H3)*36)/99*100))+(((H7)*22)/99*100))-(((H8)*11)/99*100))+(((N6)*188)/250))-((H17)*6))+((N12)*2)</f>
        <v/>
      </c>
      <c r="P17" s="4" t="n"/>
      <c r="Q17" s="4" t="n"/>
      <c r="R17" s="4" t="inlineStr">
        <is>
          <t>fuel loss (s/km/l)</t>
        </is>
      </c>
      <c r="S17" s="4" t="n">
        <v>0.00422</v>
      </c>
      <c r="T17" s="4" t="n"/>
      <c r="U17" s="4" t="inlineStr">
        <is>
          <t>const 1</t>
        </is>
      </c>
      <c r="V17" s="4" t="n">
        <v>0.08586529485648937</v>
      </c>
      <c r="W17" s="4" t="n">
        <v>0.06386799999999999</v>
      </c>
      <c r="X17" s="4" t="n"/>
      <c r="Y17" s="4" t="n"/>
      <c r="Z17" s="4" t="n"/>
    </row>
    <row r="18" ht="14.25" customHeight="1" s="267">
      <c r="A18" s="161" t="inlineStr">
        <is>
          <t>Humidity</t>
        </is>
      </c>
      <c r="B18" s="35" t="n">
        <v>10</v>
      </c>
      <c r="C18" s="4" t="n"/>
      <c r="D18" s="4" t="n"/>
      <c r="E18" s="4" t="n"/>
      <c r="F18" s="4" t="n"/>
      <c r="G18" s="271" t="n"/>
      <c r="H18" s="271" t="n"/>
      <c r="I18" s="174" t="inlineStr">
        <is>
          <t>WET</t>
        </is>
      </c>
      <c r="J18" s="175">
        <f>J17+(50-H17)*(-0.0069737*N$4+5.4303)+6+(50-H17)</f>
        <v/>
      </c>
      <c r="K18" s="176">
        <f>K17+(50-H17)*(-0.0069737*N$4+5.4303)+6-(50-H17)</f>
        <v/>
      </c>
      <c r="L18" s="176">
        <f>L17-(50-H17)*(N$6*0.0061991+3.8112)-4</f>
        <v/>
      </c>
      <c r="M18" s="176">
        <f>(M17+((50-H17)*2))+6</f>
        <v/>
      </c>
      <c r="N18" s="176">
        <f>(N17-(H17*4))-4</f>
        <v/>
      </c>
      <c r="O18" s="177">
        <f>(O17-((50-H17)*5))+7</f>
        <v/>
      </c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4.25" customHeight="1" s="267">
      <c r="A19" s="4" t="n"/>
      <c r="B19" s="4" t="n"/>
      <c r="C19" s="4" t="n"/>
      <c r="D19" s="4" t="n"/>
      <c r="E19" s="4" t="n"/>
      <c r="F19" s="4" t="n"/>
      <c r="G19" s="178" t="n"/>
      <c r="H19" s="179" t="n"/>
      <c r="I19" s="180" t="n"/>
      <c r="J19" s="181" t="n"/>
      <c r="K19" s="4" t="n"/>
      <c r="L19" s="181" t="n"/>
      <c r="M19" s="181" t="n"/>
      <c r="N19" s="181" t="n"/>
      <c r="O19" s="181" t="n"/>
      <c r="P19" s="4" t="n"/>
      <c r="Q19" s="4" t="n"/>
      <c r="R19" s="4" t="n"/>
      <c r="S19" s="4" t="n"/>
      <c r="T19" s="4" t="n"/>
      <c r="U19" s="4" t="inlineStr">
        <is>
          <t>const 2</t>
        </is>
      </c>
      <c r="V19" s="4" t="n">
        <v>-0.03975808231214032</v>
      </c>
      <c r="W19" s="4" t="n">
        <v>0</v>
      </c>
      <c r="X19" s="4" t="n"/>
      <c r="Y19" s="4" t="n"/>
      <c r="Z19" s="4" t="n"/>
    </row>
    <row r="20" ht="14.25" customHeight="1" s="267">
      <c r="A20" s="1" t="inlineStr">
        <is>
          <t>Pit stop (s)</t>
        </is>
      </c>
      <c r="B20" s="5" t="n">
        <v>40</v>
      </c>
      <c r="C20" s="4" t="n"/>
      <c r="D20" s="4" t="n"/>
      <c r="E20" s="4" t="n"/>
      <c r="F20" s="4" t="n"/>
      <c r="G20" s="167" t="inlineStr">
        <is>
          <t>2nd Qualification</t>
        </is>
      </c>
      <c r="H20" s="168" t="n"/>
      <c r="I20" s="168" t="n"/>
      <c r="J20" s="169" t="inlineStr">
        <is>
          <t>Wings</t>
        </is>
      </c>
      <c r="K20" s="3" t="inlineStr">
        <is>
          <t>R Wing</t>
        </is>
      </c>
      <c r="L20" s="169" t="inlineStr">
        <is>
          <t>Engine</t>
        </is>
      </c>
      <c r="M20" s="169" t="inlineStr">
        <is>
          <t>Brakes</t>
        </is>
      </c>
      <c r="N20" s="169" t="inlineStr">
        <is>
          <t>Gearbox</t>
        </is>
      </c>
      <c r="O20" s="169" t="inlineStr">
        <is>
          <t>Suspension</t>
        </is>
      </c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4.25" customHeight="1" s="267">
      <c r="A21" s="4" t="n"/>
      <c r="B21" s="4" t="n"/>
      <c r="C21" s="4" t="n"/>
      <c r="D21" s="4" t="n"/>
      <c r="E21" s="4" t="n"/>
      <c r="F21" s="4" t="n"/>
      <c r="G21" s="270" t="inlineStr">
        <is>
          <t>Temperature</t>
        </is>
      </c>
      <c r="H21" s="273" t="n">
        <v>14</v>
      </c>
      <c r="I21" s="170" t="inlineStr">
        <is>
          <t>DRY</t>
        </is>
      </c>
      <c r="J21" s="171">
        <f>((((((((G5+G6)*15)-((G3)*10))-((G7)*8))-(((H5+H6)*28)/99*100))+(((H3)*25)/99*100))+(((H7)*15)/99*100))+((H21)*(5.75-(N4*0.0075))))+(VLOOKUP(B3,'11 Tracks'!A$2:Z$62,22,FALSE)/(1.5/((750-N4)/500)))-(VLOOKUP(B3,'11 Tracks'!A2:AA62,27)+0.532*H21-5.368*G3+0.139*H3*100+9.389*G5-0.179*H5*100-4.88*G7+0.104*H7*100+(-0.00133*VLOOKUP(B3,'11 Tracks'!A2:AA62,27)+0.201)*N4-0.258*N5-24.999*(G6-G5)+0.478*(H6-H5)*100)/2</f>
        <v/>
      </c>
      <c r="K21" s="172">
        <f>((((((((G5+G6)*15)-((G3)*10))-((G7)*8))-(((H5+H6)*28)/99*100))+(((H3)*25)/99*100))+(((H7)*15)/99*100))+((H21)*(5.75-(N4*0.0075))))+(VLOOKUP(B3,'11 Tracks'!A$2:Z$62,22,FALSE)/(1.5/((750-N4)/500)))+(VLOOKUP(B3,'11 Tracks'!A2:AA62,27)+0.532*H21-5.368*G3+0.139*H3*100+9.389*G5-0.179*H5*100-4.88*G7+0.104*H7*100+(-0.00133*VLOOKUP(B3,'11 Tracks'!A2:AA62,27)+0.201)*N4-0.258*N5-24.999*(G6-G5)+0.478*(H6-H5)*100)/2</f>
        <v/>
      </c>
      <c r="L21" s="172">
        <f>((((((((VLOOKUP(B3,'11 Tracks'!A$2:Z$62,23,FALSE)+((((VLOOKUP(B3,'11 Tracks'!A$2:Z$62,23,FALSE)+24)*(125/300))/250)*N6))+((-3+(-0.005*N6))*H21))+(0.3*N5))+(16*G4))+(3*G13))+(5*G9))-(0.5*H4*100))-(0.07*H9*100))-(0.05*H13*100)</f>
        <v/>
      </c>
      <c r="M21" s="172">
        <f>(((((((VLOOKUP(B3,'11 Tracks'!A$2:Z$62,24,FALSE)-((G11)*29))+((G3)*6))+((G13)*6))+(((H11)*70)/99*100))-(((H3)*14)/99*100))-(((H13)*9)/99*100))-(((N4)*125)/250))+((H21)*6)</f>
        <v/>
      </c>
      <c r="N21" s="172">
        <f>(((((VLOOKUP(B3,'11 Tracks'!A$2:Z$62,25,FALSE)-((G10)*41))+((G13)*9))+(((H10)*107)/99*100))-(((H13)*14)/99*100))+(((N3)*125)/250))-((H21)*4)</f>
        <v/>
      </c>
      <c r="O21" s="173">
        <f>((((((((((VLOOKUP(B3,'11 Tracks'!A$2:Z$62,26,FALSE)+((G12)*31))-((G3)*14))-((G7)*12))+((G8)*6))-(((H12)*68)/99*100))+(((H3)*36)/99*100))+(((H7)*22)/99*100))-(((H8)*11)/99*100))+(((N6)*188)/250))-((H21)*6))+((N12)*2)</f>
        <v/>
      </c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4.25" customHeight="1" s="267">
      <c r="A22" s="4" t="n"/>
      <c r="B22" s="3" t="inlineStr">
        <is>
          <t>Bad</t>
        </is>
      </c>
      <c r="C22" s="3" t="inlineStr">
        <is>
          <t>Good</t>
        </is>
      </c>
      <c r="D22" s="3" t="inlineStr">
        <is>
          <t>Rain</t>
        </is>
      </c>
      <c r="E22" s="3" t="n"/>
      <c r="F22" s="4" t="n"/>
      <c r="G22" s="271" t="n"/>
      <c r="H22" s="274" t="n"/>
      <c r="I22" s="174" t="inlineStr">
        <is>
          <t>WET</t>
        </is>
      </c>
      <c r="J22" s="175">
        <f>J21+(50-H21)*(-0.0069737*N$4+5.4303)+6+(50-H21)</f>
        <v/>
      </c>
      <c r="K22" s="176">
        <f>K21+(50-H21)*(-0.0069737*N$4+5.4303)+6-(50-H21)</f>
        <v/>
      </c>
      <c r="L22" s="176">
        <f>L21-(50-H21)*(N$6*0.0061991+3.8112)-4</f>
        <v/>
      </c>
      <c r="M22" s="176">
        <f>(M21+((50-H21)*2))+6</f>
        <v/>
      </c>
      <c r="N22" s="176">
        <f>(N21-(H21*4))-4</f>
        <v/>
      </c>
      <c r="O22" s="177">
        <f>(O21-((50-H21)*5))+7</f>
        <v/>
      </c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4.25" customHeight="1" s="267">
      <c r="A23" s="1" t="inlineStr">
        <is>
          <t>Fuel consumption (l/km)</t>
        </is>
      </c>
      <c r="B23" s="182">
        <f>1/(0.028*G4+0.01*G13+0.0005*N7+0.00025*N6+VLOOKUP(B3,'11 Tracks'!A3:S62,19,FALSE))</f>
        <v/>
      </c>
      <c r="C23" s="183">
        <f>-0.01103*G4-0.0079*G13+0.000103*N5-0.000091*N6-0.000255*N7+VLOOKUP(B3,'11 Tracks'!A3:T62,20,FALSE)</f>
        <v/>
      </c>
      <c r="D23" s="183">
        <f>(-0.01103*G4-0.0079*G13+0.000103*N5-0.000091*N6-0.000255*N7+VLOOKUP(B3,'11 Tracks'!A3:T62,20,FALSE))*VLOOKUP(B3,'11 Tracks'!A3:U62,21,FALSE)</f>
        <v/>
      </c>
      <c r="E23" s="16" t="n"/>
      <c r="F23" s="4" t="n"/>
      <c r="G23" s="178" t="n"/>
      <c r="H23" s="179" t="n"/>
      <c r="I23" s="180" t="n"/>
      <c r="J23" s="184" t="n"/>
      <c r="K23" s="4" t="n"/>
      <c r="L23" s="184" t="n"/>
      <c r="M23" s="184" t="n"/>
      <c r="N23" s="184" t="n"/>
      <c r="O23" s="18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4.25" customHeight="1" s="267">
      <c r="A24" s="4" t="n"/>
      <c r="B24" s="3" t="n"/>
      <c r="C24" s="4" t="n"/>
      <c r="D24" s="4" t="n"/>
      <c r="E24" s="4" t="n"/>
      <c r="F24" s="4" t="n"/>
      <c r="G24" s="167" t="inlineStr">
        <is>
          <t>Race</t>
        </is>
      </c>
      <c r="H24" s="168" t="n"/>
      <c r="I24" s="168" t="n"/>
      <c r="J24" s="169" t="inlineStr">
        <is>
          <t>Wings</t>
        </is>
      </c>
      <c r="K24" s="3" t="inlineStr">
        <is>
          <t>R Wing</t>
        </is>
      </c>
      <c r="L24" s="169" t="inlineStr">
        <is>
          <t>Engine</t>
        </is>
      </c>
      <c r="M24" s="169" t="inlineStr">
        <is>
          <t>Brakes</t>
        </is>
      </c>
      <c r="N24" s="169" t="inlineStr">
        <is>
          <t>Gearbox</t>
        </is>
      </c>
      <c r="O24" s="169" t="inlineStr">
        <is>
          <t>Suspension</t>
        </is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4.25" customHeight="1" s="267">
      <c r="A25" s="152" t="inlineStr">
        <is>
          <t>Extra Soft Wear (%/km)</t>
        </is>
      </c>
      <c r="B25" s="12">
        <f>($B$9*((V5+$B$17*W5)+$V$19)+$B$15/100/$B$5*$V$3+$N$5*$V$14+$N$6*$V$13+$V$15*$G$12+$V$17)*(1-$B$13*$V$11)</f>
        <v/>
      </c>
      <c r="C25" s="4" t="n"/>
      <c r="D25" s="4" t="n"/>
      <c r="E25" s="4" t="n"/>
      <c r="F25" s="4" t="n"/>
      <c r="G25" s="270" t="inlineStr">
        <is>
          <t>Temperature</t>
        </is>
      </c>
      <c r="H25" s="273" t="n">
        <v>17</v>
      </c>
      <c r="I25" s="170" t="inlineStr">
        <is>
          <t>DRY</t>
        </is>
      </c>
      <c r="J25" s="171">
        <f>((((((((G5+G6)*15)-((G3)*10))-((G7)*8))-(((H5+H6)*28)/99*100))+(((H3)*25)/99*100))+(((H7)*15)/99*100))+((H25)*(5.75-(N4*0.0075))))+(VLOOKUP(B3,'11 Tracks'!A$2:Z$62,22,FALSE)/(1.5/((750-N4)/500)))-(VLOOKUP(B3,'11 Tracks'!A2:AA62,27)+0.532*H25-5.368*G3+0.139*H3*100+9.389*G5-0.179*H5*100-4.88*G7+0.104*H7*100+(-0.00133*VLOOKUP(B3,'11 Tracks'!A2:AA62,27)+0.201)*N4-0.258*N5-24.999*(G6-G5)+0.478*(H6-H5)*100)/2</f>
        <v/>
      </c>
      <c r="K25" s="172">
        <f>((((((((G5+G6)*15)-((G3)*10))-((G7)*8))-(((H5+H6)*28)/99*100))+(((H3)*25)/99*100))+(((H7)*15)/99*100))+((H25)*(5.75-(N4*0.0075))))+(VLOOKUP(B3,'11 Tracks'!A$2:Z$62,22,FALSE)/(1.5/((750-N4)/500)))+(VLOOKUP(B3,'11 Tracks'!A2:AA62,27)+0.532*H25-5.368*G3+0.139*H3*100+9.389*G5-0.179*H5*100-4.88*G7+0.104*H7*100+(-0.00133*VLOOKUP(B3,'11 Tracks'!A2:AA62,27)+0.201)*N4-0.258*N5-24.999*(G6-G5)+0.478*(H6-H5)*100)/2</f>
        <v/>
      </c>
      <c r="L25" s="172">
        <f>((((((((VLOOKUP(B3,'11 Tracks'!A$2:Z$62,23,FALSE)+((((VLOOKUP(B3,'11 Tracks'!A$2:Z$62,23,FALSE)+24)*(125/300))/250)*N6))+((-3+(-0.005*N6))*H25))+(0.3*N5))+(16*G4))+(3*G13))+(5*G9))-(0.5*H4*100))-(0.07*H9*100))-(0.05*H13*100)</f>
        <v/>
      </c>
      <c r="M25" s="172">
        <f>(((((((VLOOKUP(B3,'11 Tracks'!A$2:Z$62,24,FALSE)-((G11)*29))+((G3)*6))+((G13)*6))+(((H11)*70)/99*100))-(((H3)*14)/99*100))-(((H13)*9)/99*100))-(((N4)*125)/250))+((H25)*6)</f>
        <v/>
      </c>
      <c r="N25" s="172">
        <f>(((((VLOOKUP(B3,'11 Tracks'!A$2:Z$62,25,FALSE)-((G10)*41))+((G13)*9))+(((H10)*107)/99*100))-(((H13)*14)/99*100))+(((N3)*125)/250))-((H25)*4)</f>
        <v/>
      </c>
      <c r="O25" s="173">
        <f>((((((((((VLOOKUP(B3,'11 Tracks'!A$2:Z$62,26,FALSE)+((G12)*31))-((G3)*14))-((G7)*12))+((G8)*6))-(((H12)*68)/99*100))+(((H3)*36)/99*100))+(((H7)*22)/99*100))-(((H8)*11)/99*100))+(((N6)*188)/250))-((H25)*6))+((N12)*2)</f>
        <v/>
      </c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4.25" customHeight="1" s="267">
      <c r="A26" s="156" t="inlineStr">
        <is>
          <t>Soft Wear (%/km)</t>
        </is>
      </c>
      <c r="B26" s="17">
        <f>($B$9*((V6+$B$17*W6)+$V$19)+$B$15/100/$B$5*$V$3+$N$5*$V$14+$N$6*$V$13+$V$15*$G$12+$V$17)*(1-$B$13*$V$11)</f>
        <v/>
      </c>
      <c r="C26" s="4" t="n"/>
      <c r="D26" s="4" t="n"/>
      <c r="E26" s="4" t="n"/>
      <c r="F26" s="4" t="n"/>
      <c r="G26" s="271" t="n"/>
      <c r="H26" s="274" t="n"/>
      <c r="I26" s="174" t="inlineStr">
        <is>
          <t>WET</t>
        </is>
      </c>
      <c r="J26" s="175">
        <f>J25+(50-H25)*(-0.0069737*N$4+5.4303)+6+(50-H25)</f>
        <v/>
      </c>
      <c r="K26" s="176">
        <f>K25+(50-H25)*(-0.0069737*N$4+5.4303)+6-(50-H25)</f>
        <v/>
      </c>
      <c r="L26" s="176">
        <f>L25-(50-H25)*(N$6*0.0061991+3.8112)-4</f>
        <v/>
      </c>
      <c r="M26" s="176">
        <f>(M25+((50-H25)*2))+6</f>
        <v/>
      </c>
      <c r="N26" s="176">
        <f>(N25-(H25*4))-4</f>
        <v/>
      </c>
      <c r="O26" s="177">
        <f>(O25-((50-H25)*5))+7</f>
        <v/>
      </c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4.25" customHeight="1" s="267">
      <c r="A27" s="156" t="inlineStr">
        <is>
          <t>Medium Wear (%/km)</t>
        </is>
      </c>
      <c r="B27" s="17">
        <f>($B$9*((V7+$B$17*W7)+$V$19)+$B$15/100/$B$5*$V$3+$N$5*$V$14+$N$6*$V$13+$V$15*$G$12+$V$17)*(1-$B$13*$V$11)</f>
        <v/>
      </c>
      <c r="C27" s="4" t="n"/>
      <c r="D27" s="4" t="n"/>
      <c r="E27" s="4" t="n"/>
      <c r="F27" s="4" t="n"/>
      <c r="G27" s="270" t="inlineStr">
        <is>
          <t>Rain-%</t>
        </is>
      </c>
      <c r="H27" s="186" t="n">
        <v>0.2</v>
      </c>
      <c r="I27" s="174" t="inlineStr">
        <is>
          <t>MIXED</t>
        </is>
      </c>
      <c r="J27" s="175">
        <f>J26*$H$27+J25*(1-$H$27)</f>
        <v/>
      </c>
      <c r="K27" s="176">
        <f>K26*$H$27+K25*(1-$H$27)</f>
        <v/>
      </c>
      <c r="L27" s="176">
        <f>L26*$H$27+L25*(1-$H$27)</f>
        <v/>
      </c>
      <c r="M27" s="176">
        <f>M26*$H$27+M25*(1-$H$27)</f>
        <v/>
      </c>
      <c r="N27" s="176">
        <f>N26*$H$27+N25*(1-$H$27)</f>
        <v/>
      </c>
      <c r="O27" s="177">
        <f>O26*$H$27+O25*(1-$H$27)</f>
        <v/>
      </c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4.25" customHeight="1" s="267">
      <c r="A28" s="156" t="inlineStr">
        <is>
          <t>Hard Wear (%/km)</t>
        </is>
      </c>
      <c r="B28" s="17">
        <f>($B$9*((V8+$B$17*W8)+$V$19)+$B$15/100/$B$5*$V$3+$N$5*$V$14+$N$6*$V$13+$V$15*$G$12+$V$17)*(1-$B$13*$V$11)</f>
        <v/>
      </c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4.25" customHeight="1" s="267">
      <c r="A29" s="161" t="inlineStr">
        <is>
          <t>Rain Wear (%/km)</t>
        </is>
      </c>
      <c r="B29" s="23">
        <f>($B$9*((V9+$B$17*W9)+$W$19)+$B$15/100/$B$5*$W3+$N$5*$W$14+$N$6*$W$13+$W$15*$G$12)*(1-$B$13*$W$11)+$W$17</f>
        <v/>
      </c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4.25" customHeight="1" s="26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156" t="n"/>
      <c r="K30" s="282" t="inlineStr">
        <is>
          <t>Time Lost (seconds) - All Strategies</t>
        </is>
      </c>
      <c r="N30" s="187" t="n"/>
      <c r="O30" s="188" t="n"/>
      <c r="P30" s="189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4.25" customHeight="1" s="267">
      <c r="A31" s="1" t="inlineStr">
        <is>
          <t>Tyre difference</t>
        </is>
      </c>
      <c r="B31" s="182">
        <f>VLOOKUP(B3,'11 Tracks'!A3:S62,18)/25*(50-B17)+VLOOKUP(B12,'13 Miscellaneous Data'!A2:I10,9,FALSE)</f>
        <v/>
      </c>
      <c r="C31" s="4" t="n"/>
      <c r="D31" s="4" t="n"/>
      <c r="E31" s="4" t="n"/>
      <c r="F31" s="4" t="n"/>
      <c r="G31" s="4" t="n"/>
      <c r="H31" s="4" t="n"/>
      <c r="I31" s="4" t="n"/>
      <c r="J31" s="156" t="n"/>
      <c r="K31" s="190" t="inlineStr">
        <is>
          <t>Tyres</t>
        </is>
      </c>
      <c r="L31" s="190" t="inlineStr">
        <is>
          <t>Fuel Weight</t>
        </is>
      </c>
      <c r="M31" s="190" t="inlineStr">
        <is>
          <t>Pit Loss</t>
        </is>
      </c>
      <c r="N31" s="190" t="inlineStr">
        <is>
          <t>Tot Loss</t>
        </is>
      </c>
      <c r="O31" s="191" t="inlineStr">
        <is>
          <t>Rank</t>
        </is>
      </c>
      <c r="P31" s="192" t="inlineStr">
        <is>
          <t>Wear/Stint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4.25" customHeight="1" s="26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156" t="inlineStr">
        <is>
          <t>1 Stop - XS</t>
        </is>
      </c>
      <c r="K32" s="193" t="n">
        <v>0</v>
      </c>
      <c r="L32" s="193">
        <f>$B$23*$B$4*$B$5/4*$S$17*$B$4*$B$5</f>
        <v/>
      </c>
      <c r="M32" s="3">
        <f>$B$6+$B$20</f>
        <v/>
      </c>
      <c r="N32" s="193">
        <f>SUM(K32:M32)</f>
        <v/>
      </c>
      <c r="O32" s="157">
        <f>IF(P32&gt;1,"Not possible",RANK(R32,R$32:R$57,1))</f>
        <v/>
      </c>
      <c r="P32" s="194">
        <f>ROUNDUP($B$4/2,0)*$B$5*$B$25/100</f>
        <v/>
      </c>
      <c r="Q32" s="4" t="n"/>
      <c r="R32" s="4">
        <f>IF(P32&gt;1,9999,N32)</f>
        <v/>
      </c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4.25" customHeight="1" s="267">
      <c r="A33" s="195" t="inlineStr">
        <is>
          <t>STRATEGY</t>
        </is>
      </c>
      <c r="B33" s="196" t="n"/>
      <c r="C33" s="197" t="n"/>
      <c r="D33" s="4" t="n"/>
      <c r="E33" s="280" t="inlineStr">
        <is>
          <t>Best Strategies - Top 5</t>
        </is>
      </c>
      <c r="F33" s="281" t="n"/>
      <c r="G33" s="281" t="n"/>
      <c r="H33" s="265" t="n"/>
      <c r="I33" s="4" t="n"/>
      <c r="J33" s="156" t="inlineStr">
        <is>
          <t>2 Stop - XS</t>
        </is>
      </c>
      <c r="K33" s="193" t="n">
        <v>0</v>
      </c>
      <c r="L33" s="193">
        <f>$B$23*$B$4*$B$5/6*$S$17*$B$4*$B$5</f>
        <v/>
      </c>
      <c r="M33" s="3">
        <f>2*($B$6+$B$20)</f>
        <v/>
      </c>
      <c r="N33" s="193">
        <f>SUM(K33:M33)</f>
        <v/>
      </c>
      <c r="O33" s="157">
        <f>IF(P33&gt;1,"Not possible",RANK(R33,R$32:R$57,1))</f>
        <v/>
      </c>
      <c r="P33" s="194">
        <f>ROUNDUP($B$4/3,0)*$B$5*$B$25/100</f>
        <v/>
      </c>
      <c r="Q33" s="4" t="n"/>
      <c r="R33" s="4">
        <f>IF(P33&gt;1,9999,N33)</f>
        <v/>
      </c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4.25" customHeight="1" s="267">
      <c r="A34" s="156" t="n"/>
      <c r="B34" s="198" t="inlineStr">
        <is>
          <t>Automatic</t>
        </is>
      </c>
      <c r="C34" s="157" t="n"/>
      <c r="D34" s="4" t="n"/>
      <c r="E34" s="199" t="inlineStr">
        <is>
          <t>Rank</t>
        </is>
      </c>
      <c r="F34" s="200" t="inlineStr">
        <is>
          <t>Strat</t>
        </is>
      </c>
      <c r="G34" s="200" t="inlineStr">
        <is>
          <t>Tot Loss Time</t>
        </is>
      </c>
      <c r="H34" s="200" t="inlineStr">
        <is>
          <t>Wear / Stint</t>
        </is>
      </c>
      <c r="I34" s="4" t="n"/>
      <c r="J34" s="156" t="inlineStr">
        <is>
          <t>3 Stop - XS</t>
        </is>
      </c>
      <c r="K34" s="193" t="n">
        <v>0</v>
      </c>
      <c r="L34" s="193">
        <f>$B$23*$B$4*$B$5/8*$S$17*$B$4*$B$5</f>
        <v/>
      </c>
      <c r="M34" s="3">
        <f>3*($B$6+$B$20)</f>
        <v/>
      </c>
      <c r="N34" s="193">
        <f>SUM(K34:M34)</f>
        <v/>
      </c>
      <c r="O34" s="157">
        <f>IF(P34&gt;1,"Not possible",RANK(R34,R$32:R$57,1))</f>
        <v/>
      </c>
      <c r="P34" s="194">
        <f>ROUNDUP($B$4/4,0)*$B$5*$B$25/100</f>
        <v/>
      </c>
      <c r="Q34" s="4" t="n"/>
      <c r="R34" s="201">
        <f>IF(P34&gt;1,9999,N34)</f>
        <v/>
      </c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4.25" customHeight="1" s="267">
      <c r="A35" s="156" t="n"/>
      <c r="B35" s="202" t="n"/>
      <c r="C35" s="157" t="n"/>
      <c r="D35" s="4" t="n"/>
      <c r="E35" s="47" t="n">
        <v>1</v>
      </c>
      <c r="F35" s="47">
        <f t="array" ref="F35">INDEX(J32:P57,MATCH(TRUE,EXACT(E35,O32:O57),0),1)</f>
        <v/>
      </c>
      <c r="G35" s="203">
        <f t="array" ref="G35">INDEX(J32:P57,MATCH(TRUE,EXACT(E35,O32:O57),0),5)</f>
        <v/>
      </c>
      <c r="H35" s="204">
        <f t="array" ref="H35">INDEX(J32:P57,MATCH(TRUE,EXACT(E35,O32:O57),0),7)</f>
        <v/>
      </c>
      <c r="I35" s="4" t="n"/>
      <c r="J35" s="156" t="inlineStr">
        <is>
          <t>4 Stop - XS</t>
        </is>
      </c>
      <c r="K35" s="193" t="n">
        <v>0</v>
      </c>
      <c r="L35" s="193">
        <f>$B$23*$B$4*$B$5/10*$S$17*$B$4*$B$5</f>
        <v/>
      </c>
      <c r="M35" s="3">
        <f>4*($B$6+$B$20)</f>
        <v/>
      </c>
      <c r="N35" s="193">
        <f>SUM(K35:M35)</f>
        <v/>
      </c>
      <c r="O35" s="157">
        <f>IF(P35&gt;1,"Not possible",RANK(R35,R$32:R$57,1))</f>
        <v/>
      </c>
      <c r="P35" s="194">
        <f>ROUNDUP($B$4/5,0)*$B$5*$B$25/100</f>
        <v/>
      </c>
      <c r="Q35" s="4" t="n"/>
      <c r="R35" s="201">
        <f>IF(P35&gt;1,9999,N35)</f>
        <v/>
      </c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4.25" customHeight="1" s="267">
      <c r="A36" s="156" t="inlineStr">
        <is>
          <t>Tyres Chosen</t>
        </is>
      </c>
      <c r="B36" s="205">
        <f t="array" ref="B36">IF(C36="",INDEX(P61:P71,MATCH(1,O32:O56,0)),C36)</f>
        <v/>
      </c>
      <c r="C36" s="206" t="inlineStr">
        <is>
          <t>Soft</t>
        </is>
      </c>
      <c r="D36" s="4" t="n"/>
      <c r="E36" s="47" t="n">
        <v>2</v>
      </c>
      <c r="F36" s="47">
        <f t="array" ref="F36">INDEX(J33:P58,MATCH(TRUE,EXACT(E36,O33:O58),0),1)</f>
        <v/>
      </c>
      <c r="G36" s="203">
        <f t="array" ref="G36">INDEX(J33:P58,MATCH(TRUE,EXACT(E36,O33:O58),0),5)</f>
        <v/>
      </c>
      <c r="H36" s="204">
        <f t="array" ref="H36">INDEX(J33:P58,MATCH(TRUE,EXACT(E36,O33:O58),0),7)</f>
        <v/>
      </c>
      <c r="I36" s="4" t="n"/>
      <c r="J36" s="156" t="inlineStr">
        <is>
          <t>5 Stop - XS</t>
        </is>
      </c>
      <c r="K36" s="193" t="n">
        <v>0</v>
      </c>
      <c r="L36" s="193">
        <f>$B$23*$B$4*$B$5/12*$S$17*$B$4*$B$5</f>
        <v/>
      </c>
      <c r="M36" s="3">
        <f>5*($B$6+$B$20)</f>
        <v/>
      </c>
      <c r="N36" s="193">
        <f>SUM(K36:M36)</f>
        <v/>
      </c>
      <c r="O36" s="157">
        <f>IF(P36&gt;1,"Not possible",RANK(R36,R$32:R$57,1))</f>
        <v/>
      </c>
      <c r="P36" s="194">
        <f>ROUNDUP($B$4/6,0)*$B$5*$B$25/100</f>
        <v/>
      </c>
      <c r="Q36" s="4" t="n"/>
      <c r="R36" s="201">
        <f>IF(P36&gt;1,9999,N36)</f>
        <v/>
      </c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4.25" customHeight="1" s="267">
      <c r="A37" s="156" t="inlineStr">
        <is>
          <t>Number of Pitstops</t>
        </is>
      </c>
      <c r="B37" s="3">
        <f t="array" ref="B37">IF(C37="",INDEX(R62:R72,MATCH(1,O32:O56,0)),C37)</f>
        <v/>
      </c>
      <c r="C37" s="207" t="n">
        <v>2</v>
      </c>
      <c r="D37" s="4" t="n"/>
      <c r="E37" s="47" t="n">
        <v>3</v>
      </c>
      <c r="F37" s="47">
        <f t="array" ref="F37">INDEX(J34:P59,MATCH(TRUE,EXACT(E37,O34:O59),0),1)</f>
        <v/>
      </c>
      <c r="G37" s="203">
        <f t="array" ref="G37">INDEX(J34:P59,MATCH(TRUE,EXACT(E37,O34:O59),0),5)</f>
        <v/>
      </c>
      <c r="H37" s="204">
        <f t="array" ref="H37">INDEX(J34:P59,MATCH(TRUE,EXACT(E37,O34:O59),0),7)</f>
        <v/>
      </c>
      <c r="I37" s="4" t="n"/>
      <c r="J37" s="156" t="inlineStr">
        <is>
          <t>6 Stop - XS</t>
        </is>
      </c>
      <c r="K37" s="193" t="n">
        <v>0</v>
      </c>
      <c r="L37" s="193">
        <f>$B$23*$B$4*$B$5/14*$S$17*$B$4*$B$5</f>
        <v/>
      </c>
      <c r="M37" s="3">
        <f>6*($B$6+$B$20)</f>
        <v/>
      </c>
      <c r="N37" s="193">
        <f>SUM(K37:M37)</f>
        <v/>
      </c>
      <c r="O37" s="157">
        <f>IF(P37&gt;1,"Not possible",RANK(R37,R$32:R$57,1))</f>
        <v/>
      </c>
      <c r="P37" s="194">
        <f>ROUNDUP($B$4/7,0)*$B$5*$B$25/100</f>
        <v/>
      </c>
      <c r="Q37" s="4" t="n"/>
      <c r="R37" s="201">
        <f>IF(P37&gt;1,9999,N37)</f>
        <v/>
      </c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4.25" customHeight="1" s="267">
      <c r="A38" s="156" t="n"/>
      <c r="B38" s="208" t="n"/>
      <c r="C38" s="157" t="n"/>
      <c r="D38" s="4" t="n"/>
      <c r="E38" s="47" t="n">
        <v>4</v>
      </c>
      <c r="F38" s="47">
        <f t="array" ref="F38">INDEX(J35:P60,MATCH(TRUE,EXACT(E38,O35:O60),0),1)</f>
        <v/>
      </c>
      <c r="G38" s="203">
        <f t="array" ref="G38">INDEX(J35:P60,MATCH(TRUE,EXACT(E38,O35:O60),0),5)</f>
        <v/>
      </c>
      <c r="H38" s="204">
        <f t="array" ref="H38">INDEX(J35:P60,MATCH(TRUE,EXACT(E38,O35:O60),0),7)</f>
        <v/>
      </c>
      <c r="I38" s="4" t="n"/>
      <c r="J38" s="156" t="inlineStr">
        <is>
          <t>7 Stop - XS</t>
        </is>
      </c>
      <c r="K38" s="193" t="n">
        <v>0</v>
      </c>
      <c r="L38" s="193">
        <f>$B$23*$B$4*$B$5/16*$S$17*$B$4*$B$5</f>
        <v/>
      </c>
      <c r="M38" s="3">
        <f>7*($B$6+$B$20)</f>
        <v/>
      </c>
      <c r="N38" s="193">
        <f>SUM(K38:M38)</f>
        <v/>
      </c>
      <c r="O38" s="157">
        <f>IF(P38&gt;1,"Not possible",RANK(R38,R$32:R$57,1))</f>
        <v/>
      </c>
      <c r="P38" s="194">
        <f>ROUNDUP($B$4/8,0)*$B$5*$B$25/100</f>
        <v/>
      </c>
      <c r="Q38" s="4" t="n"/>
      <c r="R38" s="201">
        <f>IF(P38&gt;1,9999,N38)</f>
        <v/>
      </c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4.25" customHeight="1" s="267">
      <c r="A39" s="156" t="inlineStr">
        <is>
          <t>1st Pit (Lap)</t>
        </is>
      </c>
      <c r="B39" s="3">
        <f>IF(C39="",IF(1&gt;$B$37,$B$4,ROUND($B$4/($B$37+1),0)),C39)</f>
        <v/>
      </c>
      <c r="C39" s="206" t="n"/>
      <c r="D39" s="4" t="n"/>
      <c r="E39" s="47" t="n">
        <v>5</v>
      </c>
      <c r="F39" s="47">
        <f t="array" ref="F39">INDEX(J36:P61,MATCH(TRUE,EXACT(E39,O36:O61),0),1)</f>
        <v/>
      </c>
      <c r="G39" s="203">
        <f t="array" ref="G39">INDEX(J36:P61,MATCH(TRUE,EXACT(E39,O36:O61),0),5)</f>
        <v/>
      </c>
      <c r="H39" s="204">
        <f t="array" ref="H39">INDEX(J36:P61,MATCH(TRUE,EXACT(E39,O36:O61),0),7)</f>
        <v/>
      </c>
      <c r="I39" s="4" t="n"/>
      <c r="J39" s="156" t="inlineStr">
        <is>
          <t>8 Stop - XS</t>
        </is>
      </c>
      <c r="K39" s="193" t="n">
        <v>0</v>
      </c>
      <c r="L39" s="193">
        <f>$B$23*$B$4*$B$5/18*$S$17*$B$4*$B$5</f>
        <v/>
      </c>
      <c r="M39" s="3">
        <f>8*($B$6+$B$20)</f>
        <v/>
      </c>
      <c r="N39" s="193">
        <f>SUM(K39:M39)</f>
        <v/>
      </c>
      <c r="O39" s="157">
        <f>IF(P39&gt;1,"Not possible",RANK(R39,R$32:R$57,1))</f>
        <v/>
      </c>
      <c r="P39" s="194">
        <f>ROUNDUP($B$4/9,0)*$B$5*$B$25/100</f>
        <v/>
      </c>
      <c r="Q39" s="4" t="n"/>
      <c r="R39" s="201">
        <f>IF(P39&gt;1,9999,N39)</f>
        <v/>
      </c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4.25" customHeight="1" s="267">
      <c r="A40" s="156" t="inlineStr">
        <is>
          <t>2nd Pit (Lap)</t>
        </is>
      </c>
      <c r="B40" s="3">
        <f>IF(C40="",IF(2&gt;$B$37,$B$4,B39+ROUND($B$4/($B$37+1),0)),C40)</f>
        <v/>
      </c>
      <c r="C40" s="209" t="n"/>
      <c r="D40" s="4" t="n"/>
      <c r="E40" s="4" t="n"/>
      <c r="F40" s="4" t="n"/>
      <c r="G40" s="4" t="n"/>
      <c r="H40" s="4" t="n"/>
      <c r="I40" s="4" t="n"/>
      <c r="J40" s="156" t="inlineStr">
        <is>
          <t>1 Stop - S</t>
        </is>
      </c>
      <c r="K40" s="193">
        <f>$B$31*$B$4</f>
        <v/>
      </c>
      <c r="L40" s="193">
        <f>$B$23*$B$4*$B$5/4*$S$17*$B$4*$B$5</f>
        <v/>
      </c>
      <c r="M40" s="3">
        <f>$B$6+$B$20</f>
        <v/>
      </c>
      <c r="N40" s="193">
        <f>SUM(K40:M40)</f>
        <v/>
      </c>
      <c r="O40" s="157">
        <f>IF(P40&gt;1,"Not possible",RANK(R40,R$32:R$57,1))</f>
        <v/>
      </c>
      <c r="P40" s="194">
        <f>ROUNDUP($B$4/2,0)*$B$5*$B$26/100</f>
        <v/>
      </c>
      <c r="Q40" s="4" t="n"/>
      <c r="R40" s="4">
        <f>IF(P40&gt;1,9999,N40)</f>
        <v/>
      </c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4.25" customHeight="1" s="267">
      <c r="A41" s="156" t="inlineStr">
        <is>
          <t>3rd Pit (Lap)</t>
        </is>
      </c>
      <c r="B41" s="3">
        <f>IF(C41="",IF(3&gt;$B$37,$B$4,B40+ROUND($B$4/($B$37+1),0)),C41)</f>
        <v/>
      </c>
      <c r="C41" s="209" t="n"/>
      <c r="D41" s="4" t="n"/>
      <c r="E41" s="4" t="n"/>
      <c r="F41" s="4" t="n"/>
      <c r="G41" s="4" t="n"/>
      <c r="H41" s="4" t="n"/>
      <c r="I41" s="4" t="n"/>
      <c r="J41" s="156" t="inlineStr">
        <is>
          <t>2 Stop - S</t>
        </is>
      </c>
      <c r="K41" s="193">
        <f>$B$31*$B$4</f>
        <v/>
      </c>
      <c r="L41" s="193">
        <f>$B$23*$B$4*$B$5/6*$S$17*$B$4*$B$5</f>
        <v/>
      </c>
      <c r="M41" s="3">
        <f>2*($B$6+$B$20)</f>
        <v/>
      </c>
      <c r="N41" s="193">
        <f>SUM(K41:M41)</f>
        <v/>
      </c>
      <c r="O41" s="157">
        <f>IF(P41&gt;1,"Not possible",RANK(R41,R$32:R$57,1))</f>
        <v/>
      </c>
      <c r="P41" s="194">
        <f>ROUNDUP($B$4/3,0)*$B$5*$B$26/100</f>
        <v/>
      </c>
      <c r="Q41" s="4" t="n"/>
      <c r="R41" s="201">
        <f>IF(P41&gt;1,9999,N41)</f>
        <v/>
      </c>
      <c r="S41" s="4" t="n"/>
      <c r="T41" s="4" t="n"/>
      <c r="U41" s="4" t="n"/>
      <c r="V41" s="4" t="n"/>
      <c r="W41" s="4" t="n">
        <v>6</v>
      </c>
      <c r="X41" s="4" t="n">
        <v>2</v>
      </c>
      <c r="Y41" s="4" t="n"/>
      <c r="Z41" s="4" t="n"/>
    </row>
    <row r="42" ht="14.25" customHeight="1" s="267">
      <c r="A42" s="156" t="inlineStr">
        <is>
          <t>4th Pit (Lap)</t>
        </is>
      </c>
      <c r="B42" s="3">
        <f>IF(C42="",IF(4&gt;$B$37,$B$4,B41+ROUND($B$4/($B$37+1),0)),C42)</f>
        <v/>
      </c>
      <c r="C42" s="209" t="n"/>
      <c r="D42" s="4" t="n"/>
      <c r="E42" s="4" t="n"/>
      <c r="F42" s="4" t="n"/>
      <c r="G42" s="4" t="n"/>
      <c r="H42" s="4" t="n"/>
      <c r="I42" s="4" t="n"/>
      <c r="J42" s="156" t="inlineStr">
        <is>
          <t>3 Stop - S</t>
        </is>
      </c>
      <c r="K42" s="193">
        <f>$B$31*$B$4</f>
        <v/>
      </c>
      <c r="L42" s="193">
        <f>$B$23*$B$4*$B$5/8*$S$17*$B$4*$B$5</f>
        <v/>
      </c>
      <c r="M42" s="3">
        <f>3*($B$6+$B$20)</f>
        <v/>
      </c>
      <c r="N42" s="193">
        <f>SUM(K42:M42)</f>
        <v/>
      </c>
      <c r="O42" s="157">
        <f>IF(P42&gt;1,"Not possible",RANK(R42,R$32:R$57,1))</f>
        <v/>
      </c>
      <c r="P42" s="194">
        <f>ROUNDUP($B$4/4,0)*$B$5*$B$26/100</f>
        <v/>
      </c>
      <c r="Q42" s="4" t="n"/>
      <c r="R42" s="201">
        <f>IF(P42&gt;1,9999,N42)</f>
        <v/>
      </c>
      <c r="S42" s="4" t="n"/>
      <c r="T42" s="4" t="n"/>
      <c r="U42" s="4" t="n"/>
      <c r="V42" s="4" t="n"/>
      <c r="W42" s="4" t="n">
        <v>16</v>
      </c>
      <c r="X42" s="4" t="n">
        <v>3</v>
      </c>
      <c r="Y42" s="4" t="n"/>
      <c r="Z42" s="4" t="n"/>
    </row>
    <row r="43" ht="14.25" customHeight="1" s="267">
      <c r="A43" s="156" t="inlineStr">
        <is>
          <t>5th Pit (Lap)</t>
        </is>
      </c>
      <c r="B43" s="3">
        <f>IF(C43="",IF(5&gt;$B$37,$B$4,LEFT(A43,1)*ROUND($B$4/($B$37+1),0)),C43)</f>
        <v/>
      </c>
      <c r="C43" s="207" t="n"/>
      <c r="D43" s="4" t="n"/>
      <c r="E43" s="4" t="n"/>
      <c r="F43" s="4" t="inlineStr">
        <is>
          <t>Alternative</t>
        </is>
      </c>
      <c r="G43" s="4" t="n"/>
      <c r="H43" s="4" t="inlineStr">
        <is>
          <t>Rain</t>
        </is>
      </c>
      <c r="I43" s="4" t="n"/>
      <c r="J43" s="156" t="inlineStr">
        <is>
          <t>4 Stop - S</t>
        </is>
      </c>
      <c r="K43" s="193">
        <f>$B$31*$B$4</f>
        <v/>
      </c>
      <c r="L43" s="193">
        <f>$B$23*$B$4*$B$5/10*$S$17*$B$4*$B$5</f>
        <v/>
      </c>
      <c r="M43" s="3">
        <f>4*($B$6+$B$20)</f>
        <v/>
      </c>
      <c r="N43" s="193">
        <f>SUM(K43:M43)</f>
        <v/>
      </c>
      <c r="O43" s="157">
        <f>IF(P43&gt;1,"Not possible",RANK(R43,R$32:R$57,1))</f>
        <v/>
      </c>
      <c r="P43" s="194">
        <f>ROUNDUP($B$4/5,0)*$B$5*$B$26/100</f>
        <v/>
      </c>
      <c r="Q43" s="4" t="n"/>
      <c r="R43" s="201">
        <f>IF(P43&gt;1,9999,N43)</f>
        <v/>
      </c>
      <c r="S43" s="4" t="n"/>
      <c r="T43" s="4" t="n"/>
      <c r="U43" s="4" t="n"/>
      <c r="V43" s="4" t="n"/>
      <c r="W43" s="4" t="n">
        <v>25</v>
      </c>
      <c r="X43" s="4" t="n">
        <v>4</v>
      </c>
      <c r="Y43" s="4" t="n"/>
      <c r="Z43" s="4" t="n"/>
    </row>
    <row r="44" ht="14.25" customHeight="1" s="267">
      <c r="A44" s="156" t="n"/>
      <c r="B44" s="3" t="n"/>
      <c r="C44" s="157" t="n"/>
      <c r="D44" s="4" t="n"/>
      <c r="E44" s="4" t="n"/>
      <c r="F44" s="4" t="inlineStr">
        <is>
          <t>fuel calculator</t>
        </is>
      </c>
      <c r="G44" s="4" t="n"/>
      <c r="H44" s="4" t="inlineStr">
        <is>
          <t>fuel calculator</t>
        </is>
      </c>
      <c r="I44" s="4" t="n"/>
      <c r="J44" s="156" t="inlineStr">
        <is>
          <t>5 Stop - S</t>
        </is>
      </c>
      <c r="K44" s="193">
        <f>$B$31*$B$4</f>
        <v/>
      </c>
      <c r="L44" s="193">
        <f>$B$23*$B$4*$B$5/12*$S$17*$B$4*$B$5</f>
        <v/>
      </c>
      <c r="M44" s="3">
        <f>5*($B$6+$B$20)</f>
        <v/>
      </c>
      <c r="N44" s="193">
        <f>SUM(K44:M44)</f>
        <v/>
      </c>
      <c r="O44" s="157">
        <f>IF(P44&gt;1,"Not possible",RANK(R44,R$32:R$57,1))</f>
        <v/>
      </c>
      <c r="P44" s="194">
        <f>ROUNDUP($B$4/6,0)*$B$5*$B$26/100</f>
        <v/>
      </c>
      <c r="Q44" s="4" t="n"/>
      <c r="R44" s="201">
        <f>IF(P44&gt;1,9999,N44)</f>
        <v/>
      </c>
      <c r="S44" s="4" t="n"/>
      <c r="T44" s="4" t="n"/>
      <c r="U44" s="4" t="n"/>
      <c r="V44" s="4" t="n"/>
      <c r="W44" s="4" t="n">
        <v>35</v>
      </c>
      <c r="X44" s="4" t="n">
        <v>5</v>
      </c>
      <c r="Y44" s="4" t="n"/>
      <c r="Z44" s="4" t="n"/>
    </row>
    <row r="45" ht="14.25" customHeight="1" s="267">
      <c r="A45" s="156" t="inlineStr">
        <is>
          <t>1st Stint Fuel (Litres)</t>
        </is>
      </c>
      <c r="B45" s="3">
        <f>IF(C45="",ROUNDUP((B39-B38)*$B$23*$B$5,0),C45)</f>
        <v/>
      </c>
      <c r="C45" s="206" t="n"/>
      <c r="D45" s="4" t="n"/>
      <c r="E45" s="4" t="n"/>
      <c r="F45" s="210">
        <f>IF(C45="",ROUNDUP((B39-B38)*$C$23*$B$5,0),C45)</f>
        <v/>
      </c>
      <c r="G45" s="4" t="n"/>
      <c r="H45" s="210">
        <f>IF(C45="",ROUNDUP((B39-B38)*$D$23*$B$5,0),C45)</f>
        <v/>
      </c>
      <c r="I45" s="4" t="n"/>
      <c r="J45" s="156" t="inlineStr">
        <is>
          <t>6 Stop - S</t>
        </is>
      </c>
      <c r="K45" s="193">
        <f>$B$31*$B$4</f>
        <v/>
      </c>
      <c r="L45" s="193">
        <f>$B$23*$B$4*$B$5/14*$S$17*$B$4*$B$5</f>
        <v/>
      </c>
      <c r="M45" s="3">
        <f>6*($B$6+$B$20)</f>
        <v/>
      </c>
      <c r="N45" s="193">
        <f>SUM(K45:M45)</f>
        <v/>
      </c>
      <c r="O45" s="157">
        <f>IF(P45&gt;1,"Not possible",RANK(R45,R$32:R$57,1))</f>
        <v/>
      </c>
      <c r="P45" s="194">
        <f>ROUNDUP($B$4/7,0)*$B$5*$B$26/100</f>
        <v/>
      </c>
      <c r="Q45" s="4" t="n"/>
      <c r="R45" s="201">
        <f>IF(P45&gt;1,9999,N45)</f>
        <v/>
      </c>
      <c r="S45" s="4" t="n"/>
      <c r="T45" s="4" t="n"/>
      <c r="U45" s="4" t="n"/>
      <c r="V45" s="4" t="n"/>
      <c r="W45" s="4" t="n">
        <v>45</v>
      </c>
      <c r="X45" s="4" t="n">
        <v>6</v>
      </c>
      <c r="Y45" s="4" t="n"/>
      <c r="Z45" s="4" t="n"/>
    </row>
    <row r="46" ht="14.25" customHeight="1" s="267">
      <c r="A46" s="156" t="inlineStr">
        <is>
          <t>2nd Stint Fuel (Litres)</t>
        </is>
      </c>
      <c r="B46" s="3">
        <f>IF(C46="",ROUNDUP((B40-B39)*$B$23*$B$5,0),C46)</f>
        <v/>
      </c>
      <c r="C46" s="209" t="n"/>
      <c r="D46" s="4" t="n"/>
      <c r="E46" s="4" t="n"/>
      <c r="F46" s="211">
        <f>IF(C46="",ROUNDUP((B40-B39)*$C$23*$B$5,0),C46)</f>
        <v/>
      </c>
      <c r="G46" s="4" t="n"/>
      <c r="H46" s="211">
        <f>IF(C46="",ROUNDUP((B40-B39)*$D$23*$B$5,0),C46)</f>
        <v/>
      </c>
      <c r="I46" s="4" t="n"/>
      <c r="J46" s="156" t="inlineStr">
        <is>
          <t>7 Stop - S</t>
        </is>
      </c>
      <c r="K46" s="193">
        <f>$B$31*$B$4</f>
        <v/>
      </c>
      <c r="L46" s="193">
        <f>$B$23*$B$4*$B$5/16*$S$17*$B$4*$B$5</f>
        <v/>
      </c>
      <c r="M46" s="3">
        <f>7*($B$6+$B$20)</f>
        <v/>
      </c>
      <c r="N46" s="193">
        <f>SUM(K46:M46)</f>
        <v/>
      </c>
      <c r="O46" s="157">
        <f>IF(P46&gt;1,"Not possible",RANK(R46,R$32:R$57,1))</f>
        <v/>
      </c>
      <c r="P46" s="194">
        <f>ROUNDUP($B$4/8,0)*$B$5*$B$26/100</f>
        <v/>
      </c>
      <c r="Q46" s="4" t="n"/>
      <c r="R46" s="201">
        <f>IF(P46&gt;1,9999,N46)</f>
        <v/>
      </c>
      <c r="S46" s="4" t="n"/>
      <c r="T46" s="4" t="n"/>
      <c r="U46" s="4" t="n"/>
      <c r="V46" s="4" t="n"/>
      <c r="W46" s="4" t="n">
        <v>55</v>
      </c>
      <c r="X46" s="4" t="n">
        <v>7</v>
      </c>
      <c r="Y46" s="4" t="n"/>
      <c r="Z46" s="4" t="n"/>
    </row>
    <row r="47" ht="14.25" customHeight="1" s="267">
      <c r="A47" s="156" t="inlineStr">
        <is>
          <t>3rd Stint Fuel (Litres)</t>
        </is>
      </c>
      <c r="B47" s="3">
        <f>IF(C47="",ROUNDUP((B41-B40)*$B$23*$B$5,0),C47)</f>
        <v/>
      </c>
      <c r="C47" s="209" t="n"/>
      <c r="D47" s="4" t="n"/>
      <c r="E47" s="4" t="n"/>
      <c r="F47" s="211">
        <f>IF(C47="",ROUNDUP((B41-B40)*$C$23*$B$5,0),C47)</f>
        <v/>
      </c>
      <c r="G47" s="4" t="n"/>
      <c r="H47" s="211">
        <f>IF(C47="",ROUNDUP((B41-B40)*$D$23*$B$5,0),C47)</f>
        <v/>
      </c>
      <c r="I47" s="4" t="n"/>
      <c r="J47" s="156" t="inlineStr">
        <is>
          <t>1 Stop - M</t>
        </is>
      </c>
      <c r="K47" s="193">
        <f>2*$B$31*$B$4</f>
        <v/>
      </c>
      <c r="L47" s="193">
        <f>$B$23*$B$4*$B$5/4*$S$17*$B$4*$B$5</f>
        <v/>
      </c>
      <c r="M47" s="3">
        <f>$B$6+$B$20</f>
        <v/>
      </c>
      <c r="N47" s="193">
        <f>SUM(K47:M47)</f>
        <v/>
      </c>
      <c r="O47" s="157">
        <f>IF(P47&gt;1,"Not possible",RANK(R47,R$32:R$57,1))</f>
        <v/>
      </c>
      <c r="P47" s="194">
        <f>ROUNDUP($B$4/2,0)*$B$5*$B$27/100</f>
        <v/>
      </c>
      <c r="Q47" s="4" t="n"/>
      <c r="R47" s="4">
        <f>IF(P47&gt;1,9999,N47)</f>
        <v/>
      </c>
      <c r="S47" s="4" t="n"/>
      <c r="T47" s="4" t="n"/>
      <c r="U47" s="4" t="n"/>
      <c r="V47" s="4" t="n"/>
      <c r="W47" s="4" t="n">
        <v>65</v>
      </c>
      <c r="X47" s="4" t="n">
        <v>8</v>
      </c>
      <c r="Y47" s="4" t="n"/>
      <c r="Z47" s="4" t="n"/>
    </row>
    <row r="48" ht="14.25" customHeight="1" s="267">
      <c r="A48" s="156" t="inlineStr">
        <is>
          <t>4th Stint Fuel (Litres)</t>
        </is>
      </c>
      <c r="B48" s="3">
        <f>IF(C48="",ROUNDUP((B42-B41)*$B$23*$B$5,0),C48)</f>
        <v/>
      </c>
      <c r="C48" s="209" t="n"/>
      <c r="D48" s="4" t="n"/>
      <c r="E48" s="4" t="n"/>
      <c r="F48" s="211">
        <f>IF(C48="",ROUNDUP((B42-B41)*$C$23*$B$5,0),C48)</f>
        <v/>
      </c>
      <c r="G48" s="4" t="n"/>
      <c r="H48" s="211">
        <f>IF(C48="",ROUNDUP((B42-B41)*$D$23*$B$5,0),C48)</f>
        <v/>
      </c>
      <c r="I48" s="4" t="n"/>
      <c r="J48" s="156" t="inlineStr">
        <is>
          <t>2 Stop - M</t>
        </is>
      </c>
      <c r="K48" s="193">
        <f>2*$B$31*$B$4</f>
        <v/>
      </c>
      <c r="L48" s="193">
        <f>$B$23*$B$4*$B$5/6*$S$17*$B$4*$B$5</f>
        <v/>
      </c>
      <c r="M48" s="3">
        <f>2*($B$6+$B$20)</f>
        <v/>
      </c>
      <c r="N48" s="193">
        <f>SUM(K48:M48)</f>
        <v/>
      </c>
      <c r="O48" s="157">
        <f>IF(P48&gt;1,"Not possible",RANK(R48,R$32:R$57,1))</f>
        <v/>
      </c>
      <c r="P48" s="194">
        <f>ROUNDUP($B$4/3,0)*$B$5*$B$27/100</f>
        <v/>
      </c>
      <c r="Q48" s="4" t="n"/>
      <c r="R48" s="201">
        <f>IF(P48&gt;1,9999,N48)</f>
        <v/>
      </c>
      <c r="S48" s="4" t="n"/>
      <c r="T48" s="4" t="n"/>
      <c r="U48" s="4" t="n"/>
      <c r="V48" s="4" t="n"/>
      <c r="W48" s="4" t="n">
        <v>75</v>
      </c>
      <c r="X48" s="4" t="n">
        <v>9</v>
      </c>
      <c r="Y48" s="4" t="n"/>
      <c r="Z48" s="4" t="n"/>
    </row>
    <row r="49" ht="14.25" customHeight="1" s="267">
      <c r="A49" s="161" t="inlineStr">
        <is>
          <t>5th Stint Fuel (Litres)</t>
        </is>
      </c>
      <c r="B49" s="20">
        <f>IF(C49="",ROUNDUP((B43-B42)*$B$23*$B$5,0),C49)</f>
        <v/>
      </c>
      <c r="C49" s="207" t="n"/>
      <c r="D49" s="4" t="n"/>
      <c r="E49" s="4" t="n"/>
      <c r="F49" s="212">
        <f>IF(C49="",ROUNDUP((B43-B42)*$C$23*$B$5,0),C49)</f>
        <v/>
      </c>
      <c r="G49" s="4" t="n"/>
      <c r="H49" s="212">
        <f>IF(C49="",ROUNDUP((B43-B42)*$D$23*$B$5,0),C49)</f>
        <v/>
      </c>
      <c r="I49" s="4" t="n"/>
      <c r="J49" s="156" t="inlineStr">
        <is>
          <t>3 Stop - M</t>
        </is>
      </c>
      <c r="K49" s="193">
        <f>2*$B$31*$B$4</f>
        <v/>
      </c>
      <c r="L49" s="193">
        <f>$B$23*$B$4*$B$5/8*$S$17*$B$4*$B$5</f>
        <v/>
      </c>
      <c r="M49" s="3">
        <f>3*($B$6+$B$20)</f>
        <v/>
      </c>
      <c r="N49" s="193">
        <f>SUM(K49:M49)</f>
        <v/>
      </c>
      <c r="O49" s="157">
        <f>IF(P49&gt;1,"Not possible",RANK(R49,R$32:R$57,1))</f>
        <v/>
      </c>
      <c r="P49" s="194">
        <f>ROUNDUP($B$4/4,0)*$B$5*$B$27/100</f>
        <v/>
      </c>
      <c r="Q49" s="4" t="n"/>
      <c r="R49" s="201">
        <f>IF(P49&gt;1,9999,N49)</f>
        <v/>
      </c>
      <c r="S49" s="4" t="n"/>
      <c r="T49" s="4" t="n"/>
      <c r="U49" s="4" t="n"/>
      <c r="V49" s="4" t="n"/>
      <c r="W49" s="4" t="n">
        <v>85</v>
      </c>
      <c r="X49" s="4" t="n">
        <v>10</v>
      </c>
      <c r="Y49" s="4" t="n"/>
      <c r="Z49" s="4" t="n"/>
    </row>
    <row r="50" ht="14.25" customHeight="1" s="26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156" t="inlineStr">
        <is>
          <t>4 Stop - M</t>
        </is>
      </c>
      <c r="K50" s="193">
        <f>2*$B$31*$B$4</f>
        <v/>
      </c>
      <c r="L50" s="193">
        <f>$B$23*$B$4*$B$5/10*$S$17*$B$4*$B$5</f>
        <v/>
      </c>
      <c r="M50" s="3">
        <f>4*($B$6+$B$20)</f>
        <v/>
      </c>
      <c r="N50" s="193">
        <f>SUM(K50:M50)</f>
        <v/>
      </c>
      <c r="O50" s="157">
        <f>IF(P50&gt;1,"Not possible",RANK(R50,R$32:R$57,1))</f>
        <v/>
      </c>
      <c r="P50" s="194">
        <f>ROUNDUP($B$4/5,0)*$B$5*$B$27/100</f>
        <v/>
      </c>
      <c r="Q50" s="4" t="n"/>
      <c r="R50" s="201">
        <f>IF(P50&gt;1,9999,N50)</f>
        <v/>
      </c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4.25" customHeight="1" s="267">
      <c r="A51" s="4" t="n"/>
      <c r="B51" s="4" t="n"/>
      <c r="C51" s="4" t="n"/>
      <c r="D51" s="4" t="n"/>
      <c r="E51" s="4" t="n"/>
      <c r="F51" s="4" t="inlineStr">
        <is>
          <t>Alternative Dry</t>
        </is>
      </c>
      <c r="G51" s="4" t="n"/>
      <c r="H51" s="4" t="inlineStr">
        <is>
          <t>Rain</t>
        </is>
      </c>
      <c r="I51" s="4" t="n"/>
      <c r="J51" s="156" t="inlineStr">
        <is>
          <t>5 Stop - M</t>
        </is>
      </c>
      <c r="K51" s="193">
        <f>2*$B$31*$B$4</f>
        <v/>
      </c>
      <c r="L51" s="193">
        <f>$B$23*$B$4*$B$5/12*$S$17*$B$4*$B$5</f>
        <v/>
      </c>
      <c r="M51" s="3">
        <f>5*($B$6+$B$20)</f>
        <v/>
      </c>
      <c r="N51" s="193">
        <f>SUM(K51:M51)</f>
        <v/>
      </c>
      <c r="O51" s="157">
        <f>IF(P51&gt;1,"Not possible",RANK(R51,R$32:R$57,1))</f>
        <v/>
      </c>
      <c r="P51" s="194">
        <f>ROUNDUP($B$4/6,0)*$B$5*$B$27/100</f>
        <v/>
      </c>
      <c r="Q51" s="4" t="n"/>
      <c r="R51" s="201">
        <f>IF(P51&gt;1,9999,N51)</f>
        <v/>
      </c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4.25" customHeight="1" s="267">
      <c r="A52" s="152" t="n"/>
      <c r="B52" s="9" t="inlineStr">
        <is>
          <t>Tyre</t>
        </is>
      </c>
      <c r="C52" s="119" t="inlineStr">
        <is>
          <t>Fuel</t>
        </is>
      </c>
      <c r="D52" s="4" t="n"/>
      <c r="E52" s="4" t="n"/>
      <c r="F52" s="210" t="inlineStr">
        <is>
          <t>Fuel</t>
        </is>
      </c>
      <c r="G52" s="4" t="n"/>
      <c r="H52" s="210" t="inlineStr">
        <is>
          <t>Fuel</t>
        </is>
      </c>
      <c r="I52" s="4" t="n"/>
      <c r="J52" s="156" t="inlineStr">
        <is>
          <t>6 Stop - M</t>
        </is>
      </c>
      <c r="K52" s="193">
        <f>2*$B$31*$B$4</f>
        <v/>
      </c>
      <c r="L52" s="193">
        <f>$B$23*$B$4*$B$5/14*$S$17*$B$4*$B$5</f>
        <v/>
      </c>
      <c r="M52" s="3">
        <f>6*($B$6+$B$20)</f>
        <v/>
      </c>
      <c r="N52" s="193">
        <f>SUM(K52:M52)</f>
        <v/>
      </c>
      <c r="O52" s="157">
        <f>IF(P52&gt;1,"Not possible",RANK(R52,R$32:R$57,1))</f>
        <v/>
      </c>
      <c r="P52" s="194">
        <f>ROUNDUP($B$4/7,0)*$B$5*$B$27/100</f>
        <v/>
      </c>
      <c r="Q52" s="4" t="n"/>
      <c r="R52" s="201">
        <f>IF(P52&gt;1,9999,N52)</f>
        <v/>
      </c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4.25" customHeight="1" s="267">
      <c r="A53" s="156" t="n"/>
      <c r="B53" s="3" t="inlineStr">
        <is>
          <t>Remaining</t>
        </is>
      </c>
      <c r="C53" s="157" t="inlineStr">
        <is>
          <t>Left (ltrs)</t>
        </is>
      </c>
      <c r="D53" s="4" t="n"/>
      <c r="E53" s="4" t="n"/>
      <c r="F53" s="211" t="inlineStr">
        <is>
          <t>Left (ltrs)</t>
        </is>
      </c>
      <c r="G53" s="4" t="n"/>
      <c r="H53" s="211" t="inlineStr">
        <is>
          <t>Left (ltrs)</t>
        </is>
      </c>
      <c r="I53" s="4" t="n"/>
      <c r="J53" s="156" t="inlineStr">
        <is>
          <t>1 stop - H</t>
        </is>
      </c>
      <c r="K53" s="193">
        <f>3*$B$31*$B$4</f>
        <v/>
      </c>
      <c r="L53" s="193">
        <f>$B$23*$B$4*$B$5/4*$S$17*$B$4*$B$5</f>
        <v/>
      </c>
      <c r="M53" s="3">
        <f>$B$6+$B$20</f>
        <v/>
      </c>
      <c r="N53" s="193">
        <f>SUM(K53:M53)</f>
        <v/>
      </c>
      <c r="O53" s="157">
        <f>IF(P53&gt;1,"Not possible",RANK(R53,R$32:R$57,1))</f>
        <v/>
      </c>
      <c r="P53" s="194">
        <f>ROUNDUP($B$4/2,0)*$B$5*$B$28/100</f>
        <v/>
      </c>
      <c r="Q53" s="4" t="n"/>
      <c r="R53" s="201">
        <f>IF(P53&gt;1,9999,N53)</f>
        <v/>
      </c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4.25" customHeight="1" s="267">
      <c r="A54" s="213" t="inlineStr">
        <is>
          <t>At Pitstop 1</t>
        </is>
      </c>
      <c r="B54" s="214">
        <f t="array" ref="B54">IF(B45&gt;0,1-INDEX($B$25:$B$29,MATCH($B$36,Compounds,0),1)*(B39-B38)*$B$5/100,"")</f>
        <v/>
      </c>
      <c r="C54" s="215">
        <f>IF(B45&gt;0,B45-(B39-B38)*$B$23*$B$5,"")</f>
        <v/>
      </c>
      <c r="D54" s="25">
        <f>IF(B54&lt;0,"Tyres worn","")</f>
        <v/>
      </c>
      <c r="E54" s="25" t="n"/>
      <c r="F54" s="216">
        <f>IF(F45&gt;0,F45-(B39-B38)*$C$23*$B$5,"")</f>
        <v/>
      </c>
      <c r="G54" s="4" t="n"/>
      <c r="H54" s="216">
        <f>IF(H45&gt;0,H45-(B39-B38)*$D$23*$B$5,"")</f>
        <v/>
      </c>
      <c r="I54" s="4" t="n"/>
      <c r="J54" s="156" t="inlineStr">
        <is>
          <t>2 stop - H</t>
        </is>
      </c>
      <c r="K54" s="193">
        <f>3*$B$31*$B$4</f>
        <v/>
      </c>
      <c r="L54" s="193">
        <f>$B$23*$B$4*$B$5/6*$S$17*$B$4*$B$5</f>
        <v/>
      </c>
      <c r="M54" s="3">
        <f>2*($B$6+$B$20)</f>
        <v/>
      </c>
      <c r="N54" s="193">
        <f>SUM(K54:M54)</f>
        <v/>
      </c>
      <c r="O54" s="157">
        <f>IF(P54&gt;1,"Not possible",RANK(R54,R$32:R$57,1))</f>
        <v/>
      </c>
      <c r="P54" s="194">
        <f>ROUNDUP($B$4/3,0)*$B$5*$B$28/100</f>
        <v/>
      </c>
      <c r="Q54" s="4" t="n"/>
      <c r="R54" s="201">
        <f>IF(P54&gt;1,9999,N54)</f>
        <v/>
      </c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4.25" customHeight="1" s="267">
      <c r="A55" s="213" t="inlineStr">
        <is>
          <t>At Pitstop 2</t>
        </is>
      </c>
      <c r="B55" s="214">
        <f t="array" ref="B55">IF(B46&gt;0,1-INDEX($B$25:$B$29,MATCH($B$36,Compounds,0),1)*(B40-B39)*$B$5/100,"")</f>
        <v/>
      </c>
      <c r="C55" s="215">
        <f>IF(B46&gt;0,B46-(B40-B39)*$B$23*$B$5,"")</f>
        <v/>
      </c>
      <c r="D55" s="25">
        <f>IF(B55&lt;0,"Tyres worn","")</f>
        <v/>
      </c>
      <c r="E55" s="25" t="n"/>
      <c r="F55" s="216">
        <f>IF(F46&gt;0,F46-(B40-B39)*$C$23*$B$5,"")</f>
        <v/>
      </c>
      <c r="G55" s="4" t="n"/>
      <c r="H55" s="216">
        <f>IF(H46&gt;0,H46-(B40-B39)*$D$23*$B$5,"")</f>
        <v/>
      </c>
      <c r="I55" s="4" t="n"/>
      <c r="J55" s="156" t="inlineStr">
        <is>
          <t>3 stop - H</t>
        </is>
      </c>
      <c r="K55" s="193">
        <f>3*$B$31*$B$4</f>
        <v/>
      </c>
      <c r="L55" s="193">
        <f>$B$23*$B$4*$B$5/8*$S$17*$B$4*$B$5</f>
        <v/>
      </c>
      <c r="M55" s="3">
        <f>3*($B$6+$B$20)</f>
        <v/>
      </c>
      <c r="N55" s="193">
        <f>SUM(K55:M55)</f>
        <v/>
      </c>
      <c r="O55" s="157">
        <f>IF(P55&gt;1,"Not possible",RANK(R55,R$32:R$57,1))</f>
        <v/>
      </c>
      <c r="P55" s="194">
        <f>ROUNDUP($B$4/4,0)*$B$5*$B$28/100</f>
        <v/>
      </c>
      <c r="Q55" s="4" t="n"/>
      <c r="R55" s="201">
        <f>IF(P55&gt;1,9999,N55)</f>
        <v/>
      </c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4.25" customHeight="1" s="267">
      <c r="A56" s="213" t="inlineStr">
        <is>
          <t>At Pitstop 3</t>
        </is>
      </c>
      <c r="B56" s="214">
        <f t="array" ref="B56">IF(B47&gt;0,1-INDEX($B$25:$B$29,MATCH($B$36,Compounds,0),1)*(B41-B40)*$B$5/100,"")</f>
        <v/>
      </c>
      <c r="C56" s="215">
        <f>IF(B47&gt;0,B47-(B41-B40)*$B$23*$B$5,"")</f>
        <v/>
      </c>
      <c r="D56" s="25">
        <f>IF(B56&lt;0,"Tyres worn","")</f>
        <v/>
      </c>
      <c r="E56" s="25" t="n"/>
      <c r="F56" s="216">
        <f>IF(F47&gt;0,F47-(B41-B40)*$C$23*$B$5,"")</f>
        <v/>
      </c>
      <c r="G56" s="4" t="n"/>
      <c r="H56" s="216">
        <f>IF(H47&gt;0,H47-(B41-B40)*$D$23*$B$5,"")</f>
        <v/>
      </c>
      <c r="I56" s="4" t="n"/>
      <c r="J56" s="156" t="inlineStr">
        <is>
          <t>4 stop - H</t>
        </is>
      </c>
      <c r="K56" s="193">
        <f>3*$B$31*$B$4</f>
        <v/>
      </c>
      <c r="L56" s="193">
        <f>$B$23*$B$4*$B$5/10*$S$17*$B$4*$B$5</f>
        <v/>
      </c>
      <c r="M56" s="3">
        <f>4*($B$6+$B$20)</f>
        <v/>
      </c>
      <c r="N56" s="193">
        <f>SUM(K56:M56)</f>
        <v/>
      </c>
      <c r="O56" s="157">
        <f>IF(P56&gt;1,"Not possible",RANK(R56,R$32:R$57,1))</f>
        <v/>
      </c>
      <c r="P56" s="194">
        <f>ROUNDUP($B$4/5,0)*$B$5*$B$28/100</f>
        <v/>
      </c>
      <c r="Q56" s="4" t="n"/>
      <c r="R56" s="201">
        <f>IF(P56&gt;1,9999,N56)</f>
        <v/>
      </c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4.25" customHeight="1" s="267">
      <c r="A57" s="213" t="inlineStr">
        <is>
          <t>At Pitstop 4</t>
        </is>
      </c>
      <c r="B57" s="214">
        <f t="array" ref="B57">IF(B48&gt;0,1-INDEX($B$25:$B$29,MATCH($B$36,Compounds,0),1)*(B42-B41)*$B$5/100,"")</f>
        <v/>
      </c>
      <c r="C57" s="215">
        <f>IF(B48&gt;0,B48-(B42-B41)*$B$23*$B$5,"")</f>
        <v/>
      </c>
      <c r="D57" s="25">
        <f>IF(B57&lt;0,"Tyres worn","")</f>
        <v/>
      </c>
      <c r="E57" s="25" t="n"/>
      <c r="F57" s="216">
        <f>IF(F48&gt;0,F48-(B42-B41)*$C$23*$B$5,"")</f>
        <v/>
      </c>
      <c r="G57" s="4" t="n"/>
      <c r="H57" s="216">
        <f>IF(H48&gt;0,H48-(B42-B41)*$D$23*$B$5,"")</f>
        <v/>
      </c>
      <c r="I57" s="4" t="n"/>
      <c r="J57" s="156" t="inlineStr">
        <is>
          <t>5 stop - H</t>
        </is>
      </c>
      <c r="K57" s="193">
        <f>3*$B$31*$B$4</f>
        <v/>
      </c>
      <c r="L57" s="193">
        <f>$B$23*$B$4*$B$5/12*$S$17*$B$4*$B$5</f>
        <v/>
      </c>
      <c r="M57" s="3">
        <f>5*($B$6+$B$20)</f>
        <v/>
      </c>
      <c r="N57" s="193">
        <f>SUM(K57:M57)</f>
        <v/>
      </c>
      <c r="O57" s="157">
        <f>IF(P57&gt;1,"Not possible",RANK(R57,R$32:R$57,1))</f>
        <v/>
      </c>
      <c r="P57" s="194">
        <f>ROUNDUP($B$4/6,0)*$B$5*$B$28/100</f>
        <v/>
      </c>
      <c r="Q57" s="4" t="n"/>
      <c r="R57" s="201">
        <f>IF(P57&gt;1,9999,N57)</f>
        <v/>
      </c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4.25" customHeight="1" s="267">
      <c r="A58" s="217" t="inlineStr">
        <is>
          <t>At Pitstop 5</t>
        </is>
      </c>
      <c r="B58" s="218">
        <f t="array" ref="B58">IF(B49&gt;0,1-INDEX($B$25:$B$29,MATCH($B$36,Compounds,0),1)*(B43-B42)*$B$5/100,"")</f>
        <v/>
      </c>
      <c r="C58" s="219">
        <f>IF(B49&gt;0,B49-(B43-B42)*$B$23*$B$5,"")</f>
        <v/>
      </c>
      <c r="D58" s="25">
        <f>IF(B58&lt;0,"Tyres worn","")</f>
        <v/>
      </c>
      <c r="E58" s="25" t="n"/>
      <c r="F58" s="220">
        <f>IF(F49&gt;0,F49-(B43-B42)*$C$23*$B$5,"")</f>
        <v/>
      </c>
      <c r="G58" s="4" t="n"/>
      <c r="H58" s="220">
        <f>IF(H49&gt;0,H49-(B43-B42)*$D$23*$B$5,"")</f>
        <v/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4.25" customHeight="1" s="26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4.25" customHeight="1" s="26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4.25" customHeight="1" s="26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4.25" customHeight="1" s="26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>
        <v>1</v>
      </c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4.25" customHeight="1" s="26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>
        <v>2</v>
      </c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4.25" customHeight="1" s="26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>
        <v>3</v>
      </c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4.25" customHeight="1" s="26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>
        <v>4</v>
      </c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4.25" customHeight="1" s="26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>
        <v>1</v>
      </c>
      <c r="S66" s="4" t="n">
        <v>10</v>
      </c>
      <c r="T66" s="4" t="n"/>
      <c r="U66" s="4" t="n"/>
      <c r="V66" s="4" t="n"/>
      <c r="W66" s="4" t="n"/>
      <c r="X66" s="4" t="n"/>
      <c r="Y66" s="4" t="n"/>
      <c r="Z66" s="4" t="n"/>
    </row>
    <row r="67" ht="14.25" customHeight="1" s="2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>
        <v>2</v>
      </c>
      <c r="S67" s="4" t="n">
        <v>30</v>
      </c>
      <c r="T67" s="4" t="n"/>
      <c r="U67" s="4" t="n"/>
      <c r="V67" s="4" t="n"/>
      <c r="W67" s="4" t="n"/>
      <c r="X67" s="4" t="n"/>
      <c r="Y67" s="4" t="n"/>
      <c r="Z67" s="4" t="n"/>
    </row>
    <row r="68" ht="14.25" customHeight="1" s="26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4.25" customHeight="1" s="26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>
        <v>1</v>
      </c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4.25" customHeight="1" s="26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>
        <v>2</v>
      </c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4.25" customHeight="1" s="26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>
        <v>1</v>
      </c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4.25" customHeight="1" s="26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>
        <v>2</v>
      </c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4.25" customHeight="1" s="26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4.25" customHeight="1" s="26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4.25" customHeight="1" s="26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4.25" customHeight="1" s="26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4.25" customHeight="1" s="26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4.25" customHeight="1" s="267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4.25" customHeight="1" s="267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4.25" customHeight="1" s="267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4.25" customHeight="1" s="267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4.25" customHeight="1" s="267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4.25" customHeight="1" s="267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4.25" customHeight="1" s="267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4.25" customHeight="1" s="267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4.25" customHeight="1" s="267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4.25" customHeight="1" s="26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4.25" customHeight="1" s="267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4.25" customHeight="1" s="267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4.25" customHeight="1" s="267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4.25" customHeight="1" s="267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4.25" customHeight="1" s="267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4.25" customHeight="1" s="267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4.25" customHeight="1" s="267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4.25" customHeight="1" s="267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4.25" customHeight="1" s="267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4.25" customHeight="1" s="26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4.25" customHeight="1" s="267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4.25" customHeight="1" s="267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4.25" customHeight="1" s="267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</sheetData>
  <mergeCells count="19">
    <mergeCell ref="L7:M7"/>
    <mergeCell ref="G17:G18"/>
    <mergeCell ref="H21:H22"/>
    <mergeCell ref="L13:M13"/>
    <mergeCell ref="L3:M3"/>
    <mergeCell ref="L12:M12"/>
    <mergeCell ref="H17:H18"/>
    <mergeCell ref="L5:M5"/>
    <mergeCell ref="E33:H33"/>
    <mergeCell ref="L8:M8"/>
    <mergeCell ref="L4:M4"/>
    <mergeCell ref="L10:M10"/>
    <mergeCell ref="G25:G26"/>
    <mergeCell ref="K30:M30"/>
    <mergeCell ref="L9:M9"/>
    <mergeCell ref="L6:M6"/>
    <mergeCell ref="G21:G22"/>
    <mergeCell ref="L11:M11"/>
    <mergeCell ref="H25:H26"/>
  </mergeCells>
  <conditionalFormatting sqref="O32:O57">
    <cfRule type="cellIs" priority="1" operator="equal" dxfId="0" stopIfTrue="1">
      <formula>1</formula>
    </cfRule>
  </conditionalFormatting>
  <dataValidations count="3">
    <dataValidation sqref="C36" showDropDown="0" showInputMessage="0" showErrorMessage="1" allowBlank="0" type="list">
      <formula1>Compounds</formula1>
    </dataValidation>
    <dataValidation sqref="C12" showDropDown="0" showInputMessage="0" showErrorMessage="1" allowBlank="0" type="list">
      <formula1>Tyres</formula1>
    </dataValidation>
    <dataValidation sqref="C3" showDropDown="0" showInputMessage="0" showErrorMessage="1" allowBlank="0" type="list">
      <formula1>Tracks</formula1>
    </dataValidation>
  </dataValidations>
  <pageMargins left="0.75" right="0.75" top="1" bottom="1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" customHeight="1"/>
  <cols>
    <col width="21.83203125" customWidth="1" style="267" min="1" max="1"/>
    <col width="11.5" customWidth="1" style="267" min="2" max="18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4.25" customHeight="1" s="267">
      <c r="A4" s="25" t="inlineStr">
        <is>
          <t>Driver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4.25" customHeight="1" s="267">
      <c r="A5" s="4" t="inlineStr">
        <is>
          <t>OA</t>
        </is>
      </c>
      <c r="B5" s="221">
        <f>'2 Stuff Data'!B5</f>
        <v/>
      </c>
      <c r="C5" s="222">
        <f>IF('2 Stuff Data'!C5="",C6/6+C7/4+7*C8/48+C9/12+C10/8+7*C11/48+C12/12+C13/12-C15/12,'2 Stuff Data'!C5)</f>
        <v/>
      </c>
      <c r="D5" s="222">
        <f>IF('2 Stuff Data'!D5="",D6/6+D7/4+7*D8/48+D9/12+D10/8+7*D11/48+D12/12+D13/12-D15/12,'2 Stuff Data'!D5)</f>
        <v/>
      </c>
      <c r="E5" s="222">
        <f>IF('2 Stuff Data'!E5="",E6/6+E7/4+7*E8/48+E9/12+E10/8+7*E11/48+E12/12+E13/12-E15/12,'2 Stuff Data'!E5)</f>
        <v/>
      </c>
      <c r="F5" s="222">
        <f>IF('2 Stuff Data'!F5="",F6/6+F7/4+7*F8/48+F9/12+F10/8+7*F11/48+F12/12+F13/12-F15/12,'2 Stuff Data'!F5)</f>
        <v/>
      </c>
      <c r="G5" s="222">
        <f>IF('2 Stuff Data'!G5="",G6/6+G7/4+7*G8/48+G9/12+G10/8+7*G11/48+G12/12+G13/12-G15/12,'2 Stuff Data'!G5)</f>
        <v/>
      </c>
      <c r="H5" s="222">
        <f>IF('2 Stuff Data'!H5="",H6/6+H7/4+7*H8/48+H9/12+H10/8+7*H11/48+H12/12+H13/12-H15/12,'2 Stuff Data'!H5)</f>
        <v/>
      </c>
      <c r="I5" s="222">
        <f>IF('2 Stuff Data'!I5="",I6/6+I7/4+7*I8/48+I9/12+I10/8+7*I11/48+I12/12+I13/12-I15/12,'2 Stuff Data'!I5)</f>
        <v/>
      </c>
      <c r="J5" s="222">
        <f>IF('2 Stuff Data'!J5="",J6/6+J7/4+7*J8/48+J9/12+J10/8+7*J11/48+J12/12+J13/12-J15/12,'2 Stuff Data'!J5)</f>
        <v/>
      </c>
      <c r="K5" s="222">
        <f>IF('2 Stuff Data'!K5="",K6/6+K7/4+7*K8/48+K9/12+K10/8+7*K11/48+K12/12+K13/12-K15/12,'2 Stuff Data'!K5)</f>
        <v/>
      </c>
      <c r="L5" s="222">
        <f>IF('2 Stuff Data'!L5="",L6/6+L7/4+7*L8/48+L9/12+L10/8+7*L11/48+L12/12+L13/12-L15/12,'2 Stuff Data'!L5)</f>
        <v/>
      </c>
      <c r="M5" s="222">
        <f>IF('2 Stuff Data'!M5="",M6/6+M7/4+7*M8/48+M9/12+M10/8+7*M11/48+M12/12+M13/12-M15/12,'2 Stuff Data'!M5)</f>
        <v/>
      </c>
      <c r="N5" s="222">
        <f>IF('2 Stuff Data'!N5="",N6/6+N7/4+7*N8/48+N9/12+N10/8+7*N11/48+N12/12+N13/12-N15/12,'2 Stuff Data'!N5)</f>
        <v/>
      </c>
      <c r="O5" s="222">
        <f>IF('2 Stuff Data'!O5="",O6/6+O7/4+7*O8/48+O9/12+O10/8+7*O11/48+O12/12+O13/12-O15/12,'2 Stuff Data'!O5)</f>
        <v/>
      </c>
      <c r="P5" s="222">
        <f>IF('2 Stuff Data'!P5="",P6/6+P7/4+7*P8/48+P9/12+P10/8+7*P11/48+P12/12+P13/12-P15/12,'2 Stuff Data'!P5)</f>
        <v/>
      </c>
      <c r="Q5" s="222">
        <f>IF('2 Stuff Data'!Q5="",Q6/6+Q7/4+7*Q8/48+Q9/12+Q10/8+7*Q11/48+Q12/12+Q13/12-Q15/12,'2 Stuff Data'!Q5)</f>
        <v/>
      </c>
      <c r="R5" s="155">
        <f>IF('2 Stuff Data'!R5="",R6/6+R7/4+7*R8/48+R9/12+R10/8+7*R11/48+R12/12+R13/12-R15/12,'2 Stuff Data'!R5)</f>
        <v/>
      </c>
    </row>
    <row r="6" ht="14.25" customHeight="1" s="267">
      <c r="A6" s="4" t="inlineStr">
        <is>
          <t>Concentration</t>
        </is>
      </c>
      <c r="B6" s="223">
        <f>'2 Stuff Data'!B6</f>
        <v/>
      </c>
      <c r="C6" s="205">
        <f>MIN(250,IF('2 Stuff Data'!C6="",B6+IF('4 Season Planner'!C23="",0,1)+IF('4 Season Planner'!C19="",0,5),'2 Stuff Data'!C6))</f>
        <v/>
      </c>
      <c r="D6" s="205">
        <f>MIN(250,IF('2 Stuff Data'!D6="",C6+IF('4 Season Planner'!D23="",0,1)+IF('4 Season Planner'!D19="",0,5),'2 Stuff Data'!D6))</f>
        <v/>
      </c>
      <c r="E6" s="205">
        <f>MIN(250,IF('2 Stuff Data'!E6="",D6+IF('4 Season Planner'!E23="",0,1)+IF('4 Season Planner'!E19="",0,5),'2 Stuff Data'!E6))</f>
        <v/>
      </c>
      <c r="F6" s="205">
        <f>MIN(250,IF('2 Stuff Data'!F6="",E6+IF('4 Season Planner'!F23="",0,1)+IF('4 Season Planner'!F19="",0,5),'2 Stuff Data'!F6))</f>
        <v/>
      </c>
      <c r="G6" s="205">
        <f>MIN(250,IF('2 Stuff Data'!G6="",F6+IF('4 Season Planner'!G23="",0,1)+IF('4 Season Planner'!G19="",0,5),'2 Stuff Data'!G6))</f>
        <v/>
      </c>
      <c r="H6" s="205">
        <f>MIN(250,IF('2 Stuff Data'!H6="",G6+IF('4 Season Planner'!H23="",0,1)+IF('4 Season Planner'!H19="",0,5),'2 Stuff Data'!H6))</f>
        <v/>
      </c>
      <c r="I6" s="205">
        <f>MIN(250,IF('2 Stuff Data'!I6="",H6+IF('4 Season Planner'!I23="",0,1)+IF('4 Season Planner'!I19="",0,5),'2 Stuff Data'!I6))</f>
        <v/>
      </c>
      <c r="J6" s="205">
        <f>MIN(250,IF('2 Stuff Data'!J6="",I6+IF('4 Season Planner'!J23="",0,1)+IF('4 Season Planner'!J19="",0,5),'2 Stuff Data'!J6))</f>
        <v/>
      </c>
      <c r="K6" s="205">
        <f>MIN(250,IF('2 Stuff Data'!K6="",J6+IF('4 Season Planner'!K23="",0,1)+IF('4 Season Planner'!K19="",0,5),'2 Stuff Data'!K6))</f>
        <v/>
      </c>
      <c r="L6" s="205">
        <f>MIN(250,IF('2 Stuff Data'!L6="",K6+IF('4 Season Planner'!L23="",0,1)+IF('4 Season Planner'!L19="",0,5),'2 Stuff Data'!L6))</f>
        <v/>
      </c>
      <c r="M6" s="205">
        <f>MIN(250,IF('2 Stuff Data'!M6="",L6+IF('4 Season Planner'!M23="",0,1)+IF('4 Season Planner'!M19="",0,5),'2 Stuff Data'!M6))</f>
        <v/>
      </c>
      <c r="N6" s="205">
        <f>MIN(250,IF('2 Stuff Data'!N6="",M6+IF('4 Season Planner'!N23="",0,1)+IF('4 Season Planner'!N19="",0,5),'2 Stuff Data'!N6))</f>
        <v/>
      </c>
      <c r="O6" s="205">
        <f>MIN(250,IF('2 Stuff Data'!O6="",N6+IF('4 Season Planner'!O23="",0,1)+IF('4 Season Planner'!O19="",0,5),'2 Stuff Data'!O6))</f>
        <v/>
      </c>
      <c r="P6" s="205">
        <f>MIN(250,IF('2 Stuff Data'!P6="",O6+IF('4 Season Planner'!P23="",0,1)+IF('4 Season Planner'!P19="",0,5),'2 Stuff Data'!P6))</f>
        <v/>
      </c>
      <c r="Q6" s="205">
        <f>MIN(250,IF('2 Stuff Data'!Q6="",P6+IF('4 Season Planner'!Q23="",0,1)+IF('4 Season Planner'!Q19="",0,5),'2 Stuff Data'!Q6))</f>
        <v/>
      </c>
      <c r="R6" s="159">
        <f>MIN(250,IF('2 Stuff Data'!R6="",Q6+IF('4 Season Planner'!R23="",0,1)+IF('4 Season Planner'!R19="",0,5),'2 Stuff Data'!R6))</f>
        <v/>
      </c>
    </row>
    <row r="7" ht="14.25" customHeight="1" s="267">
      <c r="A7" s="4" t="inlineStr">
        <is>
          <t>Talent</t>
        </is>
      </c>
      <c r="B7" s="223">
        <f>'2 Stuff Data'!B7</f>
        <v/>
      </c>
      <c r="C7" s="205">
        <f>MIN(250,IF('2 Stuff Data'!C7="",B7,'2 Stuff Data'!C7))</f>
        <v/>
      </c>
      <c r="D7" s="205">
        <f>MIN(250,IF('2 Stuff Data'!D7="",C7,'2 Stuff Data'!D7))</f>
        <v/>
      </c>
      <c r="E7" s="205">
        <f>MIN(250,IF('2 Stuff Data'!E7="",D7,'2 Stuff Data'!E7))</f>
        <v/>
      </c>
      <c r="F7" s="205">
        <f>MIN(250,IF('2 Stuff Data'!F7="",E7,'2 Stuff Data'!F7))</f>
        <v/>
      </c>
      <c r="G7" s="205">
        <f>MIN(250,IF('2 Stuff Data'!G7="",F7,'2 Stuff Data'!G7))</f>
        <v/>
      </c>
      <c r="H7" s="205">
        <f>MIN(250,IF('2 Stuff Data'!H7="",G7,'2 Stuff Data'!H7))</f>
        <v/>
      </c>
      <c r="I7" s="205">
        <f>MIN(250,IF('2 Stuff Data'!I7="",H7,'2 Stuff Data'!I7))</f>
        <v/>
      </c>
      <c r="J7" s="205">
        <f>MIN(250,IF('2 Stuff Data'!J7="",I7,'2 Stuff Data'!J7))</f>
        <v/>
      </c>
      <c r="K7" s="205">
        <f>MIN(250,IF('2 Stuff Data'!K7="",J7,'2 Stuff Data'!K7))</f>
        <v/>
      </c>
      <c r="L7" s="205">
        <f>MIN(250,IF('2 Stuff Data'!L7="",K7,'2 Stuff Data'!L7))</f>
        <v/>
      </c>
      <c r="M7" s="205">
        <f>MIN(250,IF('2 Stuff Data'!M7="",L7,'2 Stuff Data'!M7))</f>
        <v/>
      </c>
      <c r="N7" s="205">
        <f>MIN(250,IF('2 Stuff Data'!N7="",M7,'2 Stuff Data'!N7))</f>
        <v/>
      </c>
      <c r="O7" s="205">
        <f>MIN(250,IF('2 Stuff Data'!O7="",N7,'2 Stuff Data'!O7))</f>
        <v/>
      </c>
      <c r="P7" s="205">
        <f>MIN(250,IF('2 Stuff Data'!P7="",O7,'2 Stuff Data'!P7))</f>
        <v/>
      </c>
      <c r="Q7" s="205">
        <f>MIN(250,IF('2 Stuff Data'!Q7="",P7,'2 Stuff Data'!Q7))</f>
        <v/>
      </c>
      <c r="R7" s="159">
        <f>MIN(250,IF('2 Stuff Data'!R7="",Q7,'2 Stuff Data'!R7))</f>
        <v/>
      </c>
    </row>
    <row r="8" ht="14.25" customHeight="1" s="267">
      <c r="A8" s="4" t="inlineStr">
        <is>
          <t>Aggressiveness</t>
        </is>
      </c>
      <c r="B8" s="223">
        <f>'2 Stuff Data'!B8</f>
        <v/>
      </c>
      <c r="C8" s="205">
        <f>MAX(0,MIN(250,IF('2 Stuff Data'!C8="",B8+IF('4 Season Planner'!C23="",0,4)+IF('4 Season Planner'!C19="",0,-2),'2 Stuff Data'!C8)))</f>
        <v/>
      </c>
      <c r="D8" s="205">
        <f>MAX(0,MIN(250,IF('2 Stuff Data'!D8="",C8+IF('4 Season Planner'!D23="",0,4)+IF('4 Season Planner'!D19="",0,-2),'2 Stuff Data'!D8)))</f>
        <v/>
      </c>
      <c r="E8" s="205">
        <f>MAX(0,MIN(250,IF('2 Stuff Data'!E8="",D8+IF('4 Season Planner'!E23="",0,4)+IF('4 Season Planner'!E19="",0,-2),'2 Stuff Data'!E8)))</f>
        <v/>
      </c>
      <c r="F8" s="205">
        <f>MAX(0,MIN(250,IF('2 Stuff Data'!F8="",E8+IF('4 Season Planner'!F23="",0,4)+IF('4 Season Planner'!F19="",0,-2),'2 Stuff Data'!F8)))</f>
        <v/>
      </c>
      <c r="G8" s="205">
        <f>MAX(0,MIN(250,IF('2 Stuff Data'!G8="",F8+IF('4 Season Planner'!G23="",0,4)+IF('4 Season Planner'!G19="",0,-2),'2 Stuff Data'!G8)))</f>
        <v/>
      </c>
      <c r="H8" s="205">
        <f>MAX(0,MIN(250,IF('2 Stuff Data'!H8="",G8+IF('4 Season Planner'!H23="",0,4)+IF('4 Season Planner'!H19="",0,-2),'2 Stuff Data'!H8)))</f>
        <v/>
      </c>
      <c r="I8" s="205">
        <f>MAX(0,MIN(250,IF('2 Stuff Data'!I8="",H8+IF('4 Season Planner'!I23="",0,4)+IF('4 Season Planner'!I19="",0,-2),'2 Stuff Data'!I8)))</f>
        <v/>
      </c>
      <c r="J8" s="205">
        <f>MAX(0,MIN(250,IF('2 Stuff Data'!J8="",I8+IF('4 Season Planner'!J23="",0,4)+IF('4 Season Planner'!J19="",0,-2),'2 Stuff Data'!J8)))</f>
        <v/>
      </c>
      <c r="K8" s="205">
        <f>MAX(0,MIN(250,IF('2 Stuff Data'!K8="",J8+IF('4 Season Planner'!K23="",0,4)+IF('4 Season Planner'!K19="",0,-2),'2 Stuff Data'!K8)))</f>
        <v/>
      </c>
      <c r="L8" s="205">
        <f>MAX(0,MIN(250,IF('2 Stuff Data'!L8="",K8+IF('4 Season Planner'!L23="",0,4)+IF('4 Season Planner'!L19="",0,-2),'2 Stuff Data'!L8)))</f>
        <v/>
      </c>
      <c r="M8" s="205">
        <f>MAX(0,MIN(250,IF('2 Stuff Data'!M8="",L8+IF('4 Season Planner'!M23="",0,4)+IF('4 Season Planner'!M19="",0,-2),'2 Stuff Data'!M8)))</f>
        <v/>
      </c>
      <c r="N8" s="205">
        <f>MAX(0,MIN(250,IF('2 Stuff Data'!N8="",M8+IF('4 Season Planner'!N23="",0,4)+IF('4 Season Planner'!N19="",0,-2),'2 Stuff Data'!N8)))</f>
        <v/>
      </c>
      <c r="O8" s="205">
        <f>MAX(0,MIN(250,IF('2 Stuff Data'!O8="",N8+IF('4 Season Planner'!O23="",0,4)+IF('4 Season Planner'!O19="",0,-2),'2 Stuff Data'!O8)))</f>
        <v/>
      </c>
      <c r="P8" s="205">
        <f>MAX(0,MIN(250,IF('2 Stuff Data'!P8="",O8+IF('4 Season Planner'!P23="",0,4)+IF('4 Season Planner'!P19="",0,-2),'2 Stuff Data'!P8)))</f>
        <v/>
      </c>
      <c r="Q8" s="205">
        <f>MAX(0,MIN(250,IF('2 Stuff Data'!Q8="",P8+IF('4 Season Planner'!Q23="",0,4)+IF('4 Season Planner'!Q19="",0,-2),'2 Stuff Data'!Q8)))</f>
        <v/>
      </c>
      <c r="R8" s="159">
        <f>MAX(0,MIN(250,IF('2 Stuff Data'!R8="",Q8+IF('4 Season Planner'!R23="",0,4)+IF('4 Season Planner'!R19="",0,-2),'2 Stuff Data'!R8)))</f>
        <v/>
      </c>
    </row>
    <row r="9" ht="14.25" customHeight="1" s="267">
      <c r="A9" s="4" t="inlineStr">
        <is>
          <t>Experience</t>
        </is>
      </c>
      <c r="B9" s="223">
        <f>'2 Stuff Data'!B9</f>
        <v/>
      </c>
      <c r="C9" s="205">
        <f>IF('2 Stuff Data'!C9="",B9+0.5,'2 Stuff Data'!C9)</f>
        <v/>
      </c>
      <c r="D9" s="205">
        <f>IF('2 Stuff Data'!D9="",C9+0.5,'2 Stuff Data'!D9)</f>
        <v/>
      </c>
      <c r="E9" s="205">
        <f>IF('2 Stuff Data'!E9="",D9+0.5,'2 Stuff Data'!E9)</f>
        <v/>
      </c>
      <c r="F9" s="205">
        <f>IF('2 Stuff Data'!F9="",E9+0.5,'2 Stuff Data'!F9)</f>
        <v/>
      </c>
      <c r="G9" s="205">
        <f>IF('2 Stuff Data'!G9="",F9+0.5,'2 Stuff Data'!G9)</f>
        <v/>
      </c>
      <c r="H9" s="205">
        <f>IF('2 Stuff Data'!H9="",G9+0.5,'2 Stuff Data'!H9)</f>
        <v/>
      </c>
      <c r="I9" s="205">
        <f>IF('2 Stuff Data'!I9="",H9+0.5,'2 Stuff Data'!I9)</f>
        <v/>
      </c>
      <c r="J9" s="205">
        <f>IF('2 Stuff Data'!J9="",I9+0.5,'2 Stuff Data'!J9)</f>
        <v/>
      </c>
      <c r="K9" s="205">
        <f>IF('2 Stuff Data'!K9="",J9+0.5,'2 Stuff Data'!K9)</f>
        <v/>
      </c>
      <c r="L9" s="205">
        <f>IF('2 Stuff Data'!L9="",K9+0.5,'2 Stuff Data'!L9)</f>
        <v/>
      </c>
      <c r="M9" s="205">
        <f>IF('2 Stuff Data'!M9="",L9+0.5,'2 Stuff Data'!M9)</f>
        <v/>
      </c>
      <c r="N9" s="205">
        <f>IF('2 Stuff Data'!N9="",M9+0.5,'2 Stuff Data'!N9)</f>
        <v/>
      </c>
      <c r="O9" s="205">
        <f>IF('2 Stuff Data'!O9="",N9+0.5,'2 Stuff Data'!O9)</f>
        <v/>
      </c>
      <c r="P9" s="205">
        <f>IF('2 Stuff Data'!P9="",O9+0.5,'2 Stuff Data'!P9)</f>
        <v/>
      </c>
      <c r="Q9" s="205">
        <f>IF('2 Stuff Data'!Q9="",P9+0.5,'2 Stuff Data'!Q9)</f>
        <v/>
      </c>
      <c r="R9" s="159">
        <f>IF('2 Stuff Data'!R9="",Q9+0.5,'2 Stuff Data'!R9)</f>
        <v/>
      </c>
    </row>
    <row r="10" ht="14.25" customHeight="1" s="267">
      <c r="A10" s="4" t="inlineStr">
        <is>
          <t>Technical</t>
        </is>
      </c>
      <c r="B10" s="223">
        <f>'2 Stuff Data'!B10</f>
        <v/>
      </c>
      <c r="C10" s="205">
        <f>MIN(250,IF('2 Stuff Data'!C10="",B10+0.5,'2 Stuff Data'!C10))</f>
        <v/>
      </c>
      <c r="D10" s="205">
        <f>MIN(250,IF('2 Stuff Data'!D10="",C10+0.5,'2 Stuff Data'!D10))</f>
        <v/>
      </c>
      <c r="E10" s="205">
        <f>MIN(250,IF('2 Stuff Data'!E10="",D10+0.5,'2 Stuff Data'!E10))</f>
        <v/>
      </c>
      <c r="F10" s="205">
        <f>MIN(250,IF('2 Stuff Data'!F10="",E10+0.5,'2 Stuff Data'!F10))</f>
        <v/>
      </c>
      <c r="G10" s="205">
        <f>MIN(250,IF('2 Stuff Data'!G10="",F10+0.5,'2 Stuff Data'!G10))</f>
        <v/>
      </c>
      <c r="H10" s="205">
        <f>MIN(250,IF('2 Stuff Data'!H10="",G10+0.5,'2 Stuff Data'!H10))</f>
        <v/>
      </c>
      <c r="I10" s="205">
        <f>MIN(250,IF('2 Stuff Data'!I10="",H10+0.5,'2 Stuff Data'!I10))</f>
        <v/>
      </c>
      <c r="J10" s="205">
        <f>MIN(250,IF('2 Stuff Data'!J10="",I10+0.5,'2 Stuff Data'!J10))</f>
        <v/>
      </c>
      <c r="K10" s="205">
        <f>MIN(250,IF('2 Stuff Data'!K10="",J10+0.5,'2 Stuff Data'!K10))</f>
        <v/>
      </c>
      <c r="L10" s="205">
        <f>MIN(250,IF('2 Stuff Data'!L10="",K10+0.5,'2 Stuff Data'!L10))</f>
        <v/>
      </c>
      <c r="M10" s="205">
        <f>MIN(250,IF('2 Stuff Data'!M10="",L10+0.5,'2 Stuff Data'!M10))</f>
        <v/>
      </c>
      <c r="N10" s="205">
        <f>MIN(250,IF('2 Stuff Data'!N10="",M10+0.5,'2 Stuff Data'!N10))</f>
        <v/>
      </c>
      <c r="O10" s="205">
        <f>MIN(250,IF('2 Stuff Data'!O10="",N10+0.5,'2 Stuff Data'!O10))</f>
        <v/>
      </c>
      <c r="P10" s="205">
        <f>MIN(250,IF('2 Stuff Data'!P10="",O10+0.5,'2 Stuff Data'!P10))</f>
        <v/>
      </c>
      <c r="Q10" s="205">
        <f>MIN(250,IF('2 Stuff Data'!Q10="",P10+0.5,'2 Stuff Data'!Q10))</f>
        <v/>
      </c>
      <c r="R10" s="159">
        <f>MIN(250,IF('2 Stuff Data'!R10="",Q10+0.5,'2 Stuff Data'!R10))</f>
        <v/>
      </c>
    </row>
    <row r="11" ht="14.25" customHeight="1" s="267">
      <c r="A11" s="4" t="inlineStr">
        <is>
          <t>Stamina</t>
        </is>
      </c>
      <c r="B11" s="223">
        <f>'2 Stuff Data'!B11</f>
        <v/>
      </c>
      <c r="C11" s="205">
        <f>MAX(0,MIN(250,IF('2 Stuff Data'!C11="",B11+IF('4 Season Planner'!C18="",0,2)+IF('4 Season Planner'!C19="",0,-2),'2 Stuff Data'!C11)))</f>
        <v/>
      </c>
      <c r="D11" s="205">
        <f>MAX(0,MIN(250,IF('2 Stuff Data'!D11="",C11+IF('4 Season Planner'!D18="",0,2)+IF('4 Season Planner'!D19="",0,-2),'2 Stuff Data'!D11)))</f>
        <v/>
      </c>
      <c r="E11" s="205">
        <f>MAX(0,MIN(250,IF('2 Stuff Data'!E11="",D11+IF('4 Season Planner'!E18="",0,2)+IF('4 Season Planner'!E19="",0,-2),'2 Stuff Data'!E11)))</f>
        <v/>
      </c>
      <c r="F11" s="205">
        <f>MAX(0,MIN(250,IF('2 Stuff Data'!F11="",E11+IF('4 Season Planner'!F18="",0,2)+IF('4 Season Planner'!F19="",0,-2),'2 Stuff Data'!F11)))</f>
        <v/>
      </c>
      <c r="G11" s="205">
        <f>MAX(0,MIN(250,IF('2 Stuff Data'!G11="",F11+IF('4 Season Planner'!G18="",0,2)+IF('4 Season Planner'!G19="",0,-2),'2 Stuff Data'!G11)))</f>
        <v/>
      </c>
      <c r="H11" s="205">
        <f>MAX(0,MIN(250,IF('2 Stuff Data'!H11="",G11+IF('4 Season Planner'!H18="",0,2)+IF('4 Season Planner'!H19="",0,-2),'2 Stuff Data'!H11)))</f>
        <v/>
      </c>
      <c r="I11" s="205">
        <f>MAX(0,MIN(250,IF('2 Stuff Data'!I11="",H11+IF('4 Season Planner'!I18="",0,2)+IF('4 Season Planner'!I19="",0,-2),'2 Stuff Data'!I11)))</f>
        <v/>
      </c>
      <c r="J11" s="205">
        <f>MAX(0,MIN(250,IF('2 Stuff Data'!J11="",I11+IF('4 Season Planner'!J18="",0,2)+IF('4 Season Planner'!J19="",0,-2),'2 Stuff Data'!J11)))</f>
        <v/>
      </c>
      <c r="K11" s="205">
        <f>MAX(0,MIN(250,IF('2 Stuff Data'!K11="",J11+IF('4 Season Planner'!K18="",0,2)+IF('4 Season Planner'!K19="",0,-2),'2 Stuff Data'!K11)))</f>
        <v/>
      </c>
      <c r="L11" s="205">
        <f>MAX(0,MIN(250,IF('2 Stuff Data'!L11="",K11+IF('4 Season Planner'!L18="",0,2)+IF('4 Season Planner'!L19="",0,-2),'2 Stuff Data'!L11)))</f>
        <v/>
      </c>
      <c r="M11" s="205">
        <f>MAX(0,MIN(250,IF('2 Stuff Data'!M11="",L11+IF('4 Season Planner'!M18="",0,2)+IF('4 Season Planner'!M19="",0,-2),'2 Stuff Data'!M11)))</f>
        <v/>
      </c>
      <c r="N11" s="205">
        <f>MAX(0,MIN(250,IF('2 Stuff Data'!N11="",M11+IF('4 Season Planner'!N18="",0,2)+IF('4 Season Planner'!N19="",0,-2),'2 Stuff Data'!N11)))</f>
        <v/>
      </c>
      <c r="O11" s="205">
        <f>MAX(0,MIN(250,IF('2 Stuff Data'!O11="",N11+IF('4 Season Planner'!O18="",0,2)+IF('4 Season Planner'!O19="",0,-2),'2 Stuff Data'!O11)))</f>
        <v/>
      </c>
      <c r="P11" s="205">
        <f>MAX(0,MIN(250,IF('2 Stuff Data'!P11="",O11+IF('4 Season Planner'!P18="",0,2)+IF('4 Season Planner'!P19="",0,-2),'2 Stuff Data'!P11)))</f>
        <v/>
      </c>
      <c r="Q11" s="205">
        <f>MAX(0,MIN(250,IF('2 Stuff Data'!Q11="",P11+IF('4 Season Planner'!Q18="",0,2)+IF('4 Season Planner'!Q19="",0,-2),'2 Stuff Data'!Q11)))</f>
        <v/>
      </c>
      <c r="R11" s="159">
        <f>MAX(0,MIN(250,IF('2 Stuff Data'!R11="",Q11+IF('4 Season Planner'!R18="",0,2)+IF('4 Season Planner'!R19="",0,-2),'2 Stuff Data'!R11)))</f>
        <v/>
      </c>
    </row>
    <row r="12" ht="14.25" customHeight="1" s="267">
      <c r="A12" s="4" t="inlineStr">
        <is>
          <t>Charisma</t>
        </is>
      </c>
      <c r="B12" s="223">
        <f>'2 Stuff Data'!B12</f>
        <v/>
      </c>
      <c r="C12" s="205">
        <f>MIN(250,IF('2 Stuff Data'!C12="",B12+0.25,'2 Stuff Data'!C12))</f>
        <v/>
      </c>
      <c r="D12" s="205">
        <f>MIN(250,IF('2 Stuff Data'!D12="",C12+0.25,'2 Stuff Data'!D12))</f>
        <v/>
      </c>
      <c r="E12" s="205">
        <f>MIN(250,IF('2 Stuff Data'!E12="",D12+0.25,'2 Stuff Data'!E12))</f>
        <v/>
      </c>
      <c r="F12" s="205">
        <f>MIN(250,IF('2 Stuff Data'!F12="",E12+0.25,'2 Stuff Data'!F12))</f>
        <v/>
      </c>
      <c r="G12" s="205">
        <f>MIN(250,IF('2 Stuff Data'!G12="",F12+0.25,'2 Stuff Data'!G12))</f>
        <v/>
      </c>
      <c r="H12" s="205">
        <f>MIN(250,IF('2 Stuff Data'!H12="",G12+0.25,'2 Stuff Data'!H12))</f>
        <v/>
      </c>
      <c r="I12" s="205">
        <f>MIN(250,IF('2 Stuff Data'!I12="",H12+0.25,'2 Stuff Data'!I12))</f>
        <v/>
      </c>
      <c r="J12" s="205">
        <f>MIN(250,IF('2 Stuff Data'!J12="",I12+0.25,'2 Stuff Data'!J12))</f>
        <v/>
      </c>
      <c r="K12" s="205">
        <f>MIN(250,IF('2 Stuff Data'!K12="",J12+0.25,'2 Stuff Data'!K12))</f>
        <v/>
      </c>
      <c r="L12" s="205">
        <f>MIN(250,IF('2 Stuff Data'!L12="",K12+0.25,'2 Stuff Data'!L12))</f>
        <v/>
      </c>
      <c r="M12" s="205">
        <f>MIN(250,IF('2 Stuff Data'!M12="",L12+0.25,'2 Stuff Data'!M12))</f>
        <v/>
      </c>
      <c r="N12" s="205">
        <f>MIN(250,IF('2 Stuff Data'!N12="",M12+0.25,'2 Stuff Data'!N12))</f>
        <v/>
      </c>
      <c r="O12" s="205">
        <f>MIN(250,IF('2 Stuff Data'!O12="",N12+0.25,'2 Stuff Data'!O12))</f>
        <v/>
      </c>
      <c r="P12" s="205">
        <f>MIN(250,IF('2 Stuff Data'!P12="",O12+0.25,'2 Stuff Data'!P12))</f>
        <v/>
      </c>
      <c r="Q12" s="205">
        <f>MIN(250,IF('2 Stuff Data'!Q12="",P12+0.25,'2 Stuff Data'!Q12))</f>
        <v/>
      </c>
      <c r="R12" s="159">
        <f>MIN(250,IF('2 Stuff Data'!R12="",Q12+0.25,'2 Stuff Data'!R12))</f>
        <v/>
      </c>
    </row>
    <row r="13" ht="14.25" customHeight="1" s="267">
      <c r="A13" s="4" t="inlineStr">
        <is>
          <t>Motivation</t>
        </is>
      </c>
      <c r="B13" s="223">
        <f>'2 Stuff Data'!B13</f>
        <v/>
      </c>
      <c r="C13" s="205">
        <f>MIN(250,IF('2 Stuff Data'!C13="",B13,'2 Stuff Data'!C13))</f>
        <v/>
      </c>
      <c r="D13" s="205">
        <f>MIN(250,IF('2 Stuff Data'!D13="",C13,'2 Stuff Data'!D13))</f>
        <v/>
      </c>
      <c r="E13" s="205">
        <f>MIN(250,IF('2 Stuff Data'!E13="",D13,'2 Stuff Data'!E13))</f>
        <v/>
      </c>
      <c r="F13" s="205">
        <f>MIN(250,IF('2 Stuff Data'!F13="",E13,'2 Stuff Data'!F13))</f>
        <v/>
      </c>
      <c r="G13" s="205">
        <f>MIN(250,IF('2 Stuff Data'!G13="",F13,'2 Stuff Data'!G13))</f>
        <v/>
      </c>
      <c r="H13" s="205">
        <f>MIN(250,IF('2 Stuff Data'!H13="",G13,'2 Stuff Data'!H13))</f>
        <v/>
      </c>
      <c r="I13" s="205">
        <f>MIN(250,IF('2 Stuff Data'!I13="",H13,'2 Stuff Data'!I13))</f>
        <v/>
      </c>
      <c r="J13" s="205">
        <f>MIN(250,IF('2 Stuff Data'!J13="",I13,'2 Stuff Data'!J13))</f>
        <v/>
      </c>
      <c r="K13" s="205">
        <f>MIN(250,IF('2 Stuff Data'!K13="",J13,'2 Stuff Data'!K13))</f>
        <v/>
      </c>
      <c r="L13" s="205">
        <f>MIN(250,IF('2 Stuff Data'!L13="",K13,'2 Stuff Data'!L13))</f>
        <v/>
      </c>
      <c r="M13" s="205">
        <f>MIN(250,IF('2 Stuff Data'!M13="",L13,'2 Stuff Data'!M13))</f>
        <v/>
      </c>
      <c r="N13" s="205">
        <f>MIN(250,IF('2 Stuff Data'!N13="",M13,'2 Stuff Data'!N13))</f>
        <v/>
      </c>
      <c r="O13" s="205">
        <f>MIN(250,IF('2 Stuff Data'!O13="",N13,'2 Stuff Data'!O13))</f>
        <v/>
      </c>
      <c r="P13" s="205">
        <f>MIN(250,IF('2 Stuff Data'!P13="",O13,'2 Stuff Data'!P13))</f>
        <v/>
      </c>
      <c r="Q13" s="205">
        <f>MIN(250,IF('2 Stuff Data'!Q13="",P13,'2 Stuff Data'!Q13))</f>
        <v/>
      </c>
      <c r="R13" s="159">
        <f>MIN(250,IF('2 Stuff Data'!R13="",Q13,'2 Stuff Data'!R13))</f>
        <v/>
      </c>
    </row>
    <row r="14" ht="14.25" customHeight="1" s="267">
      <c r="A14" s="4" t="inlineStr">
        <is>
          <t>Reputation</t>
        </is>
      </c>
      <c r="B14" s="223">
        <f>'2 Stuff Data'!B14</f>
        <v/>
      </c>
      <c r="C14" s="205">
        <f>MIN(250,IF('2 Stuff Data'!C14="",B14,'2 Stuff Data'!C14))</f>
        <v/>
      </c>
      <c r="D14" s="205">
        <f>MIN(250,IF('2 Stuff Data'!D14="",C14,'2 Stuff Data'!D14))</f>
        <v/>
      </c>
      <c r="E14" s="205">
        <f>MIN(250,IF('2 Stuff Data'!E14="",D14,'2 Stuff Data'!E14))</f>
        <v/>
      </c>
      <c r="F14" s="205">
        <f>MIN(250,IF('2 Stuff Data'!F14="",E14,'2 Stuff Data'!F14))</f>
        <v/>
      </c>
      <c r="G14" s="205">
        <f>MIN(250,IF('2 Stuff Data'!G14="",F14,'2 Stuff Data'!G14))</f>
        <v/>
      </c>
      <c r="H14" s="205">
        <f>MIN(250,IF('2 Stuff Data'!H14="",G14,'2 Stuff Data'!H14))</f>
        <v/>
      </c>
      <c r="I14" s="205">
        <f>MIN(250,IF('2 Stuff Data'!I14="",H14,'2 Stuff Data'!I14))</f>
        <v/>
      </c>
      <c r="J14" s="205">
        <f>MIN(250,IF('2 Stuff Data'!J14="",I14,'2 Stuff Data'!J14))</f>
        <v/>
      </c>
      <c r="K14" s="205">
        <f>MIN(250,IF('2 Stuff Data'!K14="",J14,'2 Stuff Data'!K14))</f>
        <v/>
      </c>
      <c r="L14" s="205">
        <f>MIN(250,IF('2 Stuff Data'!L14="",K14,'2 Stuff Data'!L14))</f>
        <v/>
      </c>
      <c r="M14" s="205">
        <f>MIN(250,IF('2 Stuff Data'!M14="",L14,'2 Stuff Data'!M14))</f>
        <v/>
      </c>
      <c r="N14" s="205">
        <f>MIN(250,IF('2 Stuff Data'!N14="",M14,'2 Stuff Data'!N14))</f>
        <v/>
      </c>
      <c r="O14" s="205">
        <f>MIN(250,IF('2 Stuff Data'!O14="",N14,'2 Stuff Data'!O14))</f>
        <v/>
      </c>
      <c r="P14" s="205">
        <f>MIN(250,IF('2 Stuff Data'!P14="",O14,'2 Stuff Data'!P14))</f>
        <v/>
      </c>
      <c r="Q14" s="205">
        <f>MIN(250,IF('2 Stuff Data'!Q14="",P14,'2 Stuff Data'!Q14))</f>
        <v/>
      </c>
      <c r="R14" s="159">
        <f>MIN(250,IF('2 Stuff Data'!R14="",Q14,'2 Stuff Data'!R14))</f>
        <v/>
      </c>
    </row>
    <row r="15" ht="14.25" customHeight="1" s="267">
      <c r="A15" s="4" t="inlineStr">
        <is>
          <t>Weight</t>
        </is>
      </c>
      <c r="B15" s="223">
        <f>'2 Stuff Data'!B15</f>
        <v/>
      </c>
      <c r="C15" s="205">
        <f>IF('2 Stuff Data'!C15="",B15+IF('4 Season Planner'!C18="",0,-1),'2 Stuff Data'!C15)</f>
        <v/>
      </c>
      <c r="D15" s="205">
        <f>IF('2 Stuff Data'!D15="",C15+IF('4 Season Planner'!D18="",0,-1),'2 Stuff Data'!D15)</f>
        <v/>
      </c>
      <c r="E15" s="205">
        <f>IF('2 Stuff Data'!E15="",D15+IF('4 Season Planner'!E18="",0,-1),'2 Stuff Data'!E15)</f>
        <v/>
      </c>
      <c r="F15" s="205">
        <f>IF('2 Stuff Data'!F15="",E15+IF('4 Season Planner'!F18="",0,-1),'2 Stuff Data'!F15)</f>
        <v/>
      </c>
      <c r="G15" s="205">
        <f>IF('2 Stuff Data'!G15="",F15+IF('4 Season Planner'!G18="",0,-1),'2 Stuff Data'!G15)</f>
        <v/>
      </c>
      <c r="H15" s="205">
        <f>IF('2 Stuff Data'!H15="",G15+IF('4 Season Planner'!H18="",0,-1),'2 Stuff Data'!H15)</f>
        <v/>
      </c>
      <c r="I15" s="205">
        <f>IF('2 Stuff Data'!I15="",H15+IF('4 Season Planner'!I18="",0,-1),'2 Stuff Data'!I15)</f>
        <v/>
      </c>
      <c r="J15" s="205">
        <f>IF('2 Stuff Data'!J15="",I15+IF('4 Season Planner'!J18="",0,-1),'2 Stuff Data'!J15)</f>
        <v/>
      </c>
      <c r="K15" s="205">
        <f>IF('2 Stuff Data'!K15="",J15+IF('4 Season Planner'!K18="",0,-1),'2 Stuff Data'!K15)</f>
        <v/>
      </c>
      <c r="L15" s="205">
        <f>IF('2 Stuff Data'!L15="",K15+IF('4 Season Planner'!L18="",0,-1),'2 Stuff Data'!L15)</f>
        <v/>
      </c>
      <c r="M15" s="205">
        <f>IF('2 Stuff Data'!M15="",L15+IF('4 Season Planner'!M18="",0,-1),'2 Stuff Data'!M15)</f>
        <v/>
      </c>
      <c r="N15" s="205">
        <f>IF('2 Stuff Data'!N15="",M15+IF('4 Season Planner'!N18="",0,-1),'2 Stuff Data'!N15)</f>
        <v/>
      </c>
      <c r="O15" s="205">
        <f>IF('2 Stuff Data'!O15="",N15+IF('4 Season Planner'!O18="",0,-1),'2 Stuff Data'!O15)</f>
        <v/>
      </c>
      <c r="P15" s="205">
        <f>IF('2 Stuff Data'!P15="",O15+IF('4 Season Planner'!P18="",0,-1),'2 Stuff Data'!P15)</f>
        <v/>
      </c>
      <c r="Q15" s="205">
        <f>IF('2 Stuff Data'!Q15="",P15+IF('4 Season Planner'!Q18="",0,-1),'2 Stuff Data'!Q15)</f>
        <v/>
      </c>
      <c r="R15" s="159">
        <f>IF('2 Stuff Data'!R15="",Q15+IF('4 Season Planner'!R18="",0,-1),'2 Stuff Data'!R15)</f>
        <v/>
      </c>
    </row>
    <row r="16" ht="14.25" customHeight="1" s="267">
      <c r="A16" s="4" t="inlineStr">
        <is>
          <t>Age</t>
        </is>
      </c>
      <c r="B16" s="224">
        <f>'2 Stuff Data'!B16</f>
        <v/>
      </c>
      <c r="C16" s="225">
        <f>IF('2 Stuff Data'!C16="",B16,'2 Stuff Data'!C16)</f>
        <v/>
      </c>
      <c r="D16" s="225">
        <f>IF('2 Stuff Data'!D16="",C16,'2 Stuff Data'!D16)</f>
        <v/>
      </c>
      <c r="E16" s="225">
        <f>IF('2 Stuff Data'!E16="",D16,'2 Stuff Data'!E16)</f>
        <v/>
      </c>
      <c r="F16" s="225">
        <f>IF('2 Stuff Data'!F16="",E16,'2 Stuff Data'!F16)</f>
        <v/>
      </c>
      <c r="G16" s="225">
        <f>IF('2 Stuff Data'!G16="",F16,'2 Stuff Data'!G16)</f>
        <v/>
      </c>
      <c r="H16" s="225">
        <f>IF('2 Stuff Data'!H16="",G16,'2 Stuff Data'!H16)</f>
        <v/>
      </c>
      <c r="I16" s="225">
        <f>IF('2 Stuff Data'!I16="",H16,'2 Stuff Data'!I16)</f>
        <v/>
      </c>
      <c r="J16" s="225">
        <f>IF('2 Stuff Data'!J16="",I16,'2 Stuff Data'!J16)</f>
        <v/>
      </c>
      <c r="K16" s="225">
        <f>IF('2 Stuff Data'!K16="",J16,'2 Stuff Data'!K16)</f>
        <v/>
      </c>
      <c r="L16" s="225">
        <f>IF('2 Stuff Data'!L16="",K16,'2 Stuff Data'!L16)</f>
        <v/>
      </c>
      <c r="M16" s="225">
        <f>IF('2 Stuff Data'!M16="",L16,'2 Stuff Data'!M16)</f>
        <v/>
      </c>
      <c r="N16" s="225">
        <f>IF('2 Stuff Data'!N16="",M16,'2 Stuff Data'!N16)</f>
        <v/>
      </c>
      <c r="O16" s="225">
        <f>IF('2 Stuff Data'!O16="",N16,'2 Stuff Data'!O16)</f>
        <v/>
      </c>
      <c r="P16" s="225">
        <f>IF('2 Stuff Data'!P16="",O16,'2 Stuff Data'!P16)</f>
        <v/>
      </c>
      <c r="Q16" s="225">
        <f>IF('2 Stuff Data'!Q16="",P16,'2 Stuff Data'!Q16)</f>
        <v/>
      </c>
      <c r="R16" s="164">
        <f>IF('2 Stuff Data'!R16="",Q16,'2 Stuff Data'!R16)</f>
        <v/>
      </c>
    </row>
    <row r="17" ht="14.25" customHeight="1" s="267">
      <c r="A17" s="4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 ht="14.25" customHeight="1" s="267">
      <c r="A18" s="4" t="inlineStr">
        <is>
          <t>Salary</t>
        </is>
      </c>
      <c r="B18" s="126">
        <f>'2 Stuff Data'!B18</f>
        <v/>
      </c>
      <c r="C18" s="127">
        <f>IF('2 Stuff Data'!C18="",B18,'2 Stuff Data'!C18)</f>
        <v/>
      </c>
      <c r="D18" s="127">
        <f>IF('2 Stuff Data'!D18="",C18,'2 Stuff Data'!D18)</f>
        <v/>
      </c>
      <c r="E18" s="127">
        <f>IF('2 Stuff Data'!E18="",D18,'2 Stuff Data'!E18)</f>
        <v/>
      </c>
      <c r="F18" s="127">
        <f>IF('2 Stuff Data'!F18="",E18,'2 Stuff Data'!F18)</f>
        <v/>
      </c>
      <c r="G18" s="127">
        <f>IF('2 Stuff Data'!G18="",F18,'2 Stuff Data'!G18)</f>
        <v/>
      </c>
      <c r="H18" s="127">
        <f>IF('2 Stuff Data'!H18="",G18,'2 Stuff Data'!H18)</f>
        <v/>
      </c>
      <c r="I18" s="127">
        <f>IF('2 Stuff Data'!I18="",H18,'2 Stuff Data'!I18)</f>
        <v/>
      </c>
      <c r="J18" s="127">
        <f>IF('2 Stuff Data'!J18="",I18,'2 Stuff Data'!J18)</f>
        <v/>
      </c>
      <c r="K18" s="127">
        <f>IF('2 Stuff Data'!K18="",J18,'2 Stuff Data'!K18)</f>
        <v/>
      </c>
      <c r="L18" s="127">
        <f>IF('2 Stuff Data'!L18="",K18,'2 Stuff Data'!L18)</f>
        <v/>
      </c>
      <c r="M18" s="127">
        <f>IF('2 Stuff Data'!M18="",L18,'2 Stuff Data'!M18)</f>
        <v/>
      </c>
      <c r="N18" s="127">
        <f>IF('2 Stuff Data'!N18="",M18,'2 Stuff Data'!N18)</f>
        <v/>
      </c>
      <c r="O18" s="127">
        <f>IF('2 Stuff Data'!O18="",N18,'2 Stuff Data'!O18)</f>
        <v/>
      </c>
      <c r="P18" s="127">
        <f>IF('2 Stuff Data'!P18="",O18,'2 Stuff Data'!P18)</f>
        <v/>
      </c>
      <c r="Q18" s="127">
        <f>IF('2 Stuff Data'!Q18="",P18,'2 Stuff Data'!Q18)</f>
        <v/>
      </c>
      <c r="R18" s="128">
        <f>IF('2 Stuff Data'!R18="",Q18,'2 Stuff Data'!R18)</f>
        <v/>
      </c>
    </row>
    <row r="19" ht="14.25" customHeight="1" s="267">
      <c r="A19" s="4" t="inlineStr">
        <is>
          <t>Points bonus</t>
        </is>
      </c>
      <c r="B19" s="129">
        <f>'2 Stuff Data'!B19</f>
        <v/>
      </c>
      <c r="C19" s="125">
        <f>IF('2 Stuff Data'!C19="",B19,'2 Stuff Data'!C19)</f>
        <v/>
      </c>
      <c r="D19" s="125">
        <f>IF('2 Stuff Data'!D19="",C19,'2 Stuff Data'!D19)</f>
        <v/>
      </c>
      <c r="E19" s="125">
        <f>IF('2 Stuff Data'!E19="",D19,'2 Stuff Data'!E19)</f>
        <v/>
      </c>
      <c r="F19" s="125">
        <f>IF('2 Stuff Data'!F19="",E19,'2 Stuff Data'!F19)</f>
        <v/>
      </c>
      <c r="G19" s="125">
        <f>IF('2 Stuff Data'!G19="",F19,'2 Stuff Data'!G19)</f>
        <v/>
      </c>
      <c r="H19" s="125">
        <f>IF('2 Stuff Data'!H19="",G19,'2 Stuff Data'!H19)</f>
        <v/>
      </c>
      <c r="I19" s="125">
        <f>IF('2 Stuff Data'!I19="",H19,'2 Stuff Data'!I19)</f>
        <v/>
      </c>
      <c r="J19" s="125">
        <f>IF('2 Stuff Data'!J19="",I19,'2 Stuff Data'!J19)</f>
        <v/>
      </c>
      <c r="K19" s="125">
        <f>IF('2 Stuff Data'!K19="",J19,'2 Stuff Data'!K19)</f>
        <v/>
      </c>
      <c r="L19" s="125">
        <f>IF('2 Stuff Data'!L19="",K19,'2 Stuff Data'!L19)</f>
        <v/>
      </c>
      <c r="M19" s="125">
        <f>IF('2 Stuff Data'!M19="",L19,'2 Stuff Data'!M19)</f>
        <v/>
      </c>
      <c r="N19" s="125">
        <f>IF('2 Stuff Data'!N19="",M19,'2 Stuff Data'!N19)</f>
        <v/>
      </c>
      <c r="O19" s="125">
        <f>IF('2 Stuff Data'!O19="",N19,'2 Stuff Data'!O19)</f>
        <v/>
      </c>
      <c r="P19" s="125">
        <f>IF('2 Stuff Data'!P19="",O19,'2 Stuff Data'!P19)</f>
        <v/>
      </c>
      <c r="Q19" s="125">
        <f>IF('2 Stuff Data'!Q19="",P19,'2 Stuff Data'!Q19)</f>
        <v/>
      </c>
      <c r="R19" s="130">
        <f>IF('2 Stuff Data'!R19="",Q19,'2 Stuff Data'!R19)</f>
        <v/>
      </c>
    </row>
    <row r="20" ht="14.25" customHeight="1" s="267">
      <c r="A20" s="4" t="inlineStr">
        <is>
          <t>Podium bonus</t>
        </is>
      </c>
      <c r="B20" s="129">
        <f>'2 Stuff Data'!B20</f>
        <v/>
      </c>
      <c r="C20" s="125">
        <f>IF('2 Stuff Data'!C20="",B20,'2 Stuff Data'!C20)</f>
        <v/>
      </c>
      <c r="D20" s="125">
        <f>IF('2 Stuff Data'!D20="",C20,'2 Stuff Data'!D20)</f>
        <v/>
      </c>
      <c r="E20" s="125">
        <f>IF('2 Stuff Data'!E20="",D20,'2 Stuff Data'!E20)</f>
        <v/>
      </c>
      <c r="F20" s="125">
        <f>IF('2 Stuff Data'!F20="",E20,'2 Stuff Data'!F20)</f>
        <v/>
      </c>
      <c r="G20" s="125">
        <f>IF('2 Stuff Data'!G20="",F20,'2 Stuff Data'!G20)</f>
        <v/>
      </c>
      <c r="H20" s="125">
        <f>IF('2 Stuff Data'!H20="",G20,'2 Stuff Data'!H20)</f>
        <v/>
      </c>
      <c r="I20" s="125">
        <f>IF('2 Stuff Data'!I20="",H20,'2 Stuff Data'!I20)</f>
        <v/>
      </c>
      <c r="J20" s="125">
        <f>IF('2 Stuff Data'!J20="",I20,'2 Stuff Data'!J20)</f>
        <v/>
      </c>
      <c r="K20" s="125">
        <f>IF('2 Stuff Data'!K20="",J20,'2 Stuff Data'!K20)</f>
        <v/>
      </c>
      <c r="L20" s="125">
        <f>IF('2 Stuff Data'!L20="",K20,'2 Stuff Data'!L20)</f>
        <v/>
      </c>
      <c r="M20" s="125">
        <f>IF('2 Stuff Data'!M20="",L20,'2 Stuff Data'!M20)</f>
        <v/>
      </c>
      <c r="N20" s="125">
        <f>IF('2 Stuff Data'!N20="",M20,'2 Stuff Data'!N20)</f>
        <v/>
      </c>
      <c r="O20" s="125">
        <f>IF('2 Stuff Data'!O20="",N20,'2 Stuff Data'!O20)</f>
        <v/>
      </c>
      <c r="P20" s="125">
        <f>IF('2 Stuff Data'!P20="",O20,'2 Stuff Data'!P20)</f>
        <v/>
      </c>
      <c r="Q20" s="125">
        <f>IF('2 Stuff Data'!Q20="",P20,'2 Stuff Data'!Q20)</f>
        <v/>
      </c>
      <c r="R20" s="130">
        <f>IF('2 Stuff Data'!R20="",Q20,'2 Stuff Data'!R20)</f>
        <v/>
      </c>
    </row>
    <row r="21" ht="14.25" customHeight="1" s="267">
      <c r="A21" s="4" t="inlineStr">
        <is>
          <t>Win bonus</t>
        </is>
      </c>
      <c r="B21" s="131">
        <f>'2 Stuff Data'!B21</f>
        <v/>
      </c>
      <c r="C21" s="132">
        <f>IF('2 Stuff Data'!C21="",B21,'2 Stuff Data'!C21)</f>
        <v/>
      </c>
      <c r="D21" s="132">
        <f>IF('2 Stuff Data'!D21="",C21,'2 Stuff Data'!D21)</f>
        <v/>
      </c>
      <c r="E21" s="132">
        <f>IF('2 Stuff Data'!E21="",D21,'2 Stuff Data'!E21)</f>
        <v/>
      </c>
      <c r="F21" s="132">
        <f>IF('2 Stuff Data'!F21="",E21,'2 Stuff Data'!F21)</f>
        <v/>
      </c>
      <c r="G21" s="132">
        <f>IF('2 Stuff Data'!G21="",F21,'2 Stuff Data'!G21)</f>
        <v/>
      </c>
      <c r="H21" s="132">
        <f>IF('2 Stuff Data'!H21="",G21,'2 Stuff Data'!H21)</f>
        <v/>
      </c>
      <c r="I21" s="132">
        <f>IF('2 Stuff Data'!I21="",H21,'2 Stuff Data'!I21)</f>
        <v/>
      </c>
      <c r="J21" s="132">
        <f>IF('2 Stuff Data'!J21="",I21,'2 Stuff Data'!J21)</f>
        <v/>
      </c>
      <c r="K21" s="132">
        <f>IF('2 Stuff Data'!K21="",J21,'2 Stuff Data'!K21)</f>
        <v/>
      </c>
      <c r="L21" s="132">
        <f>IF('2 Stuff Data'!L21="",K21,'2 Stuff Data'!L21)</f>
        <v/>
      </c>
      <c r="M21" s="132">
        <f>IF('2 Stuff Data'!M21="",L21,'2 Stuff Data'!M21)</f>
        <v/>
      </c>
      <c r="N21" s="132">
        <f>IF('2 Stuff Data'!N21="",M21,'2 Stuff Data'!N21)</f>
        <v/>
      </c>
      <c r="O21" s="132">
        <f>IF('2 Stuff Data'!O21="",N21,'2 Stuff Data'!O21)</f>
        <v/>
      </c>
      <c r="P21" s="132">
        <f>IF('2 Stuff Data'!P21="",O21,'2 Stuff Data'!P21)</f>
        <v/>
      </c>
      <c r="Q21" s="132">
        <f>IF('2 Stuff Data'!Q21="",P21,'2 Stuff Data'!Q21)</f>
        <v/>
      </c>
      <c r="R21" s="133">
        <f>IF('2 Stuff Data'!R21="",Q21,'2 Stuff Data'!R21)</f>
        <v/>
      </c>
    </row>
    <row r="22" ht="14.25" customHeight="1" s="267">
      <c r="A22" s="4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 ht="14.25" customHeight="1" s="267">
      <c r="A23" s="25" t="inlineStr">
        <is>
          <t>TD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 ht="14.25" customHeight="1" s="267">
      <c r="A24" s="4" t="inlineStr">
        <is>
          <t>Overall</t>
        </is>
      </c>
      <c r="B24" s="7">
        <f>'2 Stuff Data'!B24</f>
        <v/>
      </c>
      <c r="C24" s="9">
        <f>IF('2 Stuff Data'!C24="",B24,'2 Stuff Data'!C24)</f>
        <v/>
      </c>
      <c r="D24" s="9">
        <f>IF('2 Stuff Data'!D24="",C24,'2 Stuff Data'!D24)</f>
        <v/>
      </c>
      <c r="E24" s="9">
        <f>IF('2 Stuff Data'!E24="",D24,'2 Stuff Data'!E24)</f>
        <v/>
      </c>
      <c r="F24" s="9">
        <f>IF('2 Stuff Data'!F24="",E24,'2 Stuff Data'!F24)</f>
        <v/>
      </c>
      <c r="G24" s="9">
        <f>IF('2 Stuff Data'!G24="",F24,'2 Stuff Data'!G24)</f>
        <v/>
      </c>
      <c r="H24" s="9">
        <f>IF('2 Stuff Data'!H24="",G24,'2 Stuff Data'!H24)</f>
        <v/>
      </c>
      <c r="I24" s="9">
        <f>IF('2 Stuff Data'!I24="",H24,'2 Stuff Data'!I24)</f>
        <v/>
      </c>
      <c r="J24" s="9">
        <f>IF('2 Stuff Data'!J24="",I24,'2 Stuff Data'!J24)</f>
        <v/>
      </c>
      <c r="K24" s="9">
        <f>IF('2 Stuff Data'!K24="",J24,'2 Stuff Data'!K24)</f>
        <v/>
      </c>
      <c r="L24" s="9">
        <f>IF('2 Stuff Data'!L24="",K24,'2 Stuff Data'!L24)</f>
        <v/>
      </c>
      <c r="M24" s="9">
        <f>IF('2 Stuff Data'!M24="",L24,'2 Stuff Data'!M24)</f>
        <v/>
      </c>
      <c r="N24" s="9">
        <f>IF('2 Stuff Data'!N24="",M24,'2 Stuff Data'!N24)</f>
        <v/>
      </c>
      <c r="O24" s="9">
        <f>IF('2 Stuff Data'!O24="",N24,'2 Stuff Data'!O24)</f>
        <v/>
      </c>
      <c r="P24" s="9">
        <f>IF('2 Stuff Data'!P24="",O24,'2 Stuff Data'!P24)</f>
        <v/>
      </c>
      <c r="Q24" s="9">
        <f>IF('2 Stuff Data'!Q24="",P24,'2 Stuff Data'!Q24)</f>
        <v/>
      </c>
      <c r="R24" s="119">
        <f>IF('2 Stuff Data'!R24="",Q24,'2 Stuff Data'!R24)</f>
        <v/>
      </c>
    </row>
    <row r="25" ht="14.25" customHeight="1" s="267">
      <c r="A25" s="4" t="inlineStr">
        <is>
          <t>Leadership</t>
        </is>
      </c>
      <c r="B25" s="13">
        <f>'2 Stuff Data'!B25</f>
        <v/>
      </c>
      <c r="C25" s="3">
        <f>IF('2 Stuff Data'!C25="",B25,'2 Stuff Data'!C25)</f>
        <v/>
      </c>
      <c r="D25" s="3">
        <f>IF('2 Stuff Data'!D25="",C25,'2 Stuff Data'!D25)</f>
        <v/>
      </c>
      <c r="E25" s="3">
        <f>IF('2 Stuff Data'!E25="",D25,'2 Stuff Data'!E25)</f>
        <v/>
      </c>
      <c r="F25" s="3">
        <f>IF('2 Stuff Data'!F25="",E25,'2 Stuff Data'!F25)</f>
        <v/>
      </c>
      <c r="G25" s="3">
        <f>IF('2 Stuff Data'!G25="",F25,'2 Stuff Data'!G25)</f>
        <v/>
      </c>
      <c r="H25" s="3">
        <f>IF('2 Stuff Data'!H25="",G25,'2 Stuff Data'!H25)</f>
        <v/>
      </c>
      <c r="I25" s="3">
        <f>IF('2 Stuff Data'!I25="",H25,'2 Stuff Data'!I25)</f>
        <v/>
      </c>
      <c r="J25" s="3">
        <f>IF('2 Stuff Data'!J25="",I25,'2 Stuff Data'!J25)</f>
        <v/>
      </c>
      <c r="K25" s="3">
        <f>IF('2 Stuff Data'!K25="",J25,'2 Stuff Data'!K25)</f>
        <v/>
      </c>
      <c r="L25" s="3">
        <f>IF('2 Stuff Data'!L25="",K25,'2 Stuff Data'!L25)</f>
        <v/>
      </c>
      <c r="M25" s="3">
        <f>IF('2 Stuff Data'!M25="",L25,'2 Stuff Data'!M25)</f>
        <v/>
      </c>
      <c r="N25" s="3">
        <f>IF('2 Stuff Data'!N25="",M25,'2 Stuff Data'!N25)</f>
        <v/>
      </c>
      <c r="O25" s="3">
        <f>IF('2 Stuff Data'!O25="",N25,'2 Stuff Data'!O25)</f>
        <v/>
      </c>
      <c r="P25" s="3">
        <f>IF('2 Stuff Data'!P25="",O25,'2 Stuff Data'!P25)</f>
        <v/>
      </c>
      <c r="Q25" s="3">
        <f>IF('2 Stuff Data'!Q25="",P25,'2 Stuff Data'!Q25)</f>
        <v/>
      </c>
      <c r="R25" s="157">
        <f>IF('2 Stuff Data'!R25="",Q25,'2 Stuff Data'!R25)</f>
        <v/>
      </c>
    </row>
    <row r="26" ht="14.25" customHeight="1" s="267">
      <c r="A26" s="4" t="inlineStr">
        <is>
          <t>R&amp;D Mechanics</t>
        </is>
      </c>
      <c r="B26" s="13">
        <f>'2 Stuff Data'!B26</f>
        <v/>
      </c>
      <c r="C26" s="3">
        <f>IF('2 Stuff Data'!C26="",B26,'2 Stuff Data'!C26)</f>
        <v/>
      </c>
      <c r="D26" s="3">
        <f>IF('2 Stuff Data'!D26="",C26,'2 Stuff Data'!D26)</f>
        <v/>
      </c>
      <c r="E26" s="3">
        <f>IF('2 Stuff Data'!E26="",D26,'2 Stuff Data'!E26)</f>
        <v/>
      </c>
      <c r="F26" s="3">
        <f>IF('2 Stuff Data'!F26="",E26,'2 Stuff Data'!F26)</f>
        <v/>
      </c>
      <c r="G26" s="3">
        <f>IF('2 Stuff Data'!G26="",F26,'2 Stuff Data'!G26)</f>
        <v/>
      </c>
      <c r="H26" s="3">
        <f>IF('2 Stuff Data'!H26="",G26,'2 Stuff Data'!H26)</f>
        <v/>
      </c>
      <c r="I26" s="3">
        <f>IF('2 Stuff Data'!I26="",H26,'2 Stuff Data'!I26)</f>
        <v/>
      </c>
      <c r="J26" s="3">
        <f>IF('2 Stuff Data'!J26="",I26,'2 Stuff Data'!J26)</f>
        <v/>
      </c>
      <c r="K26" s="3">
        <f>IF('2 Stuff Data'!K26="",J26,'2 Stuff Data'!K26)</f>
        <v/>
      </c>
      <c r="L26" s="3">
        <f>IF('2 Stuff Data'!L26="",K26,'2 Stuff Data'!L26)</f>
        <v/>
      </c>
      <c r="M26" s="3">
        <f>IF('2 Stuff Data'!M26="",L26,'2 Stuff Data'!M26)</f>
        <v/>
      </c>
      <c r="N26" s="3">
        <f>IF('2 Stuff Data'!N26="",M26,'2 Stuff Data'!N26)</f>
        <v/>
      </c>
      <c r="O26" s="3">
        <f>IF('2 Stuff Data'!O26="",N26,'2 Stuff Data'!O26)</f>
        <v/>
      </c>
      <c r="P26" s="3">
        <f>IF('2 Stuff Data'!P26="",O26,'2 Stuff Data'!P26)</f>
        <v/>
      </c>
      <c r="Q26" s="3">
        <f>IF('2 Stuff Data'!Q26="",P26,'2 Stuff Data'!Q26)</f>
        <v/>
      </c>
      <c r="R26" s="157">
        <f>IF('2 Stuff Data'!R26="",Q26,'2 Stuff Data'!R26)</f>
        <v/>
      </c>
    </row>
    <row r="27" ht="14.25" customHeight="1" s="267">
      <c r="A27" s="4" t="inlineStr">
        <is>
          <t>R&amp;D Electronics</t>
        </is>
      </c>
      <c r="B27" s="13">
        <f>'2 Stuff Data'!B27</f>
        <v/>
      </c>
      <c r="C27" s="3">
        <f>IF('2 Stuff Data'!C27="",B27,'2 Stuff Data'!C27)</f>
        <v/>
      </c>
      <c r="D27" s="3">
        <f>IF('2 Stuff Data'!D27="",C27,'2 Stuff Data'!D27)</f>
        <v/>
      </c>
      <c r="E27" s="3">
        <f>IF('2 Stuff Data'!E27="",D27,'2 Stuff Data'!E27)</f>
        <v/>
      </c>
      <c r="F27" s="3">
        <f>IF('2 Stuff Data'!F27="",E27,'2 Stuff Data'!F27)</f>
        <v/>
      </c>
      <c r="G27" s="3">
        <f>IF('2 Stuff Data'!G27="",F27,'2 Stuff Data'!G27)</f>
        <v/>
      </c>
      <c r="H27" s="3">
        <f>IF('2 Stuff Data'!H27="",G27,'2 Stuff Data'!H27)</f>
        <v/>
      </c>
      <c r="I27" s="3">
        <f>IF('2 Stuff Data'!I27="",H27,'2 Stuff Data'!I27)</f>
        <v/>
      </c>
      <c r="J27" s="3">
        <f>IF('2 Stuff Data'!J27="",I27,'2 Stuff Data'!J27)</f>
        <v/>
      </c>
      <c r="K27" s="3">
        <f>IF('2 Stuff Data'!K27="",J27,'2 Stuff Data'!K27)</f>
        <v/>
      </c>
      <c r="L27" s="3">
        <f>IF('2 Stuff Data'!L27="",K27,'2 Stuff Data'!L27)</f>
        <v/>
      </c>
      <c r="M27" s="3">
        <f>IF('2 Stuff Data'!M27="",L27,'2 Stuff Data'!M27)</f>
        <v/>
      </c>
      <c r="N27" s="3">
        <f>IF('2 Stuff Data'!N27="",M27,'2 Stuff Data'!N27)</f>
        <v/>
      </c>
      <c r="O27" s="3">
        <f>IF('2 Stuff Data'!O27="",N27,'2 Stuff Data'!O27)</f>
        <v/>
      </c>
      <c r="P27" s="3">
        <f>IF('2 Stuff Data'!P27="",O27,'2 Stuff Data'!P27)</f>
        <v/>
      </c>
      <c r="Q27" s="3">
        <f>IF('2 Stuff Data'!Q27="",P27,'2 Stuff Data'!Q27)</f>
        <v/>
      </c>
      <c r="R27" s="157">
        <f>IF('2 Stuff Data'!R27="",Q27,'2 Stuff Data'!R27)</f>
        <v/>
      </c>
    </row>
    <row r="28" ht="14.25" customHeight="1" s="267">
      <c r="A28" s="4" t="inlineStr">
        <is>
          <t>R&amp;D Aerodynamics</t>
        </is>
      </c>
      <c r="B28" s="13">
        <f>'2 Stuff Data'!B28</f>
        <v/>
      </c>
      <c r="C28" s="3">
        <f>IF('2 Stuff Data'!C28="",B28,'2 Stuff Data'!C28)</f>
        <v/>
      </c>
      <c r="D28" s="3">
        <f>IF('2 Stuff Data'!D28="",C28,'2 Stuff Data'!D28)</f>
        <v/>
      </c>
      <c r="E28" s="3">
        <f>IF('2 Stuff Data'!E28="",D28,'2 Stuff Data'!E28)</f>
        <v/>
      </c>
      <c r="F28" s="3">
        <f>IF('2 Stuff Data'!F28="",E28,'2 Stuff Data'!F28)</f>
        <v/>
      </c>
      <c r="G28" s="3">
        <f>IF('2 Stuff Data'!G28="",F28,'2 Stuff Data'!G28)</f>
        <v/>
      </c>
      <c r="H28" s="3">
        <f>IF('2 Stuff Data'!H28="",G28,'2 Stuff Data'!H28)</f>
        <v/>
      </c>
      <c r="I28" s="3">
        <f>IF('2 Stuff Data'!I28="",H28,'2 Stuff Data'!I28)</f>
        <v/>
      </c>
      <c r="J28" s="3">
        <f>IF('2 Stuff Data'!J28="",I28,'2 Stuff Data'!J28)</f>
        <v/>
      </c>
      <c r="K28" s="3">
        <f>IF('2 Stuff Data'!K28="",J28,'2 Stuff Data'!K28)</f>
        <v/>
      </c>
      <c r="L28" s="3">
        <f>IF('2 Stuff Data'!L28="",K28,'2 Stuff Data'!L28)</f>
        <v/>
      </c>
      <c r="M28" s="3">
        <f>IF('2 Stuff Data'!M28="",L28,'2 Stuff Data'!M28)</f>
        <v/>
      </c>
      <c r="N28" s="3">
        <f>IF('2 Stuff Data'!N28="",M28,'2 Stuff Data'!N28)</f>
        <v/>
      </c>
      <c r="O28" s="3">
        <f>IF('2 Stuff Data'!O28="",N28,'2 Stuff Data'!O28)</f>
        <v/>
      </c>
      <c r="P28" s="3">
        <f>IF('2 Stuff Data'!P28="",O28,'2 Stuff Data'!P28)</f>
        <v/>
      </c>
      <c r="Q28" s="3">
        <f>IF('2 Stuff Data'!Q28="",P28,'2 Stuff Data'!Q28)</f>
        <v/>
      </c>
      <c r="R28" s="157">
        <f>IF('2 Stuff Data'!R28="",Q28,'2 Stuff Data'!R28)</f>
        <v/>
      </c>
    </row>
    <row r="29" ht="14.25" customHeight="1" s="267">
      <c r="A29" s="4" t="inlineStr">
        <is>
          <t>Experience</t>
        </is>
      </c>
      <c r="B29" s="13">
        <f>'2 Stuff Data'!B29</f>
        <v/>
      </c>
      <c r="C29" s="3">
        <f>IF('2 Stuff Data'!C29="",B29+1,'2 Stuff Data'!C29)</f>
        <v/>
      </c>
      <c r="D29" s="3">
        <f>IF('2 Stuff Data'!D29="",C29+1,'2 Stuff Data'!D29)</f>
        <v/>
      </c>
      <c r="E29" s="3">
        <f>IF('2 Stuff Data'!E29="",D29+1,'2 Stuff Data'!E29)</f>
        <v/>
      </c>
      <c r="F29" s="3">
        <f>IF('2 Stuff Data'!F29="",E29+1,'2 Stuff Data'!F29)</f>
        <v/>
      </c>
      <c r="G29" s="3">
        <f>IF('2 Stuff Data'!G29="",F29+1,'2 Stuff Data'!G29)</f>
        <v/>
      </c>
      <c r="H29" s="3">
        <f>IF('2 Stuff Data'!H29="",G29+1,'2 Stuff Data'!H29)</f>
        <v/>
      </c>
      <c r="I29" s="3">
        <f>IF('2 Stuff Data'!I29="",H29+1,'2 Stuff Data'!I29)</f>
        <v/>
      </c>
      <c r="J29" s="3">
        <f>IF('2 Stuff Data'!J29="",I29+1,'2 Stuff Data'!J29)</f>
        <v/>
      </c>
      <c r="K29" s="3">
        <f>IF('2 Stuff Data'!K29="",J29+1,'2 Stuff Data'!K29)</f>
        <v/>
      </c>
      <c r="L29" s="3">
        <f>IF('2 Stuff Data'!L29="",K29+1,'2 Stuff Data'!L29)</f>
        <v/>
      </c>
      <c r="M29" s="3">
        <f>IF('2 Stuff Data'!M29="",L29+1,'2 Stuff Data'!M29)</f>
        <v/>
      </c>
      <c r="N29" s="3">
        <f>IF('2 Stuff Data'!N29="",M29+1,'2 Stuff Data'!N29)</f>
        <v/>
      </c>
      <c r="O29" s="3">
        <f>IF('2 Stuff Data'!O29="",N29+1,'2 Stuff Data'!O29)</f>
        <v/>
      </c>
      <c r="P29" s="3">
        <f>IF('2 Stuff Data'!P29="",O29+1,'2 Stuff Data'!P29)</f>
        <v/>
      </c>
      <c r="Q29" s="3">
        <f>IF('2 Stuff Data'!Q29="",P29+1,'2 Stuff Data'!Q29)</f>
        <v/>
      </c>
      <c r="R29" s="157">
        <f>IF('2 Stuff Data'!R29="",Q29+1,'2 Stuff Data'!R29)</f>
        <v/>
      </c>
    </row>
    <row r="30" ht="14.25" customHeight="1" s="267">
      <c r="A30" s="4" t="inlineStr">
        <is>
          <t>Pit Coordination</t>
        </is>
      </c>
      <c r="B30" s="13">
        <f>'2 Stuff Data'!B30</f>
        <v/>
      </c>
      <c r="C30" s="3">
        <f>IF('2 Stuff Data'!C30="",B30,'2 Stuff Data'!C30)</f>
        <v/>
      </c>
      <c r="D30" s="3">
        <f>IF('2 Stuff Data'!D30="",C30,'2 Stuff Data'!D30)</f>
        <v/>
      </c>
      <c r="E30" s="3">
        <f>IF('2 Stuff Data'!E30="",D30,'2 Stuff Data'!E30)</f>
        <v/>
      </c>
      <c r="F30" s="3">
        <f>IF('2 Stuff Data'!F30="",E30,'2 Stuff Data'!F30)</f>
        <v/>
      </c>
      <c r="G30" s="3">
        <f>IF('2 Stuff Data'!G30="",F30,'2 Stuff Data'!G30)</f>
        <v/>
      </c>
      <c r="H30" s="3">
        <f>IF('2 Stuff Data'!H30="",G30,'2 Stuff Data'!H30)</f>
        <v/>
      </c>
      <c r="I30" s="3">
        <f>IF('2 Stuff Data'!I30="",H30,'2 Stuff Data'!I30)</f>
        <v/>
      </c>
      <c r="J30" s="3">
        <f>IF('2 Stuff Data'!J30="",I30,'2 Stuff Data'!J30)</f>
        <v/>
      </c>
      <c r="K30" s="3">
        <f>IF('2 Stuff Data'!K30="",J30,'2 Stuff Data'!K30)</f>
        <v/>
      </c>
      <c r="L30" s="3">
        <f>IF('2 Stuff Data'!L30="",K30,'2 Stuff Data'!L30)</f>
        <v/>
      </c>
      <c r="M30" s="3">
        <f>IF('2 Stuff Data'!M30="",L30,'2 Stuff Data'!M30)</f>
        <v/>
      </c>
      <c r="N30" s="3">
        <f>IF('2 Stuff Data'!N30="",M30,'2 Stuff Data'!N30)</f>
        <v/>
      </c>
      <c r="O30" s="3">
        <f>IF('2 Stuff Data'!O30="",N30,'2 Stuff Data'!O30)</f>
        <v/>
      </c>
      <c r="P30" s="3">
        <f>IF('2 Stuff Data'!P30="",O30,'2 Stuff Data'!P30)</f>
        <v/>
      </c>
      <c r="Q30" s="3">
        <f>IF('2 Stuff Data'!Q30="",P30,'2 Stuff Data'!Q30)</f>
        <v/>
      </c>
      <c r="R30" s="157">
        <f>IF('2 Stuff Data'!R30="",Q30,'2 Stuff Data'!R30)</f>
        <v/>
      </c>
    </row>
    <row r="31" ht="14.25" customHeight="1" s="267">
      <c r="A31" s="4" t="inlineStr">
        <is>
          <t>Motivation</t>
        </is>
      </c>
      <c r="B31" s="13">
        <f>'2 Stuff Data'!B31</f>
        <v/>
      </c>
      <c r="C31" s="3">
        <f>IF('2 Stuff Data'!C31="",B31,'2 Stuff Data'!C31)</f>
        <v/>
      </c>
      <c r="D31" s="3">
        <f>IF('2 Stuff Data'!D31="",C31,'2 Stuff Data'!D31)</f>
        <v/>
      </c>
      <c r="E31" s="3">
        <f>IF('2 Stuff Data'!E31="",D31,'2 Stuff Data'!E31)</f>
        <v/>
      </c>
      <c r="F31" s="3">
        <f>IF('2 Stuff Data'!F31="",E31,'2 Stuff Data'!F31)</f>
        <v/>
      </c>
      <c r="G31" s="3">
        <f>IF('2 Stuff Data'!G31="",F31,'2 Stuff Data'!G31)</f>
        <v/>
      </c>
      <c r="H31" s="3">
        <f>IF('2 Stuff Data'!H31="",G31,'2 Stuff Data'!H31)</f>
        <v/>
      </c>
      <c r="I31" s="3">
        <f>IF('2 Stuff Data'!I31="",H31,'2 Stuff Data'!I31)</f>
        <v/>
      </c>
      <c r="J31" s="3">
        <f>IF('2 Stuff Data'!J31="",I31,'2 Stuff Data'!J31)</f>
        <v/>
      </c>
      <c r="K31" s="3">
        <f>IF('2 Stuff Data'!K31="",J31,'2 Stuff Data'!K31)</f>
        <v/>
      </c>
      <c r="L31" s="3">
        <f>IF('2 Stuff Data'!L31="",K31,'2 Stuff Data'!L31)</f>
        <v/>
      </c>
      <c r="M31" s="3">
        <f>IF('2 Stuff Data'!M31="",L31,'2 Stuff Data'!M31)</f>
        <v/>
      </c>
      <c r="N31" s="3">
        <f>IF('2 Stuff Data'!N31="",M31,'2 Stuff Data'!N31)</f>
        <v/>
      </c>
      <c r="O31" s="3">
        <f>IF('2 Stuff Data'!O31="",N31,'2 Stuff Data'!O31)</f>
        <v/>
      </c>
      <c r="P31" s="3">
        <f>IF('2 Stuff Data'!P31="",O31,'2 Stuff Data'!P31)</f>
        <v/>
      </c>
      <c r="Q31" s="3">
        <f>IF('2 Stuff Data'!Q31="",P31,'2 Stuff Data'!Q31)</f>
        <v/>
      </c>
      <c r="R31" s="157">
        <f>IF('2 Stuff Data'!R31="",Q31,'2 Stuff Data'!R31)</f>
        <v/>
      </c>
    </row>
    <row r="32" ht="14.25" customHeight="1" s="267">
      <c r="A32" s="4" t="inlineStr">
        <is>
          <t>Age</t>
        </is>
      </c>
      <c r="B32" s="18">
        <f>'2 Stuff Data'!B32</f>
        <v/>
      </c>
      <c r="C32" s="20">
        <f>IF('2 Stuff Data'!C32="",B32,'2 Stuff Data'!C32)</f>
        <v/>
      </c>
      <c r="D32" s="20">
        <f>IF('2 Stuff Data'!D32="",C32,'2 Stuff Data'!D32)</f>
        <v/>
      </c>
      <c r="E32" s="20">
        <f>IF('2 Stuff Data'!E32="",D32,'2 Stuff Data'!E32)</f>
        <v/>
      </c>
      <c r="F32" s="20">
        <f>IF('2 Stuff Data'!F32="",E32,'2 Stuff Data'!F32)</f>
        <v/>
      </c>
      <c r="G32" s="20">
        <f>IF('2 Stuff Data'!G32="",F32,'2 Stuff Data'!G32)</f>
        <v/>
      </c>
      <c r="H32" s="20">
        <f>IF('2 Stuff Data'!H32="",G32,'2 Stuff Data'!H32)</f>
        <v/>
      </c>
      <c r="I32" s="20">
        <f>IF('2 Stuff Data'!I32="",H32,'2 Stuff Data'!I32)</f>
        <v/>
      </c>
      <c r="J32" s="20">
        <f>IF('2 Stuff Data'!J32="",I32,'2 Stuff Data'!J32)</f>
        <v/>
      </c>
      <c r="K32" s="20">
        <f>IF('2 Stuff Data'!K32="",J32,'2 Stuff Data'!K32)</f>
        <v/>
      </c>
      <c r="L32" s="20">
        <f>IF('2 Stuff Data'!L32="",K32,'2 Stuff Data'!L32)</f>
        <v/>
      </c>
      <c r="M32" s="20">
        <f>IF('2 Stuff Data'!M32="",L32,'2 Stuff Data'!M32)</f>
        <v/>
      </c>
      <c r="N32" s="20">
        <f>IF('2 Stuff Data'!N32="",M32,'2 Stuff Data'!N32)</f>
        <v/>
      </c>
      <c r="O32" s="20">
        <f>IF('2 Stuff Data'!O32="",N32,'2 Stuff Data'!O32)</f>
        <v/>
      </c>
      <c r="P32" s="20">
        <f>IF('2 Stuff Data'!P32="",O32,'2 Stuff Data'!P32)</f>
        <v/>
      </c>
      <c r="Q32" s="20">
        <f>IF('2 Stuff Data'!Q32="",P32,'2 Stuff Data'!Q32)</f>
        <v/>
      </c>
      <c r="R32" s="162">
        <f>IF('2 Stuff Data'!R32="",Q32,'2 Stuff Data'!R32)</f>
        <v/>
      </c>
    </row>
    <row r="33" ht="14.25" customHeight="1" s="267">
      <c r="A33" s="4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 ht="14.25" customHeight="1" s="267">
      <c r="A34" s="4" t="inlineStr">
        <is>
          <t>Salary</t>
        </is>
      </c>
      <c r="B34" s="126">
        <f>'2 Stuff Data'!B34</f>
        <v/>
      </c>
      <c r="C34" s="127">
        <f>IF('2 Stuff Data'!C34="",B34,'2 Stuff Data'!C34)</f>
        <v/>
      </c>
      <c r="D34" s="127">
        <f>IF('2 Stuff Data'!D34="",C34,'2 Stuff Data'!D34)</f>
        <v/>
      </c>
      <c r="E34" s="127">
        <f>IF('2 Stuff Data'!E34="",D34,'2 Stuff Data'!E34)</f>
        <v/>
      </c>
      <c r="F34" s="127">
        <f>IF('2 Stuff Data'!F34="",E34,'2 Stuff Data'!F34)</f>
        <v/>
      </c>
      <c r="G34" s="127">
        <f>IF('2 Stuff Data'!G34="",F34,'2 Stuff Data'!G34)</f>
        <v/>
      </c>
      <c r="H34" s="127">
        <f>IF('2 Stuff Data'!H34="",G34,'2 Stuff Data'!H34)</f>
        <v/>
      </c>
      <c r="I34" s="127">
        <f>IF('2 Stuff Data'!I34="",H34,'2 Stuff Data'!I34)</f>
        <v/>
      </c>
      <c r="J34" s="127">
        <f>IF('2 Stuff Data'!J34="",I34,'2 Stuff Data'!J34)</f>
        <v/>
      </c>
      <c r="K34" s="127">
        <f>IF('2 Stuff Data'!K34="",J34,'2 Stuff Data'!K34)</f>
        <v/>
      </c>
      <c r="L34" s="127">
        <f>IF('2 Stuff Data'!L34="",K34,'2 Stuff Data'!L34)</f>
        <v/>
      </c>
      <c r="M34" s="127">
        <f>IF('2 Stuff Data'!M34="",L34,'2 Stuff Data'!M34)</f>
        <v/>
      </c>
      <c r="N34" s="127">
        <f>IF('2 Stuff Data'!N34="",M34,'2 Stuff Data'!N34)</f>
        <v/>
      </c>
      <c r="O34" s="127">
        <f>IF('2 Stuff Data'!O34="",N34,'2 Stuff Data'!O34)</f>
        <v/>
      </c>
      <c r="P34" s="127">
        <f>IF('2 Stuff Data'!P34="",O34,'2 Stuff Data'!P34)</f>
        <v/>
      </c>
      <c r="Q34" s="127">
        <f>IF('2 Stuff Data'!Q34="",P34,'2 Stuff Data'!Q34)</f>
        <v/>
      </c>
      <c r="R34" s="128">
        <f>IF('2 Stuff Data'!R34="",Q34,'2 Stuff Data'!R34)</f>
        <v/>
      </c>
    </row>
    <row r="35" ht="14.25" customHeight="1" s="267">
      <c r="A35" s="4" t="inlineStr">
        <is>
          <t>Points bonus</t>
        </is>
      </c>
      <c r="B35" s="129">
        <f>'2 Stuff Data'!B35</f>
        <v/>
      </c>
      <c r="C35" s="125">
        <f>IF('2 Stuff Data'!C35="",B35,'2 Stuff Data'!C35)</f>
        <v/>
      </c>
      <c r="D35" s="125">
        <f>IF('2 Stuff Data'!D35="",C35,'2 Stuff Data'!D35)</f>
        <v/>
      </c>
      <c r="E35" s="125">
        <f>IF('2 Stuff Data'!E35="",D35,'2 Stuff Data'!E35)</f>
        <v/>
      </c>
      <c r="F35" s="125">
        <f>IF('2 Stuff Data'!F35="",E35,'2 Stuff Data'!F35)</f>
        <v/>
      </c>
      <c r="G35" s="125">
        <f>IF('2 Stuff Data'!G35="",F35,'2 Stuff Data'!G35)</f>
        <v/>
      </c>
      <c r="H35" s="125">
        <f>IF('2 Stuff Data'!H35="",G35,'2 Stuff Data'!H35)</f>
        <v/>
      </c>
      <c r="I35" s="125">
        <f>IF('2 Stuff Data'!I35="",H35,'2 Stuff Data'!I35)</f>
        <v/>
      </c>
      <c r="J35" s="125">
        <f>IF('2 Stuff Data'!J35="",I35,'2 Stuff Data'!J35)</f>
        <v/>
      </c>
      <c r="K35" s="125">
        <f>IF('2 Stuff Data'!K35="",J35,'2 Stuff Data'!K35)</f>
        <v/>
      </c>
      <c r="L35" s="125">
        <f>IF('2 Stuff Data'!L35="",K35,'2 Stuff Data'!L35)</f>
        <v/>
      </c>
      <c r="M35" s="125">
        <f>IF('2 Stuff Data'!M35="",L35,'2 Stuff Data'!M35)</f>
        <v/>
      </c>
      <c r="N35" s="125">
        <f>IF('2 Stuff Data'!N35="",M35,'2 Stuff Data'!N35)</f>
        <v/>
      </c>
      <c r="O35" s="125">
        <f>IF('2 Stuff Data'!O35="",N35,'2 Stuff Data'!O35)</f>
        <v/>
      </c>
      <c r="P35" s="125">
        <f>IF('2 Stuff Data'!P35="",O35,'2 Stuff Data'!P35)</f>
        <v/>
      </c>
      <c r="Q35" s="125">
        <f>IF('2 Stuff Data'!Q35="",P35,'2 Stuff Data'!Q35)</f>
        <v/>
      </c>
      <c r="R35" s="130">
        <f>IF('2 Stuff Data'!R35="",Q35,'2 Stuff Data'!R35)</f>
        <v/>
      </c>
    </row>
    <row r="36" ht="14.25" customHeight="1" s="267">
      <c r="A36" s="4" t="inlineStr">
        <is>
          <t>Podium bonus</t>
        </is>
      </c>
      <c r="B36" s="129">
        <f>'2 Stuff Data'!B36</f>
        <v/>
      </c>
      <c r="C36" s="125">
        <f>IF('2 Stuff Data'!C36="",B36,'2 Stuff Data'!C36)</f>
        <v/>
      </c>
      <c r="D36" s="125">
        <f>IF('2 Stuff Data'!D36="",C36,'2 Stuff Data'!D36)</f>
        <v/>
      </c>
      <c r="E36" s="125">
        <f>IF('2 Stuff Data'!E36="",D36,'2 Stuff Data'!E36)</f>
        <v/>
      </c>
      <c r="F36" s="125">
        <f>IF('2 Stuff Data'!F36="",E36,'2 Stuff Data'!F36)</f>
        <v/>
      </c>
      <c r="G36" s="125">
        <f>IF('2 Stuff Data'!G36="",F36,'2 Stuff Data'!G36)</f>
        <v/>
      </c>
      <c r="H36" s="125">
        <f>IF('2 Stuff Data'!H36="",G36,'2 Stuff Data'!H36)</f>
        <v/>
      </c>
      <c r="I36" s="125">
        <f>IF('2 Stuff Data'!I36="",H36,'2 Stuff Data'!I36)</f>
        <v/>
      </c>
      <c r="J36" s="125">
        <f>IF('2 Stuff Data'!J36="",I36,'2 Stuff Data'!J36)</f>
        <v/>
      </c>
      <c r="K36" s="125">
        <f>IF('2 Stuff Data'!K36="",J36,'2 Stuff Data'!K36)</f>
        <v/>
      </c>
      <c r="L36" s="125">
        <f>IF('2 Stuff Data'!L36="",K36,'2 Stuff Data'!L36)</f>
        <v/>
      </c>
      <c r="M36" s="125">
        <f>IF('2 Stuff Data'!M36="",L36,'2 Stuff Data'!M36)</f>
        <v/>
      </c>
      <c r="N36" s="125">
        <f>IF('2 Stuff Data'!N36="",M36,'2 Stuff Data'!N36)</f>
        <v/>
      </c>
      <c r="O36" s="125">
        <f>IF('2 Stuff Data'!O36="",N36,'2 Stuff Data'!O36)</f>
        <v/>
      </c>
      <c r="P36" s="125">
        <f>IF('2 Stuff Data'!P36="",O36,'2 Stuff Data'!P36)</f>
        <v/>
      </c>
      <c r="Q36" s="125">
        <f>IF('2 Stuff Data'!Q36="",P36,'2 Stuff Data'!Q36)</f>
        <v/>
      </c>
      <c r="R36" s="130">
        <f>IF('2 Stuff Data'!R36="",Q36,'2 Stuff Data'!R36)</f>
        <v/>
      </c>
    </row>
    <row r="37" ht="14.25" customHeight="1" s="267">
      <c r="A37" s="4" t="inlineStr">
        <is>
          <t>Win bonus</t>
        </is>
      </c>
      <c r="B37" s="131">
        <f>'2 Stuff Data'!B37</f>
        <v/>
      </c>
      <c r="C37" s="132">
        <f>IF('2 Stuff Data'!C37="",B37,'2 Stuff Data'!C37)</f>
        <v/>
      </c>
      <c r="D37" s="132">
        <f>IF('2 Stuff Data'!D37="",C37,'2 Stuff Data'!D37)</f>
        <v/>
      </c>
      <c r="E37" s="132">
        <f>IF('2 Stuff Data'!E37="",D37,'2 Stuff Data'!E37)</f>
        <v/>
      </c>
      <c r="F37" s="132">
        <f>IF('2 Stuff Data'!F37="",E37,'2 Stuff Data'!F37)</f>
        <v/>
      </c>
      <c r="G37" s="132">
        <f>IF('2 Stuff Data'!G37="",F37,'2 Stuff Data'!G37)</f>
        <v/>
      </c>
      <c r="H37" s="132">
        <f>IF('2 Stuff Data'!H37="",G37,'2 Stuff Data'!H37)</f>
        <v/>
      </c>
      <c r="I37" s="132">
        <f>IF('2 Stuff Data'!I37="",H37,'2 Stuff Data'!I37)</f>
        <v/>
      </c>
      <c r="J37" s="132">
        <f>IF('2 Stuff Data'!J37="",I37,'2 Stuff Data'!J37)</f>
        <v/>
      </c>
      <c r="K37" s="132">
        <f>IF('2 Stuff Data'!K37="",J37,'2 Stuff Data'!K37)</f>
        <v/>
      </c>
      <c r="L37" s="132">
        <f>IF('2 Stuff Data'!L37="",K37,'2 Stuff Data'!L37)</f>
        <v/>
      </c>
      <c r="M37" s="132">
        <f>IF('2 Stuff Data'!M37="",L37,'2 Stuff Data'!M37)</f>
        <v/>
      </c>
      <c r="N37" s="132">
        <f>IF('2 Stuff Data'!N37="",M37,'2 Stuff Data'!N37)</f>
        <v/>
      </c>
      <c r="O37" s="132">
        <f>IF('2 Stuff Data'!O37="",N37,'2 Stuff Data'!O37)</f>
        <v/>
      </c>
      <c r="P37" s="132">
        <f>IF('2 Stuff Data'!P37="",O37,'2 Stuff Data'!P37)</f>
        <v/>
      </c>
      <c r="Q37" s="132">
        <f>IF('2 Stuff Data'!Q37="",P37,'2 Stuff Data'!Q37)</f>
        <v/>
      </c>
      <c r="R37" s="133">
        <f>IF('2 Stuff Data'!R37="",Q37,'2 Stuff Data'!R37)</f>
        <v/>
      </c>
    </row>
    <row r="38" ht="14.25" customHeight="1" s="267">
      <c r="A38" s="4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 ht="14.25" customHeight="1" s="267">
      <c r="A39" s="25" t="inlineStr">
        <is>
          <t>Staff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 ht="14.25" customHeight="1" s="267">
      <c r="A40" s="4" t="inlineStr">
        <is>
          <t>Experience</t>
        </is>
      </c>
      <c r="B40" s="7">
        <f>'2 Stuff Data'!B40</f>
        <v/>
      </c>
      <c r="C40" s="9">
        <f>IF('2 Stuff Data'!C40="",B40,'2 Stuff Data'!C40)</f>
        <v/>
      </c>
      <c r="D40" s="9">
        <f>IF('2 Stuff Data'!D40="",C40,'2 Stuff Data'!D40)</f>
        <v/>
      </c>
      <c r="E40" s="9">
        <f>IF('2 Stuff Data'!E40="",D40,'2 Stuff Data'!E40)</f>
        <v/>
      </c>
      <c r="F40" s="9">
        <f>IF('2 Stuff Data'!F40="",E40,'2 Stuff Data'!F40)</f>
        <v/>
      </c>
      <c r="G40" s="9">
        <f>IF('2 Stuff Data'!G40="",F40,'2 Stuff Data'!G40)</f>
        <v/>
      </c>
      <c r="H40" s="9">
        <f>IF('2 Stuff Data'!H40="",G40,'2 Stuff Data'!H40)</f>
        <v/>
      </c>
      <c r="I40" s="9">
        <f>IF('2 Stuff Data'!I40="",H40,'2 Stuff Data'!I40)</f>
        <v/>
      </c>
      <c r="J40" s="9">
        <f>IF('2 Stuff Data'!J40="",I40,'2 Stuff Data'!J40)</f>
        <v/>
      </c>
      <c r="K40" s="9">
        <f>IF('2 Stuff Data'!K40="",J40,'2 Stuff Data'!K40)</f>
        <v/>
      </c>
      <c r="L40" s="9">
        <f>IF('2 Stuff Data'!L40="",K40,'2 Stuff Data'!L40)</f>
        <v/>
      </c>
      <c r="M40" s="9">
        <f>IF('2 Stuff Data'!M40="",L40,'2 Stuff Data'!M40)</f>
        <v/>
      </c>
      <c r="N40" s="9">
        <f>IF('2 Stuff Data'!N40="",M40,'2 Stuff Data'!N40)</f>
        <v/>
      </c>
      <c r="O40" s="9">
        <f>IF('2 Stuff Data'!O40="",N40,'2 Stuff Data'!O40)</f>
        <v/>
      </c>
      <c r="P40" s="9">
        <f>IF('2 Stuff Data'!P40="",O40,'2 Stuff Data'!P40)</f>
        <v/>
      </c>
      <c r="Q40" s="9">
        <f>IF('2 Stuff Data'!Q40="",P40,'2 Stuff Data'!Q40)</f>
        <v/>
      </c>
      <c r="R40" s="119">
        <f>IF('2 Stuff Data'!R40="",Q40,'2 Stuff Data'!R40)</f>
        <v/>
      </c>
    </row>
    <row r="41" ht="14.25" customHeight="1" s="267">
      <c r="A41" s="4" t="inlineStr">
        <is>
          <t>Motivation</t>
        </is>
      </c>
      <c r="B41" s="13">
        <f>'2 Stuff Data'!B41</f>
        <v/>
      </c>
      <c r="C41" s="3">
        <f>IF('2 Stuff Data'!C41="",B41,'2 Stuff Data'!C41)</f>
        <v/>
      </c>
      <c r="D41" s="3">
        <f>IF('2 Stuff Data'!D41="",C41,'2 Stuff Data'!D41)</f>
        <v/>
      </c>
      <c r="E41" s="3">
        <f>IF('2 Stuff Data'!E41="",D41,'2 Stuff Data'!E41)</f>
        <v/>
      </c>
      <c r="F41" s="3">
        <f>IF('2 Stuff Data'!F41="",E41,'2 Stuff Data'!F41)</f>
        <v/>
      </c>
      <c r="G41" s="3">
        <f>IF('2 Stuff Data'!G41="",F41,'2 Stuff Data'!G41)</f>
        <v/>
      </c>
      <c r="H41" s="3">
        <f>IF('2 Stuff Data'!H41="",G41,'2 Stuff Data'!H41)</f>
        <v/>
      </c>
      <c r="I41" s="3">
        <f>IF('2 Stuff Data'!I41="",H41,'2 Stuff Data'!I41)</f>
        <v/>
      </c>
      <c r="J41" s="3">
        <f>IF('2 Stuff Data'!J41="",I41,'2 Stuff Data'!J41)</f>
        <v/>
      </c>
      <c r="K41" s="3">
        <f>IF('2 Stuff Data'!K41="",J41,'2 Stuff Data'!K41)</f>
        <v/>
      </c>
      <c r="L41" s="3">
        <f>IF('2 Stuff Data'!L41="",K41,'2 Stuff Data'!L41)</f>
        <v/>
      </c>
      <c r="M41" s="3">
        <f>IF('2 Stuff Data'!M41="",L41,'2 Stuff Data'!M41)</f>
        <v/>
      </c>
      <c r="N41" s="3">
        <f>IF('2 Stuff Data'!N41="",M41,'2 Stuff Data'!N41)</f>
        <v/>
      </c>
      <c r="O41" s="3">
        <f>IF('2 Stuff Data'!O41="",N41,'2 Stuff Data'!O41)</f>
        <v/>
      </c>
      <c r="P41" s="3">
        <f>IF('2 Stuff Data'!P41="",O41,'2 Stuff Data'!P41)</f>
        <v/>
      </c>
      <c r="Q41" s="3">
        <f>IF('2 Stuff Data'!Q41="",P41,'2 Stuff Data'!Q41)</f>
        <v/>
      </c>
      <c r="R41" s="157">
        <f>IF('2 Stuff Data'!R41="",Q41,'2 Stuff Data'!R41)</f>
        <v/>
      </c>
    </row>
    <row r="42" ht="14.25" customHeight="1" s="267">
      <c r="A42" s="4" t="inlineStr">
        <is>
          <t>Technical skill</t>
        </is>
      </c>
      <c r="B42" s="13">
        <f>'2 Stuff Data'!B42</f>
        <v/>
      </c>
      <c r="C42" s="3">
        <f>IF('2 Stuff Data'!C42="",B42,'2 Stuff Data'!C42)</f>
        <v/>
      </c>
      <c r="D42" s="3">
        <f>IF('2 Stuff Data'!D42="",C42,'2 Stuff Data'!D42)</f>
        <v/>
      </c>
      <c r="E42" s="3">
        <f>IF('2 Stuff Data'!E42="",D42,'2 Stuff Data'!E42)</f>
        <v/>
      </c>
      <c r="F42" s="3">
        <f>IF('2 Stuff Data'!F42="",E42,'2 Stuff Data'!F42)</f>
        <v/>
      </c>
      <c r="G42" s="3">
        <f>IF('2 Stuff Data'!G42="",F42,'2 Stuff Data'!G42)</f>
        <v/>
      </c>
      <c r="H42" s="3">
        <f>IF('2 Stuff Data'!H42="",G42,'2 Stuff Data'!H42)</f>
        <v/>
      </c>
      <c r="I42" s="3">
        <f>IF('2 Stuff Data'!I42="",H42,'2 Stuff Data'!I42)</f>
        <v/>
      </c>
      <c r="J42" s="3">
        <f>IF('2 Stuff Data'!J42="",I42,'2 Stuff Data'!J42)</f>
        <v/>
      </c>
      <c r="K42" s="3">
        <f>IF('2 Stuff Data'!K42="",J42,'2 Stuff Data'!K42)</f>
        <v/>
      </c>
      <c r="L42" s="3">
        <f>IF('2 Stuff Data'!L42="",K42,'2 Stuff Data'!L42)</f>
        <v/>
      </c>
      <c r="M42" s="3">
        <f>IF('2 Stuff Data'!M42="",L42,'2 Stuff Data'!M42)</f>
        <v/>
      </c>
      <c r="N42" s="3">
        <f>IF('2 Stuff Data'!N42="",M42,'2 Stuff Data'!N42)</f>
        <v/>
      </c>
      <c r="O42" s="3">
        <f>IF('2 Stuff Data'!O42="",N42,'2 Stuff Data'!O42)</f>
        <v/>
      </c>
      <c r="P42" s="3">
        <f>IF('2 Stuff Data'!P42="",O42,'2 Stuff Data'!P42)</f>
        <v/>
      </c>
      <c r="Q42" s="3">
        <f>IF('2 Stuff Data'!Q42="",P42,'2 Stuff Data'!Q42)</f>
        <v/>
      </c>
      <c r="R42" s="157">
        <f>IF('2 Stuff Data'!R42="",Q42,'2 Stuff Data'!R42)</f>
        <v/>
      </c>
    </row>
    <row r="43" ht="14.25" customHeight="1" s="267">
      <c r="A43" s="4" t="inlineStr">
        <is>
          <t>Stress handling</t>
        </is>
      </c>
      <c r="B43" s="13">
        <f>'2 Stuff Data'!B43</f>
        <v/>
      </c>
      <c r="C43" s="3">
        <f>IF('2 Stuff Data'!C43="",B43,'2 Stuff Data'!C43)</f>
        <v/>
      </c>
      <c r="D43" s="3">
        <f>IF('2 Stuff Data'!D43="",C43,'2 Stuff Data'!D43)</f>
        <v/>
      </c>
      <c r="E43" s="3">
        <f>IF('2 Stuff Data'!E43="",D43,'2 Stuff Data'!E43)</f>
        <v/>
      </c>
      <c r="F43" s="3">
        <f>IF('2 Stuff Data'!F43="",E43,'2 Stuff Data'!F43)</f>
        <v/>
      </c>
      <c r="G43" s="3">
        <f>IF('2 Stuff Data'!G43="",F43,'2 Stuff Data'!G43)</f>
        <v/>
      </c>
      <c r="H43" s="3">
        <f>IF('2 Stuff Data'!H43="",G43,'2 Stuff Data'!H43)</f>
        <v/>
      </c>
      <c r="I43" s="3">
        <f>IF('2 Stuff Data'!I43="",H43,'2 Stuff Data'!I43)</f>
        <v/>
      </c>
      <c r="J43" s="3">
        <f>IF('2 Stuff Data'!J43="",I43,'2 Stuff Data'!J43)</f>
        <v/>
      </c>
      <c r="K43" s="3">
        <f>IF('2 Stuff Data'!K43="",J43,'2 Stuff Data'!K43)</f>
        <v/>
      </c>
      <c r="L43" s="3">
        <f>IF('2 Stuff Data'!L43="",K43,'2 Stuff Data'!L43)</f>
        <v/>
      </c>
      <c r="M43" s="3">
        <f>IF('2 Stuff Data'!M43="",L43,'2 Stuff Data'!M43)</f>
        <v/>
      </c>
      <c r="N43" s="3">
        <f>IF('2 Stuff Data'!N43="",M43,'2 Stuff Data'!N43)</f>
        <v/>
      </c>
      <c r="O43" s="3">
        <f>IF('2 Stuff Data'!O43="",N43,'2 Stuff Data'!O43)</f>
        <v/>
      </c>
      <c r="P43" s="3">
        <f>IF('2 Stuff Data'!P43="",O43,'2 Stuff Data'!P43)</f>
        <v/>
      </c>
      <c r="Q43" s="3">
        <f>IF('2 Stuff Data'!Q43="",P43,'2 Stuff Data'!Q43)</f>
        <v/>
      </c>
      <c r="R43" s="157">
        <f>IF('2 Stuff Data'!R43="",Q43,'2 Stuff Data'!R43)</f>
        <v/>
      </c>
    </row>
    <row r="44" ht="14.25" customHeight="1" s="267">
      <c r="A44" s="4" t="inlineStr">
        <is>
          <t>Concentration</t>
        </is>
      </c>
      <c r="B44" s="13">
        <f>'2 Stuff Data'!B44</f>
        <v/>
      </c>
      <c r="C44" s="3">
        <f>IF('2 Stuff Data'!C44="",B44,'2 Stuff Data'!C44)</f>
        <v/>
      </c>
      <c r="D44" s="3">
        <f>IF('2 Stuff Data'!D44="",C44,'2 Stuff Data'!D44)</f>
        <v/>
      </c>
      <c r="E44" s="3">
        <f>IF('2 Stuff Data'!E44="",D44,'2 Stuff Data'!E44)</f>
        <v/>
      </c>
      <c r="F44" s="3">
        <f>IF('2 Stuff Data'!F44="",E44,'2 Stuff Data'!F44)</f>
        <v/>
      </c>
      <c r="G44" s="3">
        <f>IF('2 Stuff Data'!G44="",F44,'2 Stuff Data'!G44)</f>
        <v/>
      </c>
      <c r="H44" s="3">
        <f>IF('2 Stuff Data'!H44="",G44,'2 Stuff Data'!H44)</f>
        <v/>
      </c>
      <c r="I44" s="3">
        <f>IF('2 Stuff Data'!I44="",H44,'2 Stuff Data'!I44)</f>
        <v/>
      </c>
      <c r="J44" s="3">
        <f>IF('2 Stuff Data'!J44="",I44,'2 Stuff Data'!J44)</f>
        <v/>
      </c>
      <c r="K44" s="3">
        <f>IF('2 Stuff Data'!K44="",J44,'2 Stuff Data'!K44)</f>
        <v/>
      </c>
      <c r="L44" s="3">
        <f>IF('2 Stuff Data'!L44="",K44,'2 Stuff Data'!L44)</f>
        <v/>
      </c>
      <c r="M44" s="3">
        <f>IF('2 Stuff Data'!M44="",L44,'2 Stuff Data'!M44)</f>
        <v/>
      </c>
      <c r="N44" s="3">
        <f>IF('2 Stuff Data'!N44="",M44,'2 Stuff Data'!N44)</f>
        <v/>
      </c>
      <c r="O44" s="3">
        <f>IF('2 Stuff Data'!O44="",N44,'2 Stuff Data'!O44)</f>
        <v/>
      </c>
      <c r="P44" s="3">
        <f>IF('2 Stuff Data'!P44="",O44,'2 Stuff Data'!P44)</f>
        <v/>
      </c>
      <c r="Q44" s="3">
        <f>IF('2 Stuff Data'!Q44="",P44,'2 Stuff Data'!Q44)</f>
        <v/>
      </c>
      <c r="R44" s="157">
        <f>IF('2 Stuff Data'!R44="",Q44,'2 Stuff Data'!R44)</f>
        <v/>
      </c>
    </row>
    <row r="45" ht="14.25" customHeight="1" s="267">
      <c r="A45" s="4" t="inlineStr">
        <is>
          <t>Efficiency</t>
        </is>
      </c>
      <c r="B45" s="18">
        <f>'2 Stuff Data'!B45</f>
        <v/>
      </c>
      <c r="C45" s="20">
        <f>IF('2 Stuff Data'!C45="",B45,'2 Stuff Data'!C45)</f>
        <v/>
      </c>
      <c r="D45" s="20">
        <f>IF('2 Stuff Data'!D45="",C45,'2 Stuff Data'!D45)</f>
        <v/>
      </c>
      <c r="E45" s="20">
        <f>IF('2 Stuff Data'!E45="",D45,'2 Stuff Data'!E45)</f>
        <v/>
      </c>
      <c r="F45" s="20">
        <f>IF('2 Stuff Data'!F45="",E45,'2 Stuff Data'!F45)</f>
        <v/>
      </c>
      <c r="G45" s="20">
        <f>IF('2 Stuff Data'!G45="",F45,'2 Stuff Data'!G45)</f>
        <v/>
      </c>
      <c r="H45" s="20">
        <f>IF('2 Stuff Data'!H45="",G45,'2 Stuff Data'!H45)</f>
        <v/>
      </c>
      <c r="I45" s="20">
        <f>IF('2 Stuff Data'!I45="",H45,'2 Stuff Data'!I45)</f>
        <v/>
      </c>
      <c r="J45" s="20">
        <f>IF('2 Stuff Data'!J45="",I45,'2 Stuff Data'!J45)</f>
        <v/>
      </c>
      <c r="K45" s="20">
        <f>IF('2 Stuff Data'!K45="",J45,'2 Stuff Data'!K45)</f>
        <v/>
      </c>
      <c r="L45" s="20">
        <f>IF('2 Stuff Data'!L45="",K45,'2 Stuff Data'!L45)</f>
        <v/>
      </c>
      <c r="M45" s="20">
        <f>IF('2 Stuff Data'!M45="",L45,'2 Stuff Data'!M45)</f>
        <v/>
      </c>
      <c r="N45" s="20">
        <f>IF('2 Stuff Data'!N45="",M45,'2 Stuff Data'!N45)</f>
        <v/>
      </c>
      <c r="O45" s="20">
        <f>IF('2 Stuff Data'!O45="",N45,'2 Stuff Data'!O45)</f>
        <v/>
      </c>
      <c r="P45" s="20">
        <f>IF('2 Stuff Data'!P45="",O45,'2 Stuff Data'!P45)</f>
        <v/>
      </c>
      <c r="Q45" s="20">
        <f>IF('2 Stuff Data'!Q45="",P45,'2 Stuff Data'!Q45)</f>
        <v/>
      </c>
      <c r="R45" s="162">
        <f>IF('2 Stuff Data'!R45="",Q45,'2 Stuff Data'!R45)</f>
        <v/>
      </c>
    </row>
    <row r="46" ht="14.25" customHeight="1" s="267">
      <c r="A46" s="4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 ht="14.25" customHeight="1" s="267">
      <c r="A47" s="25" t="inlineStr">
        <is>
          <t>Facilities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 ht="14.25" customHeight="1" s="267">
      <c r="A48" s="4" t="inlineStr">
        <is>
          <t>Windtunnel</t>
        </is>
      </c>
      <c r="B48" s="7">
        <f>ROUND('12 Miscellaneous Calculations'!B5,0)</f>
        <v/>
      </c>
      <c r="C48" s="9">
        <f>ROUND('12 Miscellaneous Calculations'!C5,0)</f>
        <v/>
      </c>
      <c r="D48" s="9">
        <f>ROUND('12 Miscellaneous Calculations'!D5,0)</f>
        <v/>
      </c>
      <c r="E48" s="9">
        <f>ROUND('12 Miscellaneous Calculations'!E5,0)</f>
        <v/>
      </c>
      <c r="F48" s="9">
        <f>ROUND('12 Miscellaneous Calculations'!F5,0)</f>
        <v/>
      </c>
      <c r="G48" s="9">
        <f>ROUND('12 Miscellaneous Calculations'!G5,0)</f>
        <v/>
      </c>
      <c r="H48" s="9">
        <f>ROUND('12 Miscellaneous Calculations'!H5,0)</f>
        <v/>
      </c>
      <c r="I48" s="9">
        <f>ROUND('12 Miscellaneous Calculations'!I5,0)</f>
        <v/>
      </c>
      <c r="J48" s="9">
        <f>ROUND('12 Miscellaneous Calculations'!J5,0)</f>
        <v/>
      </c>
      <c r="K48" s="9">
        <f>ROUND('12 Miscellaneous Calculations'!K5,0)</f>
        <v/>
      </c>
      <c r="L48" s="9">
        <f>ROUND('12 Miscellaneous Calculations'!L5,0)</f>
        <v/>
      </c>
      <c r="M48" s="9">
        <f>ROUND('12 Miscellaneous Calculations'!M5,0)</f>
        <v/>
      </c>
      <c r="N48" s="9">
        <f>ROUND('12 Miscellaneous Calculations'!N5,0)</f>
        <v/>
      </c>
      <c r="O48" s="9">
        <f>ROUND('12 Miscellaneous Calculations'!O5,0)</f>
        <v/>
      </c>
      <c r="P48" s="9">
        <f>ROUND('12 Miscellaneous Calculations'!P5,0)</f>
        <v/>
      </c>
      <c r="Q48" s="9">
        <f>ROUND('12 Miscellaneous Calculations'!Q5,0)</f>
        <v/>
      </c>
      <c r="R48" s="119">
        <f>ROUND('12 Miscellaneous Calculations'!R5,0)</f>
        <v/>
      </c>
    </row>
    <row r="49" ht="14.25" customHeight="1" s="267">
      <c r="A49" s="4" t="inlineStr">
        <is>
          <t>Pit Stop Training Centre</t>
        </is>
      </c>
      <c r="B49" s="13">
        <f>ROUND('12 Miscellaneous Calculations'!B6,0)</f>
        <v/>
      </c>
      <c r="C49" s="3">
        <f>ROUND('12 Miscellaneous Calculations'!C6,0)</f>
        <v/>
      </c>
      <c r="D49" s="3">
        <f>ROUND('12 Miscellaneous Calculations'!D6,0)</f>
        <v/>
      </c>
      <c r="E49" s="3">
        <f>ROUND('12 Miscellaneous Calculations'!E6,0)</f>
        <v/>
      </c>
      <c r="F49" s="3">
        <f>ROUND('12 Miscellaneous Calculations'!F6,0)</f>
        <v/>
      </c>
      <c r="G49" s="3">
        <f>ROUND('12 Miscellaneous Calculations'!G6,0)</f>
        <v/>
      </c>
      <c r="H49" s="3">
        <f>ROUND('12 Miscellaneous Calculations'!H6,0)</f>
        <v/>
      </c>
      <c r="I49" s="3">
        <f>ROUND('12 Miscellaneous Calculations'!I6,0)</f>
        <v/>
      </c>
      <c r="J49" s="3">
        <f>ROUND('12 Miscellaneous Calculations'!J6,0)</f>
        <v/>
      </c>
      <c r="K49" s="3">
        <f>ROUND('12 Miscellaneous Calculations'!K6,0)</f>
        <v/>
      </c>
      <c r="L49" s="3">
        <f>ROUND('12 Miscellaneous Calculations'!L6,0)</f>
        <v/>
      </c>
      <c r="M49" s="3">
        <f>ROUND('12 Miscellaneous Calculations'!M6,0)</f>
        <v/>
      </c>
      <c r="N49" s="3">
        <f>ROUND('12 Miscellaneous Calculations'!N6,0)</f>
        <v/>
      </c>
      <c r="O49" s="3">
        <f>ROUND('12 Miscellaneous Calculations'!O6,0)</f>
        <v/>
      </c>
      <c r="P49" s="3">
        <f>ROUND('12 Miscellaneous Calculations'!P6,0)</f>
        <v/>
      </c>
      <c r="Q49" s="3">
        <f>ROUND('12 Miscellaneous Calculations'!Q6,0)</f>
        <v/>
      </c>
      <c r="R49" s="157">
        <f>ROUND('12 Miscellaneous Calculations'!R6,0)</f>
        <v/>
      </c>
    </row>
    <row r="50" ht="14.25" customHeight="1" s="267">
      <c r="A50" s="4" t="inlineStr">
        <is>
          <t>R&amp;D Workshop</t>
        </is>
      </c>
      <c r="B50" s="13">
        <f>ROUND('12 Miscellaneous Calculations'!B7,0)</f>
        <v/>
      </c>
      <c r="C50" s="3">
        <f>ROUND('12 Miscellaneous Calculations'!C7,0)</f>
        <v/>
      </c>
      <c r="D50" s="3">
        <f>ROUND('12 Miscellaneous Calculations'!D7,0)</f>
        <v/>
      </c>
      <c r="E50" s="3">
        <f>ROUND('12 Miscellaneous Calculations'!E7,0)</f>
        <v/>
      </c>
      <c r="F50" s="3">
        <f>ROUND('12 Miscellaneous Calculations'!F7,0)</f>
        <v/>
      </c>
      <c r="G50" s="3">
        <f>ROUND('12 Miscellaneous Calculations'!G7,0)</f>
        <v/>
      </c>
      <c r="H50" s="3">
        <f>ROUND('12 Miscellaneous Calculations'!H7,0)</f>
        <v/>
      </c>
      <c r="I50" s="3">
        <f>ROUND('12 Miscellaneous Calculations'!I7,0)</f>
        <v/>
      </c>
      <c r="J50" s="3">
        <f>ROUND('12 Miscellaneous Calculations'!J7,0)</f>
        <v/>
      </c>
      <c r="K50" s="3">
        <f>ROUND('12 Miscellaneous Calculations'!K7,0)</f>
        <v/>
      </c>
      <c r="L50" s="3">
        <f>ROUND('12 Miscellaneous Calculations'!L7,0)</f>
        <v/>
      </c>
      <c r="M50" s="3">
        <f>ROUND('12 Miscellaneous Calculations'!M7,0)</f>
        <v/>
      </c>
      <c r="N50" s="3">
        <f>ROUND('12 Miscellaneous Calculations'!N7,0)</f>
        <v/>
      </c>
      <c r="O50" s="3">
        <f>ROUND('12 Miscellaneous Calculations'!O7,0)</f>
        <v/>
      </c>
      <c r="P50" s="3">
        <f>ROUND('12 Miscellaneous Calculations'!P7,0)</f>
        <v/>
      </c>
      <c r="Q50" s="3">
        <f>ROUND('12 Miscellaneous Calculations'!Q7,0)</f>
        <v/>
      </c>
      <c r="R50" s="157">
        <f>ROUND('12 Miscellaneous Calculations'!R7,0)</f>
        <v/>
      </c>
    </row>
    <row r="51" ht="14.25" customHeight="1" s="267">
      <c r="A51" s="4" t="inlineStr">
        <is>
          <t>R&amp;D Design Centre</t>
        </is>
      </c>
      <c r="B51" s="13">
        <f>ROUND('12 Miscellaneous Calculations'!B8,0)</f>
        <v/>
      </c>
      <c r="C51" s="3">
        <f>ROUND('12 Miscellaneous Calculations'!C8,0)</f>
        <v/>
      </c>
      <c r="D51" s="3">
        <f>ROUND('12 Miscellaneous Calculations'!D8,0)</f>
        <v/>
      </c>
      <c r="E51" s="3">
        <f>ROUND('12 Miscellaneous Calculations'!E8,0)</f>
        <v/>
      </c>
      <c r="F51" s="3">
        <f>ROUND('12 Miscellaneous Calculations'!F8,0)</f>
        <v/>
      </c>
      <c r="G51" s="3">
        <f>ROUND('12 Miscellaneous Calculations'!G8,0)</f>
        <v/>
      </c>
      <c r="H51" s="3">
        <f>ROUND('12 Miscellaneous Calculations'!H8,0)</f>
        <v/>
      </c>
      <c r="I51" s="3">
        <f>ROUND('12 Miscellaneous Calculations'!I8,0)</f>
        <v/>
      </c>
      <c r="J51" s="3">
        <f>ROUND('12 Miscellaneous Calculations'!J8,0)</f>
        <v/>
      </c>
      <c r="K51" s="3">
        <f>ROUND('12 Miscellaneous Calculations'!K8,0)</f>
        <v/>
      </c>
      <c r="L51" s="3">
        <f>ROUND('12 Miscellaneous Calculations'!L8,0)</f>
        <v/>
      </c>
      <c r="M51" s="3">
        <f>ROUND('12 Miscellaneous Calculations'!M8,0)</f>
        <v/>
      </c>
      <c r="N51" s="3">
        <f>ROUND('12 Miscellaneous Calculations'!N8,0)</f>
        <v/>
      </c>
      <c r="O51" s="3">
        <f>ROUND('12 Miscellaneous Calculations'!O8,0)</f>
        <v/>
      </c>
      <c r="P51" s="3">
        <f>ROUND('12 Miscellaneous Calculations'!P8,0)</f>
        <v/>
      </c>
      <c r="Q51" s="3">
        <f>ROUND('12 Miscellaneous Calculations'!Q8,0)</f>
        <v/>
      </c>
      <c r="R51" s="157">
        <f>ROUND('12 Miscellaneous Calculations'!R8,0)</f>
        <v/>
      </c>
    </row>
    <row r="52" ht="14.25" customHeight="1" s="267">
      <c r="A52" s="4" t="inlineStr">
        <is>
          <t>Engineering Workshop</t>
        </is>
      </c>
      <c r="B52" s="13">
        <f>ROUND('12 Miscellaneous Calculations'!B9,0)</f>
        <v/>
      </c>
      <c r="C52" s="3">
        <f>ROUND('12 Miscellaneous Calculations'!C9,0)</f>
        <v/>
      </c>
      <c r="D52" s="3">
        <f>ROUND('12 Miscellaneous Calculations'!D9,0)</f>
        <v/>
      </c>
      <c r="E52" s="3">
        <f>ROUND('12 Miscellaneous Calculations'!E9,0)</f>
        <v/>
      </c>
      <c r="F52" s="3">
        <f>ROUND('12 Miscellaneous Calculations'!F9,0)</f>
        <v/>
      </c>
      <c r="G52" s="3">
        <f>ROUND('12 Miscellaneous Calculations'!G9,0)</f>
        <v/>
      </c>
      <c r="H52" s="3">
        <f>ROUND('12 Miscellaneous Calculations'!H9,0)</f>
        <v/>
      </c>
      <c r="I52" s="3">
        <f>ROUND('12 Miscellaneous Calculations'!I9,0)</f>
        <v/>
      </c>
      <c r="J52" s="3">
        <f>ROUND('12 Miscellaneous Calculations'!J9,0)</f>
        <v/>
      </c>
      <c r="K52" s="3">
        <f>ROUND('12 Miscellaneous Calculations'!K9,0)</f>
        <v/>
      </c>
      <c r="L52" s="3">
        <f>ROUND('12 Miscellaneous Calculations'!L9,0)</f>
        <v/>
      </c>
      <c r="M52" s="3">
        <f>ROUND('12 Miscellaneous Calculations'!M9,0)</f>
        <v/>
      </c>
      <c r="N52" s="3">
        <f>ROUND('12 Miscellaneous Calculations'!N9,0)</f>
        <v/>
      </c>
      <c r="O52" s="3">
        <f>ROUND('12 Miscellaneous Calculations'!O9,0)</f>
        <v/>
      </c>
      <c r="P52" s="3">
        <f>ROUND('12 Miscellaneous Calculations'!P9,0)</f>
        <v/>
      </c>
      <c r="Q52" s="3">
        <f>ROUND('12 Miscellaneous Calculations'!Q9,0)</f>
        <v/>
      </c>
      <c r="R52" s="157">
        <f>ROUND('12 Miscellaneous Calculations'!R9,0)</f>
        <v/>
      </c>
    </row>
    <row r="53" ht="14.25" customHeight="1" s="267">
      <c r="A53" s="4" t="inlineStr">
        <is>
          <t>Alloy &amp; Chemical Lab</t>
        </is>
      </c>
      <c r="B53" s="13">
        <f>ROUND('12 Miscellaneous Calculations'!B10,0)</f>
        <v/>
      </c>
      <c r="C53" s="3">
        <f>ROUND('12 Miscellaneous Calculations'!C10,0)</f>
        <v/>
      </c>
      <c r="D53" s="3">
        <f>ROUND('12 Miscellaneous Calculations'!D10,0)</f>
        <v/>
      </c>
      <c r="E53" s="3">
        <f>ROUND('12 Miscellaneous Calculations'!E10,0)</f>
        <v/>
      </c>
      <c r="F53" s="3">
        <f>ROUND('12 Miscellaneous Calculations'!F10,0)</f>
        <v/>
      </c>
      <c r="G53" s="3">
        <f>ROUND('12 Miscellaneous Calculations'!G10,0)</f>
        <v/>
      </c>
      <c r="H53" s="3">
        <f>ROUND('12 Miscellaneous Calculations'!H10,0)</f>
        <v/>
      </c>
      <c r="I53" s="3">
        <f>ROUND('12 Miscellaneous Calculations'!I10,0)</f>
        <v/>
      </c>
      <c r="J53" s="3">
        <f>ROUND('12 Miscellaneous Calculations'!J10,0)</f>
        <v/>
      </c>
      <c r="K53" s="3">
        <f>ROUND('12 Miscellaneous Calculations'!K10,0)</f>
        <v/>
      </c>
      <c r="L53" s="3">
        <f>ROUND('12 Miscellaneous Calculations'!L10,0)</f>
        <v/>
      </c>
      <c r="M53" s="3">
        <f>ROUND('12 Miscellaneous Calculations'!M10,0)</f>
        <v/>
      </c>
      <c r="N53" s="3">
        <f>ROUND('12 Miscellaneous Calculations'!N10,0)</f>
        <v/>
      </c>
      <c r="O53" s="3">
        <f>ROUND('12 Miscellaneous Calculations'!O10,0)</f>
        <v/>
      </c>
      <c r="P53" s="3">
        <f>ROUND('12 Miscellaneous Calculations'!P10,0)</f>
        <v/>
      </c>
      <c r="Q53" s="3">
        <f>ROUND('12 Miscellaneous Calculations'!Q10,0)</f>
        <v/>
      </c>
      <c r="R53" s="157">
        <f>ROUND('12 Miscellaneous Calculations'!R10,0)</f>
        <v/>
      </c>
    </row>
    <row r="54" ht="14.25" customHeight="1" s="267">
      <c r="A54" s="4" t="inlineStr">
        <is>
          <t>Commercial</t>
        </is>
      </c>
      <c r="B54" s="18">
        <f>ROUND('12 Miscellaneous Calculations'!B11,0)</f>
        <v/>
      </c>
      <c r="C54" s="20">
        <f>ROUND('12 Miscellaneous Calculations'!C11,0)</f>
        <v/>
      </c>
      <c r="D54" s="20">
        <f>ROUND('12 Miscellaneous Calculations'!D11,0)</f>
        <v/>
      </c>
      <c r="E54" s="20">
        <f>ROUND('12 Miscellaneous Calculations'!E11,0)</f>
        <v/>
      </c>
      <c r="F54" s="20">
        <f>ROUND('12 Miscellaneous Calculations'!F11,0)</f>
        <v/>
      </c>
      <c r="G54" s="20">
        <f>ROUND('12 Miscellaneous Calculations'!G11,0)</f>
        <v/>
      </c>
      <c r="H54" s="20">
        <f>ROUND('12 Miscellaneous Calculations'!H11,0)</f>
        <v/>
      </c>
      <c r="I54" s="20">
        <f>ROUND('12 Miscellaneous Calculations'!I11,0)</f>
        <v/>
      </c>
      <c r="J54" s="20">
        <f>ROUND('12 Miscellaneous Calculations'!J11,0)</f>
        <v/>
      </c>
      <c r="K54" s="20">
        <f>ROUND('12 Miscellaneous Calculations'!K11,0)</f>
        <v/>
      </c>
      <c r="L54" s="20">
        <f>ROUND('12 Miscellaneous Calculations'!L11,0)</f>
        <v/>
      </c>
      <c r="M54" s="20">
        <f>ROUND('12 Miscellaneous Calculations'!M11,0)</f>
        <v/>
      </c>
      <c r="N54" s="20">
        <f>ROUND('12 Miscellaneous Calculations'!N11,0)</f>
        <v/>
      </c>
      <c r="O54" s="20">
        <f>ROUND('12 Miscellaneous Calculations'!O11,0)</f>
        <v/>
      </c>
      <c r="P54" s="20">
        <f>ROUND('12 Miscellaneous Calculations'!P11,0)</f>
        <v/>
      </c>
      <c r="Q54" s="20">
        <f>ROUND('12 Miscellaneous Calculations'!Q11,0)</f>
        <v/>
      </c>
      <c r="R54" s="162">
        <f>ROUND('12 Miscellaneous Calculations'!R11,0)</f>
        <v/>
      </c>
    </row>
    <row r="55" ht="14.25" customHeight="1" s="267">
      <c r="A55" s="4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 ht="14.25" customHeight="1" s="267">
      <c r="A56" s="25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 ht="14.25" customHeight="1" s="267">
      <c r="A57" s="4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  <row r="58" ht="14.25" customHeight="1" s="267">
      <c r="A58" s="4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</row>
    <row r="59" ht="14.25" customHeight="1" s="267">
      <c r="A59" s="4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</row>
    <row r="60" ht="14.25" customHeight="1" s="267">
      <c r="A60" s="4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</row>
    <row r="61" ht="14.25" customHeight="1" s="267">
      <c r="A61" s="4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</row>
    <row r="62" ht="14.25" customHeight="1" s="267">
      <c r="A62" s="4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</row>
    <row r="63" ht="14.25" customHeight="1" s="267">
      <c r="A63" s="4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</row>
    <row r="64" ht="14.25" customHeight="1" s="267">
      <c r="A64" s="4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</row>
    <row r="65" ht="14.25" customHeight="1" s="267">
      <c r="A65" s="4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</row>
    <row r="66" ht="14.25" customHeight="1" s="267">
      <c r="A66" s="4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</row>
    <row r="67" ht="14.25" customHeight="1" s="267">
      <c r="A67" s="4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</row>
    <row r="68" ht="14.25" customHeight="1" s="267">
      <c r="A68" s="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</row>
    <row r="69" ht="14.25" customHeight="1" s="267">
      <c r="A69" s="4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</row>
    <row r="70" ht="14.25" customHeight="1" s="267">
      <c r="A70" s="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</row>
    <row r="71" ht="14.25" customHeight="1" s="267">
      <c r="A71" s="4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 ht="14.25" customHeight="1" s="267">
      <c r="A72" s="4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</row>
    <row r="73" ht="14.25" customHeight="1" s="267">
      <c r="A73" s="4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</row>
    <row r="74" ht="14.25" customHeight="1" s="267">
      <c r="A74" s="4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</row>
    <row r="75" ht="14.25" customHeight="1" s="267">
      <c r="A75" s="4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</row>
    <row r="76" ht="14.25" customHeight="1" s="267">
      <c r="A76" s="4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 ht="14.25" customHeight="1" s="267">
      <c r="A77" s="4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</row>
    <row r="78" ht="14.25" customHeight="1" s="267">
      <c r="A78" s="4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</row>
    <row r="79" ht="14.25" customHeight="1" s="267">
      <c r="A79" s="4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 ht="14.25" customHeight="1" s="267">
      <c r="A80" s="4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</row>
    <row r="81" ht="14.25" customHeight="1" s="267">
      <c r="A81" s="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 ht="14.25" customHeight="1" s="267">
      <c r="A82" s="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 ht="14.25" customHeight="1" s="267">
      <c r="A84" s="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</row>
    <row r="85" ht="14.25" customHeight="1" s="267">
      <c r="A85" s="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</row>
    <row r="86" ht="14.25" customHeight="1" s="267">
      <c r="A86" s="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</row>
    <row r="87" ht="14.25" customHeight="1" s="267">
      <c r="A87" s="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</row>
    <row r="88" ht="14.25" customHeight="1" s="267">
      <c r="A88" s="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</row>
    <row r="89" ht="14.25" customHeight="1" s="267">
      <c r="A89" s="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</row>
    <row r="90" ht="14.25" customHeight="1" s="267">
      <c r="A90" s="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</row>
    <row r="91" ht="14.25" customHeight="1" s="267">
      <c r="A91" s="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  <row r="92" ht="14.25" customHeight="1" s="267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</row>
    <row r="93" ht="14.25" customHeight="1" s="267">
      <c r="A93" s="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</row>
    <row r="94" ht="14.25" customHeight="1" s="267">
      <c r="A94" s="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</row>
    <row r="95" ht="14.25" customHeight="1" s="267">
      <c r="A95" s="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</row>
    <row r="97" ht="14.25" customHeight="1" s="267">
      <c r="A97" s="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</row>
    <row r="98" ht="14.25" customHeight="1" s="267">
      <c r="A98" s="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</row>
    <row r="99" ht="14.25" customHeight="1" s="267">
      <c r="A99" s="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</row>
    <row r="100" ht="14.25" customHeight="1" s="267">
      <c r="A100" s="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</row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" customHeight="1"/>
  <cols>
    <col width="31.83203125" customWidth="1" style="267" min="1" max="1"/>
    <col width="11.5" customWidth="1" style="267" min="2" max="18"/>
    <col width="9.1640625" customWidth="1" style="267" min="19" max="19"/>
  </cols>
  <sheetData>
    <row r="1" ht="14.25" customHeight="1" s="267">
      <c r="A1" s="4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4" t="n"/>
    </row>
    <row r="2" ht="14.25" customHeight="1" s="267">
      <c r="A2" s="4" t="n"/>
      <c r="B2" s="3">
        <f>'1 Season'!B6</f>
        <v/>
      </c>
      <c r="C2" s="3">
        <f>'1 Season'!B7</f>
        <v/>
      </c>
      <c r="D2" s="3">
        <f>'1 Season'!B8</f>
        <v/>
      </c>
      <c r="E2" s="3">
        <f>'1 Season'!B9</f>
        <v/>
      </c>
      <c r="F2" s="3">
        <f>'1 Season'!B10</f>
        <v/>
      </c>
      <c r="G2" s="3">
        <f>'1 Season'!B11</f>
        <v/>
      </c>
      <c r="H2" s="3">
        <f>'1 Season'!B12</f>
        <v/>
      </c>
      <c r="I2" s="3">
        <f>'1 Season'!B13</f>
        <v/>
      </c>
      <c r="J2" s="3">
        <f>'1 Season'!B14</f>
        <v/>
      </c>
      <c r="K2" s="3">
        <f>'1 Season'!B15</f>
        <v/>
      </c>
      <c r="L2" s="3">
        <f>'1 Season'!B16</f>
        <v/>
      </c>
      <c r="M2" s="3">
        <f>'1 Season'!B17</f>
        <v/>
      </c>
      <c r="N2" s="3">
        <f>'1 Season'!B18</f>
        <v/>
      </c>
      <c r="O2" s="3">
        <f>'1 Season'!B19</f>
        <v/>
      </c>
      <c r="P2" s="3">
        <f>'1 Season'!B20</f>
        <v/>
      </c>
      <c r="Q2" s="3">
        <f>'1 Season'!B21</f>
        <v/>
      </c>
      <c r="R2" s="3">
        <f>'1 Season'!B22</f>
        <v/>
      </c>
      <c r="S2" s="4" t="n"/>
    </row>
    <row r="3" ht="14.25" customHeight="1" s="267">
      <c r="A3" s="4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4" t="n"/>
    </row>
    <row r="4" ht="14.25" customHeight="1" s="267">
      <c r="A4" s="25" t="inlineStr">
        <is>
          <t>Action</t>
        </is>
      </c>
      <c r="B4" s="226" t="n"/>
      <c r="C4" s="227" t="n"/>
      <c r="D4" s="227" t="n"/>
      <c r="E4" s="227" t="n"/>
      <c r="F4" s="227" t="n"/>
      <c r="G4" s="227" t="n"/>
      <c r="H4" s="227" t="n"/>
      <c r="I4" s="227" t="n"/>
      <c r="J4" s="227" t="n"/>
      <c r="K4" s="227" t="n"/>
      <c r="L4" s="227" t="n"/>
      <c r="M4" s="227" t="n"/>
      <c r="N4" s="227" t="n"/>
      <c r="O4" s="227" t="n"/>
      <c r="P4" s="227" t="n"/>
      <c r="Q4" s="227" t="n"/>
      <c r="R4" s="228" t="n"/>
      <c r="S4" s="4" t="n"/>
    </row>
    <row r="5" ht="14.25" customHeight="1" s="267">
      <c r="A5" s="4" t="inlineStr">
        <is>
          <t>Chassis</t>
        </is>
      </c>
      <c r="B5" s="13">
        <f>IF('6 Wear Planner'!C34="","",'6 Wear Planner'!C34)</f>
        <v/>
      </c>
      <c r="C5" s="3">
        <f>IF('6 Wear Planner'!D34="","",'6 Wear Planner'!D34)</f>
        <v/>
      </c>
      <c r="D5" s="3">
        <f>IF('6 Wear Planner'!E34="","",'6 Wear Planner'!E34)</f>
        <v/>
      </c>
      <c r="E5" s="3">
        <f>IF('6 Wear Planner'!F34="","",'6 Wear Planner'!F34)</f>
        <v/>
      </c>
      <c r="F5" s="3">
        <f>IF('6 Wear Planner'!G34="","",'6 Wear Planner'!G34)</f>
        <v/>
      </c>
      <c r="G5" s="3">
        <f>IF('6 Wear Planner'!H34="","",'6 Wear Planner'!H34)</f>
        <v/>
      </c>
      <c r="H5" s="3">
        <f>IF('6 Wear Planner'!I34="","",'6 Wear Planner'!I34)</f>
        <v/>
      </c>
      <c r="I5" s="3">
        <f>IF('6 Wear Planner'!J34="","",'6 Wear Planner'!J34)</f>
        <v/>
      </c>
      <c r="J5" s="3">
        <f>IF('6 Wear Planner'!K34="","",'6 Wear Planner'!K34)</f>
        <v/>
      </c>
      <c r="K5" s="3">
        <f>IF('6 Wear Planner'!L34="","",'6 Wear Planner'!L34)</f>
        <v/>
      </c>
      <c r="L5" s="3">
        <f>IF('6 Wear Planner'!M34="","",'6 Wear Planner'!M34)</f>
        <v/>
      </c>
      <c r="M5" s="3">
        <f>IF('6 Wear Planner'!N34="","",'6 Wear Planner'!N34)</f>
        <v/>
      </c>
      <c r="N5" s="3">
        <f>IF('6 Wear Planner'!O34="","",'6 Wear Planner'!O34)</f>
        <v/>
      </c>
      <c r="O5" s="3">
        <f>IF('6 Wear Planner'!P34="","",'6 Wear Planner'!P34)</f>
        <v/>
      </c>
      <c r="P5" s="3">
        <f>IF('6 Wear Planner'!Q34="","",'6 Wear Planner'!Q34)</f>
        <v/>
      </c>
      <c r="Q5" s="3">
        <f>IF('6 Wear Planner'!R34="","",'6 Wear Planner'!R34)</f>
        <v/>
      </c>
      <c r="R5" s="157">
        <f>IF('6 Wear Planner'!S34="","",'6 Wear Planner'!S34)</f>
        <v/>
      </c>
      <c r="S5" s="4" t="n"/>
    </row>
    <row r="6" ht="14.25" customHeight="1" s="267">
      <c r="A6" s="4" t="inlineStr">
        <is>
          <t>Engine</t>
        </is>
      </c>
      <c r="B6" s="13">
        <f>IF('6 Wear Planner'!C35="","",'6 Wear Planner'!C35)</f>
        <v/>
      </c>
      <c r="C6" s="3">
        <f>IF('6 Wear Planner'!D35="","",'6 Wear Planner'!D35)</f>
        <v/>
      </c>
      <c r="D6" s="3">
        <f>IF('6 Wear Planner'!E35="","",'6 Wear Planner'!E35)</f>
        <v/>
      </c>
      <c r="E6" s="3">
        <f>IF('6 Wear Planner'!F35="","",'6 Wear Planner'!F35)</f>
        <v/>
      </c>
      <c r="F6" s="3">
        <f>IF('6 Wear Planner'!G35="","",'6 Wear Planner'!G35)</f>
        <v/>
      </c>
      <c r="G6" s="3">
        <f>IF('6 Wear Planner'!H35="","",'6 Wear Planner'!H35)</f>
        <v/>
      </c>
      <c r="H6" s="3">
        <f>IF('6 Wear Planner'!I35="","",'6 Wear Planner'!I35)</f>
        <v/>
      </c>
      <c r="I6" s="3">
        <f>IF('6 Wear Planner'!J35="","",'6 Wear Planner'!J35)</f>
        <v/>
      </c>
      <c r="J6" s="3">
        <f>IF('6 Wear Planner'!K35="","",'6 Wear Planner'!K35)</f>
        <v/>
      </c>
      <c r="K6" s="3">
        <f>IF('6 Wear Planner'!L35="","",'6 Wear Planner'!L35)</f>
        <v/>
      </c>
      <c r="L6" s="3">
        <f>IF('6 Wear Planner'!M35="","",'6 Wear Planner'!M35)</f>
        <v/>
      </c>
      <c r="M6" s="3">
        <f>IF('6 Wear Planner'!N35="","",'6 Wear Planner'!N35)</f>
        <v/>
      </c>
      <c r="N6" s="3">
        <f>IF('6 Wear Planner'!O35="","",'6 Wear Planner'!O35)</f>
        <v/>
      </c>
      <c r="O6" s="3">
        <f>IF('6 Wear Planner'!P35="","",'6 Wear Planner'!P35)</f>
        <v/>
      </c>
      <c r="P6" s="3">
        <f>IF('6 Wear Planner'!Q35="","",'6 Wear Planner'!Q35)</f>
        <v/>
      </c>
      <c r="Q6" s="3">
        <f>IF('6 Wear Planner'!R35="","",'6 Wear Planner'!R35)</f>
        <v/>
      </c>
      <c r="R6" s="157">
        <f>IF('6 Wear Planner'!S35="","",'6 Wear Planner'!S35)</f>
        <v/>
      </c>
      <c r="S6" s="4" t="n"/>
    </row>
    <row r="7" ht="14.25" customHeight="1" s="267">
      <c r="A7" s="4" t="inlineStr">
        <is>
          <t>Front Wing</t>
        </is>
      </c>
      <c r="B7" s="13">
        <f>IF('6 Wear Planner'!C36="","",'6 Wear Planner'!C36)</f>
        <v/>
      </c>
      <c r="C7" s="3">
        <f>IF('6 Wear Planner'!D36="","",'6 Wear Planner'!D36)</f>
        <v/>
      </c>
      <c r="D7" s="3">
        <f>IF('6 Wear Planner'!E36="","",'6 Wear Planner'!E36)</f>
        <v/>
      </c>
      <c r="E7" s="3">
        <f>IF('6 Wear Planner'!F36="","",'6 Wear Planner'!F36)</f>
        <v/>
      </c>
      <c r="F7" s="3">
        <f>IF('6 Wear Planner'!G36="","",'6 Wear Planner'!G36)</f>
        <v/>
      </c>
      <c r="G7" s="3">
        <f>IF('6 Wear Planner'!H36="","",'6 Wear Planner'!H36)</f>
        <v/>
      </c>
      <c r="H7" s="3">
        <f>IF('6 Wear Planner'!I36="","",'6 Wear Planner'!I36)</f>
        <v/>
      </c>
      <c r="I7" s="3">
        <f>IF('6 Wear Planner'!J36="","",'6 Wear Planner'!J36)</f>
        <v/>
      </c>
      <c r="J7" s="3">
        <f>IF('6 Wear Planner'!K36="","",'6 Wear Planner'!K36)</f>
        <v/>
      </c>
      <c r="K7" s="3">
        <f>IF('6 Wear Planner'!L36="","",'6 Wear Planner'!L36)</f>
        <v/>
      </c>
      <c r="L7" s="3">
        <f>IF('6 Wear Planner'!M36="","",'6 Wear Planner'!M36)</f>
        <v/>
      </c>
      <c r="M7" s="3">
        <f>IF('6 Wear Planner'!N36="","",'6 Wear Planner'!N36)</f>
        <v/>
      </c>
      <c r="N7" s="3">
        <f>IF('6 Wear Planner'!O36="","",'6 Wear Planner'!O36)</f>
        <v/>
      </c>
      <c r="O7" s="3">
        <f>IF('6 Wear Planner'!P36="","",'6 Wear Planner'!P36)</f>
        <v/>
      </c>
      <c r="P7" s="3">
        <f>IF('6 Wear Planner'!Q36="","",'6 Wear Planner'!Q36)</f>
        <v/>
      </c>
      <c r="Q7" s="3">
        <f>IF('6 Wear Planner'!R36="","",'6 Wear Planner'!R36)</f>
        <v/>
      </c>
      <c r="R7" s="157">
        <f>IF('6 Wear Planner'!S36="","",'6 Wear Planner'!S36)</f>
        <v/>
      </c>
      <c r="S7" s="4" t="n"/>
    </row>
    <row r="8" ht="14.25" customHeight="1" s="267">
      <c r="A8" s="4" t="inlineStr">
        <is>
          <t>Rear Wing</t>
        </is>
      </c>
      <c r="B8" s="13">
        <f>IF('6 Wear Planner'!C37="","",'6 Wear Planner'!C37)</f>
        <v/>
      </c>
      <c r="C8" s="3">
        <f>IF('6 Wear Planner'!D37="","",'6 Wear Planner'!D37)</f>
        <v/>
      </c>
      <c r="D8" s="3">
        <f>IF('6 Wear Planner'!E37="","",'6 Wear Planner'!E37)</f>
        <v/>
      </c>
      <c r="E8" s="3">
        <f>IF('6 Wear Planner'!F37="","",'6 Wear Planner'!F37)</f>
        <v/>
      </c>
      <c r="F8" s="3">
        <f>IF('6 Wear Planner'!G37="","",'6 Wear Planner'!G37)</f>
        <v/>
      </c>
      <c r="G8" s="3">
        <f>IF('6 Wear Planner'!H37="","",'6 Wear Planner'!H37)</f>
        <v/>
      </c>
      <c r="H8" s="3">
        <f>IF('6 Wear Planner'!I37="","",'6 Wear Planner'!I37)</f>
        <v/>
      </c>
      <c r="I8" s="3">
        <f>IF('6 Wear Planner'!J37="","",'6 Wear Planner'!J37)</f>
        <v/>
      </c>
      <c r="J8" s="3">
        <f>IF('6 Wear Planner'!K37="","",'6 Wear Planner'!K37)</f>
        <v/>
      </c>
      <c r="K8" s="3">
        <f>IF('6 Wear Planner'!L37="","",'6 Wear Planner'!L37)</f>
        <v/>
      </c>
      <c r="L8" s="3">
        <f>IF('6 Wear Planner'!M37="","",'6 Wear Planner'!M37)</f>
        <v/>
      </c>
      <c r="M8" s="3">
        <f>IF('6 Wear Planner'!N37="","",'6 Wear Planner'!N37)</f>
        <v/>
      </c>
      <c r="N8" s="3">
        <f>IF('6 Wear Planner'!O37="","",'6 Wear Planner'!O37)</f>
        <v/>
      </c>
      <c r="O8" s="3">
        <f>IF('6 Wear Planner'!P37="","",'6 Wear Planner'!P37)</f>
        <v/>
      </c>
      <c r="P8" s="3">
        <f>IF('6 Wear Planner'!Q37="","",'6 Wear Planner'!Q37)</f>
        <v/>
      </c>
      <c r="Q8" s="3">
        <f>IF('6 Wear Planner'!R37="","",'6 Wear Planner'!R37)</f>
        <v/>
      </c>
      <c r="R8" s="157">
        <f>IF('6 Wear Planner'!S37="","",'6 Wear Planner'!S37)</f>
        <v/>
      </c>
      <c r="S8" s="4" t="n"/>
    </row>
    <row r="9" ht="14.25" customHeight="1" s="267">
      <c r="A9" s="4" t="inlineStr">
        <is>
          <t>Underbody</t>
        </is>
      </c>
      <c r="B9" s="13">
        <f>IF('6 Wear Planner'!C38="","",'6 Wear Planner'!C38)</f>
        <v/>
      </c>
      <c r="C9" s="3">
        <f>IF('6 Wear Planner'!D38="","",'6 Wear Planner'!D38)</f>
        <v/>
      </c>
      <c r="D9" s="3">
        <f>IF('6 Wear Planner'!E38="","",'6 Wear Planner'!E38)</f>
        <v/>
      </c>
      <c r="E9" s="3">
        <f>IF('6 Wear Planner'!F38="","",'6 Wear Planner'!F38)</f>
        <v/>
      </c>
      <c r="F9" s="3">
        <f>IF('6 Wear Planner'!G38="","",'6 Wear Planner'!G38)</f>
        <v/>
      </c>
      <c r="G9" s="3">
        <f>IF('6 Wear Planner'!H38="","",'6 Wear Planner'!H38)</f>
        <v/>
      </c>
      <c r="H9" s="3">
        <f>IF('6 Wear Planner'!I38="","",'6 Wear Planner'!I38)</f>
        <v/>
      </c>
      <c r="I9" s="3">
        <f>IF('6 Wear Planner'!J38="","",'6 Wear Planner'!J38)</f>
        <v/>
      </c>
      <c r="J9" s="3">
        <f>IF('6 Wear Planner'!K38="","",'6 Wear Planner'!K38)</f>
        <v/>
      </c>
      <c r="K9" s="3">
        <f>IF('6 Wear Planner'!L38="","",'6 Wear Planner'!L38)</f>
        <v/>
      </c>
      <c r="L9" s="3">
        <f>IF('6 Wear Planner'!M38="","",'6 Wear Planner'!M38)</f>
        <v/>
      </c>
      <c r="M9" s="3">
        <f>IF('6 Wear Planner'!N38="","",'6 Wear Planner'!N38)</f>
        <v/>
      </c>
      <c r="N9" s="3">
        <f>IF('6 Wear Planner'!O38="","",'6 Wear Planner'!O38)</f>
        <v/>
      </c>
      <c r="O9" s="3">
        <f>IF('6 Wear Planner'!P38="","",'6 Wear Planner'!P38)</f>
        <v/>
      </c>
      <c r="P9" s="3">
        <f>IF('6 Wear Planner'!Q38="","",'6 Wear Planner'!Q38)</f>
        <v/>
      </c>
      <c r="Q9" s="3">
        <f>IF('6 Wear Planner'!R38="","",'6 Wear Planner'!R38)</f>
        <v/>
      </c>
      <c r="R9" s="157">
        <f>IF('6 Wear Planner'!S38="","",'6 Wear Planner'!S38)</f>
        <v/>
      </c>
      <c r="S9" s="4" t="n"/>
    </row>
    <row r="10" ht="14.25" customHeight="1" s="267">
      <c r="A10" s="4" t="inlineStr">
        <is>
          <t>Sidepods</t>
        </is>
      </c>
      <c r="B10" s="13">
        <f>IF('6 Wear Planner'!C39="","",'6 Wear Planner'!C39)</f>
        <v/>
      </c>
      <c r="C10" s="3">
        <f>IF('6 Wear Planner'!D39="","",'6 Wear Planner'!D39)</f>
        <v/>
      </c>
      <c r="D10" s="3">
        <f>IF('6 Wear Planner'!E39="","",'6 Wear Planner'!E39)</f>
        <v/>
      </c>
      <c r="E10" s="3">
        <f>IF('6 Wear Planner'!F39="","",'6 Wear Planner'!F39)</f>
        <v/>
      </c>
      <c r="F10" s="3">
        <f>IF('6 Wear Planner'!G39="","",'6 Wear Planner'!G39)</f>
        <v/>
      </c>
      <c r="G10" s="3">
        <f>IF('6 Wear Planner'!H39="","",'6 Wear Planner'!H39)</f>
        <v/>
      </c>
      <c r="H10" s="3">
        <f>IF('6 Wear Planner'!I39="","",'6 Wear Planner'!I39)</f>
        <v/>
      </c>
      <c r="I10" s="3">
        <f>IF('6 Wear Planner'!J39="","",'6 Wear Planner'!J39)</f>
        <v/>
      </c>
      <c r="J10" s="3">
        <f>IF('6 Wear Planner'!K39="","",'6 Wear Planner'!K39)</f>
        <v/>
      </c>
      <c r="K10" s="3">
        <f>IF('6 Wear Planner'!L39="","",'6 Wear Planner'!L39)</f>
        <v/>
      </c>
      <c r="L10" s="3">
        <f>IF('6 Wear Planner'!M39="","",'6 Wear Planner'!M39)</f>
        <v/>
      </c>
      <c r="M10" s="3">
        <f>IF('6 Wear Planner'!N39="","",'6 Wear Planner'!N39)</f>
        <v/>
      </c>
      <c r="N10" s="3">
        <f>IF('6 Wear Planner'!O39="","",'6 Wear Planner'!O39)</f>
        <v/>
      </c>
      <c r="O10" s="3">
        <f>IF('6 Wear Planner'!P39="","",'6 Wear Planner'!P39)</f>
        <v/>
      </c>
      <c r="P10" s="3">
        <f>IF('6 Wear Planner'!Q39="","",'6 Wear Planner'!Q39)</f>
        <v/>
      </c>
      <c r="Q10" s="3">
        <f>IF('6 Wear Planner'!R39="","",'6 Wear Planner'!R39)</f>
        <v/>
      </c>
      <c r="R10" s="157">
        <f>IF('6 Wear Planner'!S39="","",'6 Wear Planner'!S39)</f>
        <v/>
      </c>
      <c r="S10" s="4" t="n"/>
    </row>
    <row r="11" ht="14.25" customHeight="1" s="267">
      <c r="A11" s="4" t="inlineStr">
        <is>
          <t>Cooling</t>
        </is>
      </c>
      <c r="B11" s="13">
        <f>IF('6 Wear Planner'!C40="","",'6 Wear Planner'!C40)</f>
        <v/>
      </c>
      <c r="C11" s="3">
        <f>IF('6 Wear Planner'!D40="","",'6 Wear Planner'!D40)</f>
        <v/>
      </c>
      <c r="D11" s="3">
        <f>IF('6 Wear Planner'!E40="","",'6 Wear Planner'!E40)</f>
        <v/>
      </c>
      <c r="E11" s="3">
        <f>IF('6 Wear Planner'!F40="","",'6 Wear Planner'!F40)</f>
        <v/>
      </c>
      <c r="F11" s="3">
        <f>IF('6 Wear Planner'!G40="","",'6 Wear Planner'!G40)</f>
        <v/>
      </c>
      <c r="G11" s="3">
        <f>IF('6 Wear Planner'!H40="","",'6 Wear Planner'!H40)</f>
        <v/>
      </c>
      <c r="H11" s="3">
        <f>IF('6 Wear Planner'!I40="","",'6 Wear Planner'!I40)</f>
        <v/>
      </c>
      <c r="I11" s="3">
        <f>IF('6 Wear Planner'!J40="","",'6 Wear Planner'!J40)</f>
        <v/>
      </c>
      <c r="J11" s="3">
        <f>IF('6 Wear Planner'!K40="","",'6 Wear Planner'!K40)</f>
        <v/>
      </c>
      <c r="K11" s="3">
        <f>IF('6 Wear Planner'!L40="","",'6 Wear Planner'!L40)</f>
        <v/>
      </c>
      <c r="L11" s="3">
        <f>IF('6 Wear Planner'!M40="","",'6 Wear Planner'!M40)</f>
        <v/>
      </c>
      <c r="M11" s="3">
        <f>IF('6 Wear Planner'!N40="","",'6 Wear Planner'!N40)</f>
        <v/>
      </c>
      <c r="N11" s="3">
        <f>IF('6 Wear Planner'!O40="","",'6 Wear Planner'!O40)</f>
        <v/>
      </c>
      <c r="O11" s="3">
        <f>IF('6 Wear Planner'!P40="","",'6 Wear Planner'!P40)</f>
        <v/>
      </c>
      <c r="P11" s="3">
        <f>IF('6 Wear Planner'!Q40="","",'6 Wear Planner'!Q40)</f>
        <v/>
      </c>
      <c r="Q11" s="3">
        <f>IF('6 Wear Planner'!R40="","",'6 Wear Planner'!R40)</f>
        <v/>
      </c>
      <c r="R11" s="157">
        <f>IF('6 Wear Planner'!S40="","",'6 Wear Planner'!S40)</f>
        <v/>
      </c>
      <c r="S11" s="4" t="n"/>
    </row>
    <row r="12" ht="14.25" customHeight="1" s="267">
      <c r="A12" s="4" t="inlineStr">
        <is>
          <t>Gearbox</t>
        </is>
      </c>
      <c r="B12" s="13">
        <f>IF('6 Wear Planner'!C41="","",'6 Wear Planner'!C41)</f>
        <v/>
      </c>
      <c r="C12" s="3">
        <f>IF('6 Wear Planner'!D41="","",'6 Wear Planner'!D41)</f>
        <v/>
      </c>
      <c r="D12" s="3">
        <f>IF('6 Wear Planner'!E41="","",'6 Wear Planner'!E41)</f>
        <v/>
      </c>
      <c r="E12" s="3">
        <f>IF('6 Wear Planner'!F41="","",'6 Wear Planner'!F41)</f>
        <v/>
      </c>
      <c r="F12" s="3">
        <f>IF('6 Wear Planner'!G41="","",'6 Wear Planner'!G41)</f>
        <v/>
      </c>
      <c r="G12" s="3">
        <f>IF('6 Wear Planner'!H41="","",'6 Wear Planner'!H41)</f>
        <v/>
      </c>
      <c r="H12" s="3">
        <f>IF('6 Wear Planner'!I41="","",'6 Wear Planner'!I41)</f>
        <v/>
      </c>
      <c r="I12" s="3">
        <f>IF('6 Wear Planner'!J41="","",'6 Wear Planner'!J41)</f>
        <v/>
      </c>
      <c r="J12" s="3">
        <f>IF('6 Wear Planner'!K41="","",'6 Wear Planner'!K41)</f>
        <v/>
      </c>
      <c r="K12" s="3">
        <f>IF('6 Wear Planner'!L41="","",'6 Wear Planner'!L41)</f>
        <v/>
      </c>
      <c r="L12" s="3">
        <f>IF('6 Wear Planner'!M41="","",'6 Wear Planner'!M41)</f>
        <v/>
      </c>
      <c r="M12" s="3">
        <f>IF('6 Wear Planner'!N41="","",'6 Wear Planner'!N41)</f>
        <v/>
      </c>
      <c r="N12" s="3">
        <f>IF('6 Wear Planner'!O41="","",'6 Wear Planner'!O41)</f>
        <v/>
      </c>
      <c r="O12" s="3">
        <f>IF('6 Wear Planner'!P41="","",'6 Wear Planner'!P41)</f>
        <v/>
      </c>
      <c r="P12" s="3">
        <f>IF('6 Wear Planner'!Q41="","",'6 Wear Planner'!Q41)</f>
        <v/>
      </c>
      <c r="Q12" s="3">
        <f>IF('6 Wear Planner'!R41="","",'6 Wear Planner'!R41)</f>
        <v/>
      </c>
      <c r="R12" s="157">
        <f>IF('6 Wear Planner'!S41="","",'6 Wear Planner'!S41)</f>
        <v/>
      </c>
      <c r="S12" s="4" t="n"/>
    </row>
    <row r="13" ht="14.25" customHeight="1" s="267">
      <c r="A13" s="4" t="inlineStr">
        <is>
          <t>Brakes</t>
        </is>
      </c>
      <c r="B13" s="13">
        <f>IF('6 Wear Planner'!C42="","",'6 Wear Planner'!C42)</f>
        <v/>
      </c>
      <c r="C13" s="3">
        <f>IF('6 Wear Planner'!D42="","",'6 Wear Planner'!D42)</f>
        <v/>
      </c>
      <c r="D13" s="3">
        <f>IF('6 Wear Planner'!E42="","",'6 Wear Planner'!E42)</f>
        <v/>
      </c>
      <c r="E13" s="3">
        <f>IF('6 Wear Planner'!F42="","",'6 Wear Planner'!F42)</f>
        <v/>
      </c>
      <c r="F13" s="3">
        <f>IF('6 Wear Planner'!G42="","",'6 Wear Planner'!G42)</f>
        <v/>
      </c>
      <c r="G13" s="3">
        <f>IF('6 Wear Planner'!H42="","",'6 Wear Planner'!H42)</f>
        <v/>
      </c>
      <c r="H13" s="3">
        <f>IF('6 Wear Planner'!I42="","",'6 Wear Planner'!I42)</f>
        <v/>
      </c>
      <c r="I13" s="3">
        <f>IF('6 Wear Planner'!J42="","",'6 Wear Planner'!J42)</f>
        <v/>
      </c>
      <c r="J13" s="3">
        <f>IF('6 Wear Planner'!K42="","",'6 Wear Planner'!K42)</f>
        <v/>
      </c>
      <c r="K13" s="3">
        <f>IF('6 Wear Planner'!L42="","",'6 Wear Planner'!L42)</f>
        <v/>
      </c>
      <c r="L13" s="3">
        <f>IF('6 Wear Planner'!M42="","",'6 Wear Planner'!M42)</f>
        <v/>
      </c>
      <c r="M13" s="3">
        <f>IF('6 Wear Planner'!N42="","",'6 Wear Planner'!N42)</f>
        <v/>
      </c>
      <c r="N13" s="3">
        <f>IF('6 Wear Planner'!O42="","",'6 Wear Planner'!O42)</f>
        <v/>
      </c>
      <c r="O13" s="3">
        <f>IF('6 Wear Planner'!P42="","",'6 Wear Planner'!P42)</f>
        <v/>
      </c>
      <c r="P13" s="3">
        <f>IF('6 Wear Planner'!Q42="","",'6 Wear Planner'!Q42)</f>
        <v/>
      </c>
      <c r="Q13" s="3">
        <f>IF('6 Wear Planner'!R42="","",'6 Wear Planner'!R42)</f>
        <v/>
      </c>
      <c r="R13" s="157">
        <f>IF('6 Wear Planner'!S42="","",'6 Wear Planner'!S42)</f>
        <v/>
      </c>
      <c r="S13" s="4" t="n"/>
    </row>
    <row r="14" ht="14.25" customHeight="1" s="267">
      <c r="A14" s="4" t="inlineStr">
        <is>
          <t>Suspension</t>
        </is>
      </c>
      <c r="B14" s="13">
        <f>IF('6 Wear Planner'!C43="","",'6 Wear Planner'!C43)</f>
        <v/>
      </c>
      <c r="C14" s="3">
        <f>IF('6 Wear Planner'!D43="","",'6 Wear Planner'!D43)</f>
        <v/>
      </c>
      <c r="D14" s="3">
        <f>IF('6 Wear Planner'!E43="","",'6 Wear Planner'!E43)</f>
        <v/>
      </c>
      <c r="E14" s="3">
        <f>IF('6 Wear Planner'!F43="","",'6 Wear Planner'!F43)</f>
        <v/>
      </c>
      <c r="F14" s="3">
        <f>IF('6 Wear Planner'!G43="","",'6 Wear Planner'!G43)</f>
        <v/>
      </c>
      <c r="G14" s="3">
        <f>IF('6 Wear Planner'!H43="","",'6 Wear Planner'!H43)</f>
        <v/>
      </c>
      <c r="H14" s="3">
        <f>IF('6 Wear Planner'!I43="","",'6 Wear Planner'!I43)</f>
        <v/>
      </c>
      <c r="I14" s="3">
        <f>IF('6 Wear Planner'!J43="","",'6 Wear Planner'!J43)</f>
        <v/>
      </c>
      <c r="J14" s="3">
        <f>IF('6 Wear Planner'!K43="","",'6 Wear Planner'!K43)</f>
        <v/>
      </c>
      <c r="K14" s="3">
        <f>IF('6 Wear Planner'!L43="","",'6 Wear Planner'!L43)</f>
        <v/>
      </c>
      <c r="L14" s="3">
        <f>IF('6 Wear Planner'!M43="","",'6 Wear Planner'!M43)</f>
        <v/>
      </c>
      <c r="M14" s="3">
        <f>IF('6 Wear Planner'!N43="","",'6 Wear Planner'!N43)</f>
        <v/>
      </c>
      <c r="N14" s="3">
        <f>IF('6 Wear Planner'!O43="","",'6 Wear Planner'!O43)</f>
        <v/>
      </c>
      <c r="O14" s="3">
        <f>IF('6 Wear Planner'!P43="","",'6 Wear Planner'!P43)</f>
        <v/>
      </c>
      <c r="P14" s="3">
        <f>IF('6 Wear Planner'!Q43="","",'6 Wear Planner'!Q43)</f>
        <v/>
      </c>
      <c r="Q14" s="3">
        <f>IF('6 Wear Planner'!R43="","",'6 Wear Planner'!R43)</f>
        <v/>
      </c>
      <c r="R14" s="157">
        <f>IF('6 Wear Planner'!S43="","",'6 Wear Planner'!S43)</f>
        <v/>
      </c>
      <c r="S14" s="4" t="n"/>
    </row>
    <row r="15" ht="14.25" customHeight="1" s="267">
      <c r="A15" s="4" t="inlineStr">
        <is>
          <t>Electronics</t>
        </is>
      </c>
      <c r="B15" s="18">
        <f>IF('6 Wear Planner'!C44="","",'6 Wear Planner'!C44)</f>
        <v/>
      </c>
      <c r="C15" s="20">
        <f>IF('6 Wear Planner'!D44="","",'6 Wear Planner'!D44)</f>
        <v/>
      </c>
      <c r="D15" s="20">
        <f>IF('6 Wear Planner'!E44="","",'6 Wear Planner'!E44)</f>
        <v/>
      </c>
      <c r="E15" s="20">
        <f>IF('6 Wear Planner'!F44="","",'6 Wear Planner'!F44)</f>
        <v/>
      </c>
      <c r="F15" s="20">
        <f>IF('6 Wear Planner'!G44="","",'6 Wear Planner'!G44)</f>
        <v/>
      </c>
      <c r="G15" s="20">
        <f>IF('6 Wear Planner'!H44="","",'6 Wear Planner'!H44)</f>
        <v/>
      </c>
      <c r="H15" s="20">
        <f>IF('6 Wear Planner'!I44="","",'6 Wear Planner'!I44)</f>
        <v/>
      </c>
      <c r="I15" s="20">
        <f>IF('6 Wear Planner'!J44="","",'6 Wear Planner'!J44)</f>
        <v/>
      </c>
      <c r="J15" s="20">
        <f>IF('6 Wear Planner'!K44="","",'6 Wear Planner'!K44)</f>
        <v/>
      </c>
      <c r="K15" s="20">
        <f>IF('6 Wear Planner'!L44="","",'6 Wear Planner'!L44)</f>
        <v/>
      </c>
      <c r="L15" s="20">
        <f>IF('6 Wear Planner'!M44="","",'6 Wear Planner'!M44)</f>
        <v/>
      </c>
      <c r="M15" s="20">
        <f>IF('6 Wear Planner'!N44="","",'6 Wear Planner'!N44)</f>
        <v/>
      </c>
      <c r="N15" s="20">
        <f>IF('6 Wear Planner'!O44="","",'6 Wear Planner'!O44)</f>
        <v/>
      </c>
      <c r="O15" s="20">
        <f>IF('6 Wear Planner'!P44="","",'6 Wear Planner'!P44)</f>
        <v/>
      </c>
      <c r="P15" s="20">
        <f>IF('6 Wear Planner'!Q44="","",'6 Wear Planner'!Q44)</f>
        <v/>
      </c>
      <c r="Q15" s="20">
        <f>IF('6 Wear Planner'!R44="","",'6 Wear Planner'!R44)</f>
        <v/>
      </c>
      <c r="R15" s="162">
        <f>IF('6 Wear Planner'!S44="","",'6 Wear Planner'!S44)</f>
        <v/>
      </c>
      <c r="S15" s="4" t="n"/>
    </row>
    <row r="16" ht="14.25" customHeight="1" s="267">
      <c r="A16" s="4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4" t="n"/>
    </row>
    <row r="17" ht="14.25" customHeight="1" s="267">
      <c r="A17" s="25" t="inlineStr">
        <is>
          <t>Part level</t>
        </is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4" t="n"/>
    </row>
    <row r="18" ht="14.25" customHeight="1" s="267">
      <c r="A18" s="4" t="inlineStr">
        <is>
          <t>Chassis</t>
        </is>
      </c>
      <c r="B18" s="7">
        <f>'3 Part Data'!B5</f>
        <v/>
      </c>
      <c r="C18" s="9">
        <f>IF('3 Part Data'!C5="",IF(C5="",B18,RIGHT(C5,1))*1,'3 Part Data'!C5)</f>
        <v/>
      </c>
      <c r="D18" s="9">
        <f>IF('3 Part Data'!D5="",IF(D5="",C18,RIGHT(D5,1))*1,'3 Part Data'!D5)</f>
        <v/>
      </c>
      <c r="E18" s="9">
        <f>IF('3 Part Data'!E5="",IF(E5="",D18,RIGHT(E5,1))*1,'3 Part Data'!E5)</f>
        <v/>
      </c>
      <c r="F18" s="9">
        <f>IF('3 Part Data'!F5="",IF(F5="",E18,RIGHT(F5,1))*1,'3 Part Data'!F5)</f>
        <v/>
      </c>
      <c r="G18" s="9">
        <f>IF('3 Part Data'!G5="",IF(G5="",F18,RIGHT(G5,1))*1,'3 Part Data'!G5)</f>
        <v/>
      </c>
      <c r="H18" s="9">
        <f>IF('3 Part Data'!H5="",IF(H5="",G18,RIGHT(H5,1))*1,'3 Part Data'!H5)</f>
        <v/>
      </c>
      <c r="I18" s="9">
        <f>IF('3 Part Data'!I5="",IF(I5="",H18,RIGHT(I5,1))*1,'3 Part Data'!I5)</f>
        <v/>
      </c>
      <c r="J18" s="9">
        <f>IF('3 Part Data'!J5="",IF(J5="",I18,RIGHT(J5,1))*1,'3 Part Data'!J5)</f>
        <v/>
      </c>
      <c r="K18" s="9">
        <f>IF('3 Part Data'!K5="",IF(K5="",J18,RIGHT(K5,1))*1,'3 Part Data'!K5)</f>
        <v/>
      </c>
      <c r="L18" s="9">
        <f>IF('3 Part Data'!L5="",IF(L5="",K18,RIGHT(L5,1))*1,'3 Part Data'!L5)</f>
        <v/>
      </c>
      <c r="M18" s="9">
        <f>IF('3 Part Data'!M5="",IF(M5="",L18,RIGHT(M5,1))*1,'3 Part Data'!M5)</f>
        <v/>
      </c>
      <c r="N18" s="9">
        <f>IF('3 Part Data'!N5="",IF(N5="",M18,RIGHT(N5,1))*1,'3 Part Data'!N5)</f>
        <v/>
      </c>
      <c r="O18" s="9">
        <f>IF('3 Part Data'!O5="",IF(O5="",N18,RIGHT(O5,1))*1,'3 Part Data'!O5)</f>
        <v/>
      </c>
      <c r="P18" s="9">
        <f>IF('3 Part Data'!P5="",IF(P5="",O18,RIGHT(P5,1))*1,'3 Part Data'!P5)</f>
        <v/>
      </c>
      <c r="Q18" s="9">
        <f>IF('3 Part Data'!Q5="",IF(Q5="",P18,RIGHT(Q5,1))*1,'3 Part Data'!Q5)</f>
        <v/>
      </c>
      <c r="R18" s="119">
        <f>IF('3 Part Data'!R5="",IF(R5="",Q18,RIGHT(R5,1))*1,'3 Part Data'!R5)</f>
        <v/>
      </c>
      <c r="S18" s="4" t="n"/>
    </row>
    <row r="19" ht="14.25" customHeight="1" s="267">
      <c r="A19" s="4" t="inlineStr">
        <is>
          <t>Engine</t>
        </is>
      </c>
      <c r="B19" s="13">
        <f>'3 Part Data'!B6</f>
        <v/>
      </c>
      <c r="C19" s="3">
        <f>IF('3 Part Data'!C6="",IF(C6="",B19,RIGHT(C6,1))*1,'3 Part Data'!C6)</f>
        <v/>
      </c>
      <c r="D19" s="3">
        <f>IF('3 Part Data'!D6="",IF(D6="",C19,RIGHT(D6,1))*1,'3 Part Data'!D6)</f>
        <v/>
      </c>
      <c r="E19" s="3">
        <f>IF('3 Part Data'!E6="",IF(E6="",D19,RIGHT(E6,1))*1,'3 Part Data'!E6)</f>
        <v/>
      </c>
      <c r="F19" s="3">
        <f>IF('3 Part Data'!F6="",IF(F6="",E19,RIGHT(F6,1))*1,'3 Part Data'!F6)</f>
        <v/>
      </c>
      <c r="G19" s="3">
        <f>IF('3 Part Data'!G6="",IF(G6="",F19,RIGHT(G6,1))*1,'3 Part Data'!G6)</f>
        <v/>
      </c>
      <c r="H19" s="3">
        <f>IF('3 Part Data'!H6="",IF(H6="",G19,RIGHT(H6,1))*1,'3 Part Data'!H6)</f>
        <v/>
      </c>
      <c r="I19" s="3">
        <f>IF('3 Part Data'!I6="",IF(I6="",H19,RIGHT(I6,1))*1,'3 Part Data'!I6)</f>
        <v/>
      </c>
      <c r="J19" s="3">
        <f>IF('3 Part Data'!J6="",IF(J6="",I19,RIGHT(J6,1))*1,'3 Part Data'!J6)</f>
        <v/>
      </c>
      <c r="K19" s="3">
        <f>IF('3 Part Data'!K6="",IF(K6="",J19,RIGHT(K6,1))*1,'3 Part Data'!K6)</f>
        <v/>
      </c>
      <c r="L19" s="3">
        <f>IF('3 Part Data'!L6="",IF(L6="",K19,RIGHT(L6,1))*1,'3 Part Data'!L6)</f>
        <v/>
      </c>
      <c r="M19" s="3">
        <f>IF('3 Part Data'!M6="",IF(M6="",L19,RIGHT(M6,1))*1,'3 Part Data'!M6)</f>
        <v/>
      </c>
      <c r="N19" s="3">
        <f>IF('3 Part Data'!N6="",IF(N6="",M19,RIGHT(N6,1))*1,'3 Part Data'!N6)</f>
        <v/>
      </c>
      <c r="O19" s="3">
        <f>IF('3 Part Data'!O6="",IF(O6="",N19,RIGHT(O6,1))*1,'3 Part Data'!O6)</f>
        <v/>
      </c>
      <c r="P19" s="3">
        <f>IF('3 Part Data'!P6="",IF(P6="",O19,RIGHT(P6,1))*1,'3 Part Data'!P6)</f>
        <v/>
      </c>
      <c r="Q19" s="3">
        <f>IF('3 Part Data'!Q6="",IF(Q6="",P19,RIGHT(Q6,1))*1,'3 Part Data'!Q6)</f>
        <v/>
      </c>
      <c r="R19" s="157">
        <f>IF('3 Part Data'!R6="",IF(R6="",Q19,RIGHT(R6,1))*1,'3 Part Data'!R6)</f>
        <v/>
      </c>
      <c r="S19" s="4" t="n"/>
    </row>
    <row r="20" ht="14.25" customHeight="1" s="267">
      <c r="A20" s="4" t="inlineStr">
        <is>
          <t>Front Wing</t>
        </is>
      </c>
      <c r="B20" s="13">
        <f>'3 Part Data'!B7</f>
        <v/>
      </c>
      <c r="C20" s="3">
        <f>IF('3 Part Data'!C7="",IF(C7="",B20,RIGHT(C7,1))*1,'3 Part Data'!C7)</f>
        <v/>
      </c>
      <c r="D20" s="3">
        <f>IF('3 Part Data'!D7="",IF(D7="",C20,RIGHT(D7,1))*1,'3 Part Data'!D7)</f>
        <v/>
      </c>
      <c r="E20" s="3">
        <f>IF('3 Part Data'!E7="",IF(E7="",D20,RIGHT(E7,1))*1,'3 Part Data'!E7)</f>
        <v/>
      </c>
      <c r="F20" s="3">
        <f>IF('3 Part Data'!F7="",IF(F7="",E20,RIGHT(F7,1))*1,'3 Part Data'!F7)</f>
        <v/>
      </c>
      <c r="G20" s="3">
        <f>IF('3 Part Data'!G7="",IF(G7="",F20,RIGHT(G7,1))*1,'3 Part Data'!G7)</f>
        <v/>
      </c>
      <c r="H20" s="3">
        <f>IF('3 Part Data'!H7="",IF(H7="",G20,RIGHT(H7,1))*1,'3 Part Data'!H7)</f>
        <v/>
      </c>
      <c r="I20" s="3">
        <f>IF('3 Part Data'!I7="",IF(I7="",H20,RIGHT(I7,1))*1,'3 Part Data'!I7)</f>
        <v/>
      </c>
      <c r="J20" s="3">
        <f>IF('3 Part Data'!J7="",IF(J7="",I20,RIGHT(J7,1))*1,'3 Part Data'!J7)</f>
        <v/>
      </c>
      <c r="K20" s="3">
        <f>IF('3 Part Data'!K7="",IF(K7="",J20,RIGHT(K7,1))*1,'3 Part Data'!K7)</f>
        <v/>
      </c>
      <c r="L20" s="3">
        <f>IF('3 Part Data'!L7="",IF(L7="",K20,RIGHT(L7,1))*1,'3 Part Data'!L7)</f>
        <v/>
      </c>
      <c r="M20" s="3">
        <f>IF('3 Part Data'!M7="",IF(M7="",L20,RIGHT(M7,1))*1,'3 Part Data'!M7)</f>
        <v/>
      </c>
      <c r="N20" s="3">
        <f>IF('3 Part Data'!N7="",IF(N7="",M20,RIGHT(N7,1))*1,'3 Part Data'!N7)</f>
        <v/>
      </c>
      <c r="O20" s="3">
        <f>IF('3 Part Data'!O7="",IF(O7="",N20,RIGHT(O7,1))*1,'3 Part Data'!O7)</f>
        <v/>
      </c>
      <c r="P20" s="3">
        <f>IF('3 Part Data'!P7="",IF(P7="",O20,RIGHT(P7,1))*1,'3 Part Data'!P7)</f>
        <v/>
      </c>
      <c r="Q20" s="3">
        <f>IF('3 Part Data'!Q7="",IF(Q7="",P20,RIGHT(Q7,1))*1,'3 Part Data'!Q7)</f>
        <v/>
      </c>
      <c r="R20" s="157">
        <f>IF('3 Part Data'!R7="",IF(R7="",Q20,RIGHT(R7,1))*1,'3 Part Data'!R7)</f>
        <v/>
      </c>
      <c r="S20" s="4" t="n"/>
    </row>
    <row r="21" ht="14.25" customHeight="1" s="267">
      <c r="A21" s="4" t="inlineStr">
        <is>
          <t>Rear Wing</t>
        </is>
      </c>
      <c r="B21" s="13">
        <f>'3 Part Data'!B8</f>
        <v/>
      </c>
      <c r="C21" s="3">
        <f>IF('3 Part Data'!C8="",IF(C8="",B21,RIGHT(C8,1))*1,'3 Part Data'!C8)</f>
        <v/>
      </c>
      <c r="D21" s="3">
        <f>IF('3 Part Data'!D8="",IF(D8="",C21,RIGHT(D8,1))*1,'3 Part Data'!D8)</f>
        <v/>
      </c>
      <c r="E21" s="3">
        <f>IF('3 Part Data'!E8="",IF(E8="",D21,RIGHT(E8,1))*1,'3 Part Data'!E8)</f>
        <v/>
      </c>
      <c r="F21" s="3">
        <f>IF('3 Part Data'!F8="",IF(F8="",E21,RIGHT(F8,1))*1,'3 Part Data'!F8)</f>
        <v/>
      </c>
      <c r="G21" s="3">
        <f>IF('3 Part Data'!G8="",IF(G8="",F21,RIGHT(G8,1))*1,'3 Part Data'!G8)</f>
        <v/>
      </c>
      <c r="H21" s="3">
        <f>IF('3 Part Data'!H8="",IF(H8="",G21,RIGHT(H8,1))*1,'3 Part Data'!H8)</f>
        <v/>
      </c>
      <c r="I21" s="3">
        <f>IF('3 Part Data'!I8="",IF(I8="",H21,RIGHT(I8,1))*1,'3 Part Data'!I8)</f>
        <v/>
      </c>
      <c r="J21" s="3">
        <f>IF('3 Part Data'!J8="",IF(J8="",I21,RIGHT(J8,1))*1,'3 Part Data'!J8)</f>
        <v/>
      </c>
      <c r="K21" s="3">
        <f>IF('3 Part Data'!K8="",IF(K8="",J21,RIGHT(K8,1))*1,'3 Part Data'!K8)</f>
        <v/>
      </c>
      <c r="L21" s="3">
        <f>IF('3 Part Data'!L8="",IF(L8="",K21,RIGHT(L8,1))*1,'3 Part Data'!L8)</f>
        <v/>
      </c>
      <c r="M21" s="3">
        <f>IF('3 Part Data'!M8="",IF(M8="",L21,RIGHT(M8,1))*1,'3 Part Data'!M8)</f>
        <v/>
      </c>
      <c r="N21" s="3">
        <f>IF('3 Part Data'!N8="",IF(N8="",M21,RIGHT(N8,1))*1,'3 Part Data'!N8)</f>
        <v/>
      </c>
      <c r="O21" s="3">
        <f>IF('3 Part Data'!O8="",IF(O8="",N21,RIGHT(O8,1))*1,'3 Part Data'!O8)</f>
        <v/>
      </c>
      <c r="P21" s="3">
        <f>IF('3 Part Data'!P8="",IF(P8="",O21,RIGHT(P8,1))*1,'3 Part Data'!P8)</f>
        <v/>
      </c>
      <c r="Q21" s="3">
        <f>IF('3 Part Data'!Q8="",IF(Q8="",P21,RIGHT(Q8,1))*1,'3 Part Data'!Q8)</f>
        <v/>
      </c>
      <c r="R21" s="157">
        <f>IF('3 Part Data'!R8="",IF(R8="",Q21,RIGHT(R8,1))*1,'3 Part Data'!R8)</f>
        <v/>
      </c>
      <c r="S21" s="4" t="n"/>
    </row>
    <row r="22" ht="14.25" customHeight="1" s="267">
      <c r="A22" s="4" t="inlineStr">
        <is>
          <t>Underbody</t>
        </is>
      </c>
      <c r="B22" s="13">
        <f>'3 Part Data'!B9</f>
        <v/>
      </c>
      <c r="C22" s="3">
        <f>IF('3 Part Data'!C9="",IF(C9="",B22,RIGHT(C9,1))*1,'3 Part Data'!C9)</f>
        <v/>
      </c>
      <c r="D22" s="3">
        <f>IF('3 Part Data'!D9="",IF(D9="",C22,RIGHT(D9,1))*1,'3 Part Data'!D9)</f>
        <v/>
      </c>
      <c r="E22" s="3">
        <f>IF('3 Part Data'!E9="",IF(E9="",D22,RIGHT(E9,1))*1,'3 Part Data'!E9)</f>
        <v/>
      </c>
      <c r="F22" s="3">
        <f>IF('3 Part Data'!F9="",IF(F9="",E22,RIGHT(F9,1))*1,'3 Part Data'!F9)</f>
        <v/>
      </c>
      <c r="G22" s="3">
        <f>IF('3 Part Data'!G9="",IF(G9="",F22,RIGHT(G9,1))*1,'3 Part Data'!G9)</f>
        <v/>
      </c>
      <c r="H22" s="3">
        <f>IF('3 Part Data'!H9="",IF(H9="",G22,RIGHT(H9,1))*1,'3 Part Data'!H9)</f>
        <v/>
      </c>
      <c r="I22" s="3">
        <f>IF('3 Part Data'!I9="",IF(I9="",H22,RIGHT(I9,1))*1,'3 Part Data'!I9)</f>
        <v/>
      </c>
      <c r="J22" s="3">
        <f>IF('3 Part Data'!J9="",IF(J9="",I22,RIGHT(J9,1))*1,'3 Part Data'!J9)</f>
        <v/>
      </c>
      <c r="K22" s="3">
        <f>IF('3 Part Data'!K9="",IF(K9="",J22,RIGHT(K9,1))*1,'3 Part Data'!K9)</f>
        <v/>
      </c>
      <c r="L22" s="3">
        <f>IF('3 Part Data'!L9="",IF(L9="",K22,RIGHT(L9,1))*1,'3 Part Data'!L9)</f>
        <v/>
      </c>
      <c r="M22" s="3">
        <f>IF('3 Part Data'!M9="",IF(M9="",L22,RIGHT(M9,1))*1,'3 Part Data'!M9)</f>
        <v/>
      </c>
      <c r="N22" s="3">
        <f>IF('3 Part Data'!N9="",IF(N9="",M22,RIGHT(N9,1))*1,'3 Part Data'!N9)</f>
        <v/>
      </c>
      <c r="O22" s="3">
        <f>IF('3 Part Data'!O9="",IF(O9="",N22,RIGHT(O9,1))*1,'3 Part Data'!O9)</f>
        <v/>
      </c>
      <c r="P22" s="3">
        <f>IF('3 Part Data'!P9="",IF(P9="",O22,RIGHT(P9,1))*1,'3 Part Data'!P9)</f>
        <v/>
      </c>
      <c r="Q22" s="3">
        <f>IF('3 Part Data'!Q9="",IF(Q9="",P22,RIGHT(Q9,1))*1,'3 Part Data'!Q9)</f>
        <v/>
      </c>
      <c r="R22" s="157">
        <f>IF('3 Part Data'!R9="",IF(R9="",Q22,RIGHT(R9,1))*1,'3 Part Data'!R9)</f>
        <v/>
      </c>
      <c r="S22" s="4" t="n"/>
    </row>
    <row r="23" ht="14.25" customHeight="1" s="267">
      <c r="A23" s="4" t="inlineStr">
        <is>
          <t>Sidepods</t>
        </is>
      </c>
      <c r="B23" s="13">
        <f>'3 Part Data'!B10</f>
        <v/>
      </c>
      <c r="C23" s="3">
        <f>IF('3 Part Data'!C10="",IF(C10="",B23,RIGHT(C10,1))*1,'3 Part Data'!C10)</f>
        <v/>
      </c>
      <c r="D23" s="3">
        <f>IF('3 Part Data'!D10="",IF(D10="",C23,RIGHT(D10,1))*1,'3 Part Data'!D10)</f>
        <v/>
      </c>
      <c r="E23" s="3">
        <f>IF('3 Part Data'!E10="",IF(E10="",D23,RIGHT(E10,1))*1,'3 Part Data'!E10)</f>
        <v/>
      </c>
      <c r="F23" s="3">
        <f>IF('3 Part Data'!F10="",IF(F10="",E23,RIGHT(F10,1))*1,'3 Part Data'!F10)</f>
        <v/>
      </c>
      <c r="G23" s="3">
        <f>IF('3 Part Data'!G10="",IF(G10="",F23,RIGHT(G10,1))*1,'3 Part Data'!G10)</f>
        <v/>
      </c>
      <c r="H23" s="3">
        <f>IF('3 Part Data'!H10="",IF(H10="",G23,RIGHT(H10,1))*1,'3 Part Data'!H10)</f>
        <v/>
      </c>
      <c r="I23" s="3">
        <f>IF('3 Part Data'!I10="",IF(I10="",H23,RIGHT(I10,1))*1,'3 Part Data'!I10)</f>
        <v/>
      </c>
      <c r="J23" s="3">
        <f>IF('3 Part Data'!J10="",IF(J10="",I23,RIGHT(J10,1))*1,'3 Part Data'!J10)</f>
        <v/>
      </c>
      <c r="K23" s="3">
        <f>IF('3 Part Data'!K10="",IF(K10="",J23,RIGHT(K10,1))*1,'3 Part Data'!K10)</f>
        <v/>
      </c>
      <c r="L23" s="3">
        <f>IF('3 Part Data'!L10="",IF(L10="",K23,RIGHT(L10,1))*1,'3 Part Data'!L10)</f>
        <v/>
      </c>
      <c r="M23" s="3">
        <f>IF('3 Part Data'!M10="",IF(M10="",L23,RIGHT(M10,1))*1,'3 Part Data'!M10)</f>
        <v/>
      </c>
      <c r="N23" s="3">
        <f>IF('3 Part Data'!N10="",IF(N10="",M23,RIGHT(N10,1))*1,'3 Part Data'!N10)</f>
        <v/>
      </c>
      <c r="O23" s="3">
        <f>IF('3 Part Data'!O10="",IF(O10="",N23,RIGHT(O10,1))*1,'3 Part Data'!O10)</f>
        <v/>
      </c>
      <c r="P23" s="3">
        <f>IF('3 Part Data'!P10="",IF(P10="",O23,RIGHT(P10,1))*1,'3 Part Data'!P10)</f>
        <v/>
      </c>
      <c r="Q23" s="3">
        <f>IF('3 Part Data'!Q10="",IF(Q10="",P23,RIGHT(Q10,1))*1,'3 Part Data'!Q10)</f>
        <v/>
      </c>
      <c r="R23" s="157">
        <f>IF('3 Part Data'!R10="",IF(R10="",Q23,RIGHT(R10,1))*1,'3 Part Data'!R10)</f>
        <v/>
      </c>
      <c r="S23" s="4" t="n"/>
    </row>
    <row r="24" ht="14.25" customHeight="1" s="267">
      <c r="A24" s="4" t="inlineStr">
        <is>
          <t>Cooling</t>
        </is>
      </c>
      <c r="B24" s="13">
        <f>'3 Part Data'!B11</f>
        <v/>
      </c>
      <c r="C24" s="3">
        <f>IF('3 Part Data'!C11="",IF(C11="",B24,RIGHT(C11,1))*1,'3 Part Data'!C11)</f>
        <v/>
      </c>
      <c r="D24" s="3">
        <f>IF('3 Part Data'!D11="",IF(D11="",C24,RIGHT(D11,1))*1,'3 Part Data'!D11)</f>
        <v/>
      </c>
      <c r="E24" s="3">
        <f>IF('3 Part Data'!E11="",IF(E11="",D24,RIGHT(E11,1))*1,'3 Part Data'!E11)</f>
        <v/>
      </c>
      <c r="F24" s="3">
        <f>IF('3 Part Data'!F11="",IF(F11="",E24,RIGHT(F11,1))*1,'3 Part Data'!F11)</f>
        <v/>
      </c>
      <c r="G24" s="3">
        <f>IF('3 Part Data'!G11="",IF(G11="",F24,RIGHT(G11,1))*1,'3 Part Data'!G11)</f>
        <v/>
      </c>
      <c r="H24" s="3">
        <f>IF('3 Part Data'!H11="",IF(H11="",G24,RIGHT(H11,1))*1,'3 Part Data'!H11)</f>
        <v/>
      </c>
      <c r="I24" s="3">
        <f>IF('3 Part Data'!I11="",IF(I11="",H24,RIGHT(I11,1))*1,'3 Part Data'!I11)</f>
        <v/>
      </c>
      <c r="J24" s="3">
        <f>IF('3 Part Data'!J11="",IF(J11="",I24,RIGHT(J11,1))*1,'3 Part Data'!J11)</f>
        <v/>
      </c>
      <c r="K24" s="3">
        <f>IF('3 Part Data'!K11="",IF(K11="",J24,RIGHT(K11,1))*1,'3 Part Data'!K11)</f>
        <v/>
      </c>
      <c r="L24" s="3">
        <f>IF('3 Part Data'!L11="",IF(L11="",K24,RIGHT(L11,1))*1,'3 Part Data'!L11)</f>
        <v/>
      </c>
      <c r="M24" s="3">
        <f>IF('3 Part Data'!M11="",IF(M11="",L24,RIGHT(M11,1))*1,'3 Part Data'!M11)</f>
        <v/>
      </c>
      <c r="N24" s="3">
        <f>IF('3 Part Data'!N11="",IF(N11="",M24,RIGHT(N11,1))*1,'3 Part Data'!N11)</f>
        <v/>
      </c>
      <c r="O24" s="3">
        <f>IF('3 Part Data'!O11="",IF(O11="",N24,RIGHT(O11,1))*1,'3 Part Data'!O11)</f>
        <v/>
      </c>
      <c r="P24" s="3">
        <f>IF('3 Part Data'!P11="",IF(P11="",O24,RIGHT(P11,1))*1,'3 Part Data'!P11)</f>
        <v/>
      </c>
      <c r="Q24" s="3">
        <f>IF('3 Part Data'!Q11="",IF(Q11="",P24,RIGHT(Q11,1))*1,'3 Part Data'!Q11)</f>
        <v/>
      </c>
      <c r="R24" s="157">
        <f>IF('3 Part Data'!R11="",IF(R11="",Q24,RIGHT(R11,1))*1,'3 Part Data'!R11)</f>
        <v/>
      </c>
      <c r="S24" s="4" t="n"/>
    </row>
    <row r="25" ht="14.25" customHeight="1" s="267">
      <c r="A25" s="4" t="inlineStr">
        <is>
          <t>Gearbox</t>
        </is>
      </c>
      <c r="B25" s="13">
        <f>'3 Part Data'!B12</f>
        <v/>
      </c>
      <c r="C25" s="3">
        <f>IF('3 Part Data'!C12="",IF(C12="",B25,RIGHT(C12,1))*1,'3 Part Data'!C12)</f>
        <v/>
      </c>
      <c r="D25" s="3">
        <f>IF('3 Part Data'!D12="",IF(D12="",C25,RIGHT(D12,1))*1,'3 Part Data'!D12)</f>
        <v/>
      </c>
      <c r="E25" s="3">
        <f>IF('3 Part Data'!E12="",IF(E12="",D25,RIGHT(E12,1))*1,'3 Part Data'!E12)</f>
        <v/>
      </c>
      <c r="F25" s="3">
        <f>IF('3 Part Data'!F12="",IF(F12="",E25,RIGHT(F12,1))*1,'3 Part Data'!F12)</f>
        <v/>
      </c>
      <c r="G25" s="3">
        <f>IF('3 Part Data'!G12="",IF(G12="",F25,RIGHT(G12,1))*1,'3 Part Data'!G12)</f>
        <v/>
      </c>
      <c r="H25" s="3">
        <f>IF('3 Part Data'!H12="",IF(H12="",G25,RIGHT(H12,1))*1,'3 Part Data'!H12)</f>
        <v/>
      </c>
      <c r="I25" s="3">
        <f>IF('3 Part Data'!I12="",IF(I12="",H25,RIGHT(I12,1))*1,'3 Part Data'!I12)</f>
        <v/>
      </c>
      <c r="J25" s="3">
        <f>IF('3 Part Data'!J12="",IF(J12="",I25,RIGHT(J12,1))*1,'3 Part Data'!J12)</f>
        <v/>
      </c>
      <c r="K25" s="3">
        <f>IF('3 Part Data'!K12="",IF(K12="",J25,RIGHT(K12,1))*1,'3 Part Data'!K12)</f>
        <v/>
      </c>
      <c r="L25" s="3">
        <f>IF('3 Part Data'!L12="",IF(L12="",K25,RIGHT(L12,1))*1,'3 Part Data'!L12)</f>
        <v/>
      </c>
      <c r="M25" s="3">
        <f>IF('3 Part Data'!M12="",IF(M12="",L25,RIGHT(M12,1))*1,'3 Part Data'!M12)</f>
        <v/>
      </c>
      <c r="N25" s="3">
        <f>IF('3 Part Data'!N12="",IF(N12="",M25,RIGHT(N12,1))*1,'3 Part Data'!N12)</f>
        <v/>
      </c>
      <c r="O25" s="3">
        <f>IF('3 Part Data'!O12="",IF(O12="",N25,RIGHT(O12,1))*1,'3 Part Data'!O12)</f>
        <v/>
      </c>
      <c r="P25" s="3">
        <f>IF('3 Part Data'!P12="",IF(P12="",O25,RIGHT(P12,1))*1,'3 Part Data'!P12)</f>
        <v/>
      </c>
      <c r="Q25" s="3">
        <f>IF('3 Part Data'!Q12="",IF(Q12="",P25,RIGHT(Q12,1))*1,'3 Part Data'!Q12)</f>
        <v/>
      </c>
      <c r="R25" s="157">
        <f>IF('3 Part Data'!R12="",IF(R12="",Q25,RIGHT(R12,1))*1,'3 Part Data'!R12)</f>
        <v/>
      </c>
      <c r="S25" s="4" t="n"/>
    </row>
    <row r="26" ht="14.25" customHeight="1" s="267">
      <c r="A26" s="4" t="inlineStr">
        <is>
          <t>Brakes</t>
        </is>
      </c>
      <c r="B26" s="13">
        <f>'3 Part Data'!B13</f>
        <v/>
      </c>
      <c r="C26" s="3">
        <f>IF('3 Part Data'!C13="",IF(C13="",B26,RIGHT(C13,1))*1,'3 Part Data'!C13)</f>
        <v/>
      </c>
      <c r="D26" s="3">
        <f>IF('3 Part Data'!D13="",IF(D13="",C26,RIGHT(D13,1))*1,'3 Part Data'!D13)</f>
        <v/>
      </c>
      <c r="E26" s="3">
        <f>IF('3 Part Data'!E13="",IF(E13="",D26,RIGHT(E13,1))*1,'3 Part Data'!E13)</f>
        <v/>
      </c>
      <c r="F26" s="3">
        <f>IF('3 Part Data'!F13="",IF(F13="",E26,RIGHT(F13,1))*1,'3 Part Data'!F13)</f>
        <v/>
      </c>
      <c r="G26" s="3">
        <f>IF('3 Part Data'!G13="",IF(G13="",F26,RIGHT(G13,1))*1,'3 Part Data'!G13)</f>
        <v/>
      </c>
      <c r="H26" s="3">
        <f>IF('3 Part Data'!H13="",IF(H13="",G26,RIGHT(H13,1))*1,'3 Part Data'!H13)</f>
        <v/>
      </c>
      <c r="I26" s="3">
        <f>IF('3 Part Data'!I13="",IF(I13="",H26,RIGHT(I13,1))*1,'3 Part Data'!I13)</f>
        <v/>
      </c>
      <c r="J26" s="3">
        <f>IF('3 Part Data'!J13="",IF(J13="",I26,RIGHT(J13,1))*1,'3 Part Data'!J13)</f>
        <v/>
      </c>
      <c r="K26" s="3">
        <f>IF('3 Part Data'!K13="",IF(K13="",J26,RIGHT(K13,1))*1,'3 Part Data'!K13)</f>
        <v/>
      </c>
      <c r="L26" s="3">
        <f>IF('3 Part Data'!L13="",IF(L13="",K26,RIGHT(L13,1))*1,'3 Part Data'!L13)</f>
        <v/>
      </c>
      <c r="M26" s="3">
        <f>IF('3 Part Data'!M13="",IF(M13="",L26,RIGHT(M13,1))*1,'3 Part Data'!M13)</f>
        <v/>
      </c>
      <c r="N26" s="3">
        <f>IF('3 Part Data'!N13="",IF(N13="",M26,RIGHT(N13,1))*1,'3 Part Data'!N13)</f>
        <v/>
      </c>
      <c r="O26" s="3">
        <f>IF('3 Part Data'!O13="",IF(O13="",N26,RIGHT(O13,1))*1,'3 Part Data'!O13)</f>
        <v/>
      </c>
      <c r="P26" s="3">
        <f>IF('3 Part Data'!P13="",IF(P13="",O26,RIGHT(P13,1))*1,'3 Part Data'!P13)</f>
        <v/>
      </c>
      <c r="Q26" s="3">
        <f>IF('3 Part Data'!Q13="",IF(Q13="",P26,RIGHT(Q13,1))*1,'3 Part Data'!Q13)</f>
        <v/>
      </c>
      <c r="R26" s="157">
        <f>IF('3 Part Data'!R13="",IF(R13="",Q26,RIGHT(R13,1))*1,'3 Part Data'!R13)</f>
        <v/>
      </c>
      <c r="S26" s="4" t="n"/>
    </row>
    <row r="27" ht="14.25" customHeight="1" s="267">
      <c r="A27" s="4" t="inlineStr">
        <is>
          <t>Suspension</t>
        </is>
      </c>
      <c r="B27" s="13">
        <f>'3 Part Data'!B14</f>
        <v/>
      </c>
      <c r="C27" s="3">
        <f>IF('3 Part Data'!C14="",IF(C14="",B27,RIGHT(C14,1))*1,'3 Part Data'!C14)</f>
        <v/>
      </c>
      <c r="D27" s="3">
        <f>IF('3 Part Data'!D14="",IF(D14="",C27,RIGHT(D14,1))*1,'3 Part Data'!D14)</f>
        <v/>
      </c>
      <c r="E27" s="3">
        <f>IF('3 Part Data'!E14="",IF(E14="",D27,RIGHT(E14,1))*1,'3 Part Data'!E14)</f>
        <v/>
      </c>
      <c r="F27" s="3">
        <f>IF('3 Part Data'!F14="",IF(F14="",E27,RIGHT(F14,1))*1,'3 Part Data'!F14)</f>
        <v/>
      </c>
      <c r="G27" s="3">
        <f>IF('3 Part Data'!G14="",IF(G14="",F27,RIGHT(G14,1))*1,'3 Part Data'!G14)</f>
        <v/>
      </c>
      <c r="H27" s="3">
        <f>IF('3 Part Data'!H14="",IF(H14="",G27,RIGHT(H14,1))*1,'3 Part Data'!H14)</f>
        <v/>
      </c>
      <c r="I27" s="3">
        <f>IF('3 Part Data'!I14="",IF(I14="",H27,RIGHT(I14,1))*1,'3 Part Data'!I14)</f>
        <v/>
      </c>
      <c r="J27" s="3">
        <f>IF('3 Part Data'!J14="",IF(J14="",I27,RIGHT(J14,1))*1,'3 Part Data'!J14)</f>
        <v/>
      </c>
      <c r="K27" s="3">
        <f>IF('3 Part Data'!K14="",IF(K14="",J27,RIGHT(K14,1))*1,'3 Part Data'!K14)</f>
        <v/>
      </c>
      <c r="L27" s="3">
        <f>IF('3 Part Data'!L14="",IF(L14="",K27,RIGHT(L14,1))*1,'3 Part Data'!L14)</f>
        <v/>
      </c>
      <c r="M27" s="3">
        <f>IF('3 Part Data'!M14="",IF(M14="",L27,RIGHT(M14,1))*1,'3 Part Data'!M14)</f>
        <v/>
      </c>
      <c r="N27" s="3">
        <f>IF('3 Part Data'!N14="",IF(N14="",M27,RIGHT(N14,1))*1,'3 Part Data'!N14)</f>
        <v/>
      </c>
      <c r="O27" s="3">
        <f>IF('3 Part Data'!O14="",IF(O14="",N27,RIGHT(O14,1))*1,'3 Part Data'!O14)</f>
        <v/>
      </c>
      <c r="P27" s="3">
        <f>IF('3 Part Data'!P14="",IF(P14="",O27,RIGHT(P14,1))*1,'3 Part Data'!P14)</f>
        <v/>
      </c>
      <c r="Q27" s="3">
        <f>IF('3 Part Data'!Q14="",IF(Q14="",P27,RIGHT(Q14,1))*1,'3 Part Data'!Q14)</f>
        <v/>
      </c>
      <c r="R27" s="157">
        <f>IF('3 Part Data'!R14="",IF(R14="",Q27,RIGHT(R14,1))*1,'3 Part Data'!R14)</f>
        <v/>
      </c>
      <c r="S27" s="4" t="n"/>
    </row>
    <row r="28" ht="14.25" customHeight="1" s="267">
      <c r="A28" s="4" t="inlineStr">
        <is>
          <t>Electronics</t>
        </is>
      </c>
      <c r="B28" s="18">
        <f>'3 Part Data'!B15</f>
        <v/>
      </c>
      <c r="C28" s="20">
        <f>IF('3 Part Data'!C15="",IF(C15="",B28,RIGHT(C15,1))*1,'3 Part Data'!C15)</f>
        <v/>
      </c>
      <c r="D28" s="20">
        <f>IF('3 Part Data'!D15="",IF(D15="",C28,RIGHT(D15,1))*1,'3 Part Data'!D15)</f>
        <v/>
      </c>
      <c r="E28" s="20">
        <f>IF('3 Part Data'!E15="",IF(E15="",D28,RIGHT(E15,1))*1,'3 Part Data'!E15)</f>
        <v/>
      </c>
      <c r="F28" s="20">
        <f>IF('3 Part Data'!F15="",IF(F15="",E28,RIGHT(F15,1))*1,'3 Part Data'!F15)</f>
        <v/>
      </c>
      <c r="G28" s="20">
        <f>IF('3 Part Data'!G15="",IF(G15="",F28,RIGHT(G15,1))*1,'3 Part Data'!G15)</f>
        <v/>
      </c>
      <c r="H28" s="20">
        <f>IF('3 Part Data'!H15="",IF(H15="",G28,RIGHT(H15,1))*1,'3 Part Data'!H15)</f>
        <v/>
      </c>
      <c r="I28" s="20">
        <f>IF('3 Part Data'!I15="",IF(I15="",H28,RIGHT(I15,1))*1,'3 Part Data'!I15)</f>
        <v/>
      </c>
      <c r="J28" s="20">
        <f>IF('3 Part Data'!J15="",IF(J15="",I28,RIGHT(J15,1))*1,'3 Part Data'!J15)</f>
        <v/>
      </c>
      <c r="K28" s="20">
        <f>IF('3 Part Data'!K15="",IF(K15="",J28,RIGHT(K15,1))*1,'3 Part Data'!K15)</f>
        <v/>
      </c>
      <c r="L28" s="20">
        <f>IF('3 Part Data'!L15="",IF(L15="",K28,RIGHT(L15,1))*1,'3 Part Data'!L15)</f>
        <v/>
      </c>
      <c r="M28" s="20">
        <f>IF('3 Part Data'!M15="",IF(M15="",L28,RIGHT(M15,1))*1,'3 Part Data'!M15)</f>
        <v/>
      </c>
      <c r="N28" s="20">
        <f>IF('3 Part Data'!N15="",IF(N15="",M28,RIGHT(N15,1))*1,'3 Part Data'!N15)</f>
        <v/>
      </c>
      <c r="O28" s="20">
        <f>IF('3 Part Data'!O15="",IF(O15="",N28,RIGHT(O15,1))*1,'3 Part Data'!O15)</f>
        <v/>
      </c>
      <c r="P28" s="20">
        <f>IF('3 Part Data'!P15="",IF(P15="",O28,RIGHT(P15,1))*1,'3 Part Data'!P15)</f>
        <v/>
      </c>
      <c r="Q28" s="20">
        <f>IF('3 Part Data'!Q15="",IF(Q15="",P28,RIGHT(Q15,1))*1,'3 Part Data'!Q15)</f>
        <v/>
      </c>
      <c r="R28" s="162">
        <f>IF('3 Part Data'!R15="",IF(R15="",Q28,RIGHT(R15,1))*1,'3 Part Data'!R15)</f>
        <v/>
      </c>
      <c r="S28" s="4" t="n"/>
    </row>
    <row r="29" ht="14.25" customHeight="1" s="267">
      <c r="A29" s="4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4" t="n"/>
    </row>
    <row r="30" ht="14.25" customHeight="1" s="267">
      <c r="A30" s="25" t="inlineStr">
        <is>
          <t>Part PHA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4" t="n"/>
    </row>
    <row r="31" ht="14.25" customHeight="1" s="267">
      <c r="A31" s="4" t="inlineStr">
        <is>
          <t>Power</t>
        </is>
      </c>
      <c r="B31" s="7">
        <f>ROUND(SUMPRODUCT(B$18:B$28,'13 Miscellaneous Data'!$B$129:$B$139),0)</f>
        <v/>
      </c>
      <c r="C31" s="9">
        <f>ROUND(SUMPRODUCT(C$18:C$28,'13 Miscellaneous Data'!$B$129:$B$139),0)</f>
        <v/>
      </c>
      <c r="D31" s="9">
        <f>ROUND(SUMPRODUCT(D$18:D$28,'13 Miscellaneous Data'!$B$129:$B$139),0)</f>
        <v/>
      </c>
      <c r="E31" s="9">
        <f>ROUND(SUMPRODUCT(E$18:E$28,'13 Miscellaneous Data'!$B$129:$B$139),0)</f>
        <v/>
      </c>
      <c r="F31" s="9">
        <f>ROUND(SUMPRODUCT(F$18:F$28,'13 Miscellaneous Data'!$B$129:$B$139),0)</f>
        <v/>
      </c>
      <c r="G31" s="9">
        <f>ROUND(SUMPRODUCT(G$18:G$28,'13 Miscellaneous Data'!$B$129:$B$139),0)</f>
        <v/>
      </c>
      <c r="H31" s="9">
        <f>ROUND(SUMPRODUCT(H$18:H$28,'13 Miscellaneous Data'!$B$129:$B$139),0)</f>
        <v/>
      </c>
      <c r="I31" s="9">
        <f>ROUND(SUMPRODUCT(I$18:I$28,'13 Miscellaneous Data'!$B$129:$B$139),0)</f>
        <v/>
      </c>
      <c r="J31" s="9">
        <f>ROUND(SUMPRODUCT(J$18:J$28,'13 Miscellaneous Data'!$B$129:$B$139),0)</f>
        <v/>
      </c>
      <c r="K31" s="9">
        <f>ROUND(SUMPRODUCT(K$18:K$28,'13 Miscellaneous Data'!$B$129:$B$139),0)</f>
        <v/>
      </c>
      <c r="L31" s="9">
        <f>ROUND(SUMPRODUCT(L$18:L$28,'13 Miscellaneous Data'!$B$129:$B$139),0)</f>
        <v/>
      </c>
      <c r="M31" s="9">
        <f>ROUND(SUMPRODUCT(M$18:M$28,'13 Miscellaneous Data'!$B$129:$B$139),0)</f>
        <v/>
      </c>
      <c r="N31" s="9">
        <f>ROUND(SUMPRODUCT(N$18:N$28,'13 Miscellaneous Data'!$B$129:$B$139),0)</f>
        <v/>
      </c>
      <c r="O31" s="9">
        <f>ROUND(SUMPRODUCT(O$18:O$28,'13 Miscellaneous Data'!$B$129:$B$139),0)</f>
        <v/>
      </c>
      <c r="P31" s="9">
        <f>ROUND(SUMPRODUCT(P$18:P$28,'13 Miscellaneous Data'!$B$129:$B$139),0)</f>
        <v/>
      </c>
      <c r="Q31" s="9">
        <f>ROUND(SUMPRODUCT(Q$18:Q$28,'13 Miscellaneous Data'!$B$129:$B$139),0)</f>
        <v/>
      </c>
      <c r="R31" s="119">
        <f>ROUND(SUMPRODUCT(R$18:R$28,'13 Miscellaneous Data'!$B$129:$B$139),0)</f>
        <v/>
      </c>
      <c r="S31" s="4" t="n"/>
    </row>
    <row r="32" ht="14.25" customHeight="1" s="267">
      <c r="A32" s="4" t="inlineStr">
        <is>
          <t>Handling</t>
        </is>
      </c>
      <c r="B32" s="13">
        <f>ROUND(SUMPRODUCT(B$18:B$28,'13 Miscellaneous Data'!$C$129:$C$139),0)</f>
        <v/>
      </c>
      <c r="C32" s="3">
        <f>ROUND(SUMPRODUCT(C$18:C$28,'13 Miscellaneous Data'!$C$129:$C$139),0)</f>
        <v/>
      </c>
      <c r="D32" s="3">
        <f>ROUND(SUMPRODUCT(D$18:D$28,'13 Miscellaneous Data'!$C$129:$C$139),0)</f>
        <v/>
      </c>
      <c r="E32" s="3">
        <f>ROUND(SUMPRODUCT(E$18:E$28,'13 Miscellaneous Data'!$C$129:$C$139),0)</f>
        <v/>
      </c>
      <c r="F32" s="3">
        <f>ROUND(SUMPRODUCT(F$18:F$28,'13 Miscellaneous Data'!$C$129:$C$139),0)</f>
        <v/>
      </c>
      <c r="G32" s="3">
        <f>ROUND(SUMPRODUCT(G$18:G$28,'13 Miscellaneous Data'!$C$129:$C$139),0)</f>
        <v/>
      </c>
      <c r="H32" s="3">
        <f>ROUND(SUMPRODUCT(H$18:H$28,'13 Miscellaneous Data'!$C$129:$C$139),0)</f>
        <v/>
      </c>
      <c r="I32" s="3">
        <f>ROUND(SUMPRODUCT(I$18:I$28,'13 Miscellaneous Data'!$C$129:$C$139),0)</f>
        <v/>
      </c>
      <c r="J32" s="3">
        <f>ROUND(SUMPRODUCT(J$18:J$28,'13 Miscellaneous Data'!$C$129:$C$139),0)</f>
        <v/>
      </c>
      <c r="K32" s="3">
        <f>ROUND(SUMPRODUCT(K$18:K$28,'13 Miscellaneous Data'!$C$129:$C$139),0)</f>
        <v/>
      </c>
      <c r="L32" s="3">
        <f>ROUND(SUMPRODUCT(L$18:L$28,'13 Miscellaneous Data'!$C$129:$C$139),0)</f>
        <v/>
      </c>
      <c r="M32" s="3">
        <f>ROUND(SUMPRODUCT(M$18:M$28,'13 Miscellaneous Data'!$C$129:$C$139),0)</f>
        <v/>
      </c>
      <c r="N32" s="3">
        <f>ROUND(SUMPRODUCT(N$18:N$28,'13 Miscellaneous Data'!$C$129:$C$139),0)</f>
        <v/>
      </c>
      <c r="O32" s="3">
        <f>ROUND(SUMPRODUCT(O$18:O$28,'13 Miscellaneous Data'!$C$129:$C$139),0)</f>
        <v/>
      </c>
      <c r="P32" s="3">
        <f>ROUND(SUMPRODUCT(P$18:P$28,'13 Miscellaneous Data'!$C$129:$C$139),0)</f>
        <v/>
      </c>
      <c r="Q32" s="3">
        <f>ROUND(SUMPRODUCT(Q$18:Q$28,'13 Miscellaneous Data'!$C$129:$C$139),0)</f>
        <v/>
      </c>
      <c r="R32" s="157">
        <f>ROUND(SUMPRODUCT(R$18:R$28,'13 Miscellaneous Data'!$C$129:$C$139),0)</f>
        <v/>
      </c>
      <c r="S32" s="4" t="n"/>
    </row>
    <row r="33" ht="14.25" customHeight="1" s="267">
      <c r="A33" s="4" t="inlineStr">
        <is>
          <t>Acceleration</t>
        </is>
      </c>
      <c r="B33" s="18">
        <f>ROUND(SUMPRODUCT(B$18:B$28,'13 Miscellaneous Data'!$D$129:$D$139),0)</f>
        <v/>
      </c>
      <c r="C33" s="20">
        <f>ROUND(SUMPRODUCT(C$18:C$28,'13 Miscellaneous Data'!$D$129:$D$139),0)</f>
        <v/>
      </c>
      <c r="D33" s="20">
        <f>ROUND(SUMPRODUCT(D$18:D$28,'13 Miscellaneous Data'!$D$129:$D$139),0)</f>
        <v/>
      </c>
      <c r="E33" s="20">
        <f>ROUND(SUMPRODUCT(E$18:E$28,'13 Miscellaneous Data'!$D$129:$D$139),0)</f>
        <v/>
      </c>
      <c r="F33" s="20">
        <f>ROUND(SUMPRODUCT(F$18:F$28,'13 Miscellaneous Data'!$D$129:$D$139),0)</f>
        <v/>
      </c>
      <c r="G33" s="20">
        <f>ROUND(SUMPRODUCT(G$18:G$28,'13 Miscellaneous Data'!$D$129:$D$139),0)</f>
        <v/>
      </c>
      <c r="H33" s="20">
        <f>ROUND(SUMPRODUCT(H$18:H$28,'13 Miscellaneous Data'!$D$129:$D$139),0)</f>
        <v/>
      </c>
      <c r="I33" s="20">
        <f>ROUND(SUMPRODUCT(I$18:I$28,'13 Miscellaneous Data'!$D$129:$D$139),0)</f>
        <v/>
      </c>
      <c r="J33" s="20">
        <f>ROUND(SUMPRODUCT(J$18:J$28,'13 Miscellaneous Data'!$D$129:$D$139),0)</f>
        <v/>
      </c>
      <c r="K33" s="20">
        <f>ROUND(SUMPRODUCT(K$18:K$28,'13 Miscellaneous Data'!$D$129:$D$139),0)</f>
        <v/>
      </c>
      <c r="L33" s="20">
        <f>ROUND(SUMPRODUCT(L$18:L$28,'13 Miscellaneous Data'!$D$129:$D$139),0)</f>
        <v/>
      </c>
      <c r="M33" s="20">
        <f>ROUND(SUMPRODUCT(M$18:M$28,'13 Miscellaneous Data'!$D$129:$D$139),0)</f>
        <v/>
      </c>
      <c r="N33" s="20">
        <f>ROUND(SUMPRODUCT(N$18:N$28,'13 Miscellaneous Data'!$D$129:$D$139),0)</f>
        <v/>
      </c>
      <c r="O33" s="20">
        <f>ROUND(SUMPRODUCT(O$18:O$28,'13 Miscellaneous Data'!$D$129:$D$139),0)</f>
        <v/>
      </c>
      <c r="P33" s="20">
        <f>ROUND(SUMPRODUCT(P$18:P$28,'13 Miscellaneous Data'!$D$129:$D$139),0)</f>
        <v/>
      </c>
      <c r="Q33" s="20">
        <f>ROUND(SUMPRODUCT(Q$18:Q$28,'13 Miscellaneous Data'!$D$129:$D$139),0)</f>
        <v/>
      </c>
      <c r="R33" s="162">
        <f>ROUND(SUMPRODUCT(R$18:R$28,'13 Miscellaneous Data'!$D$129:$D$139),0)</f>
        <v/>
      </c>
      <c r="S33" s="4" t="n"/>
    </row>
    <row r="34" ht="14.25" customHeight="1" s="267">
      <c r="A34" s="4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4" t="n"/>
    </row>
    <row r="35" ht="14.25" customHeight="1" s="267">
      <c r="A35" s="25" t="inlineStr">
        <is>
          <t>Test PHA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4" t="n"/>
    </row>
    <row r="36" ht="14.25" customHeight="1" s="267">
      <c r="A36" s="4" t="inlineStr">
        <is>
          <t>Power</t>
        </is>
      </c>
      <c r="B36" s="7">
        <f>ROUND('12 Miscellaneous Calculations'!B83,0)</f>
        <v/>
      </c>
      <c r="C36" s="9">
        <f>ROUND('12 Miscellaneous Calculations'!C83,0)</f>
        <v/>
      </c>
      <c r="D36" s="9">
        <f>ROUND('12 Miscellaneous Calculations'!D83,0)</f>
        <v/>
      </c>
      <c r="E36" s="9">
        <f>ROUND('12 Miscellaneous Calculations'!E83,0)</f>
        <v/>
      </c>
      <c r="F36" s="9">
        <f>ROUND('12 Miscellaneous Calculations'!F83,0)</f>
        <v/>
      </c>
      <c r="G36" s="9">
        <f>ROUND('12 Miscellaneous Calculations'!G83,0)</f>
        <v/>
      </c>
      <c r="H36" s="9">
        <f>ROUND('12 Miscellaneous Calculations'!H83,0)</f>
        <v/>
      </c>
      <c r="I36" s="9">
        <f>ROUND('12 Miscellaneous Calculations'!I83,0)</f>
        <v/>
      </c>
      <c r="J36" s="9">
        <f>ROUND('12 Miscellaneous Calculations'!J83,0)</f>
        <v/>
      </c>
      <c r="K36" s="9">
        <f>ROUND('12 Miscellaneous Calculations'!K83,0)</f>
        <v/>
      </c>
      <c r="L36" s="9">
        <f>ROUND('12 Miscellaneous Calculations'!L83,0)</f>
        <v/>
      </c>
      <c r="M36" s="9">
        <f>ROUND('12 Miscellaneous Calculations'!M83,0)</f>
        <v/>
      </c>
      <c r="N36" s="9">
        <f>ROUND('12 Miscellaneous Calculations'!N83,0)</f>
        <v/>
      </c>
      <c r="O36" s="9">
        <f>ROUND('12 Miscellaneous Calculations'!O83,0)</f>
        <v/>
      </c>
      <c r="P36" s="9">
        <f>ROUND('12 Miscellaneous Calculations'!P83,0)</f>
        <v/>
      </c>
      <c r="Q36" s="9">
        <f>ROUND('12 Miscellaneous Calculations'!Q83,0)</f>
        <v/>
      </c>
      <c r="R36" s="119">
        <f>ROUND('12 Miscellaneous Calculations'!R83,0)</f>
        <v/>
      </c>
      <c r="S36" s="4" t="n"/>
    </row>
    <row r="37" ht="14.25" customHeight="1" s="267">
      <c r="A37" s="4" t="inlineStr">
        <is>
          <t>Handling</t>
        </is>
      </c>
      <c r="B37" s="13">
        <f>ROUND('12 Miscellaneous Calculations'!B84,0)</f>
        <v/>
      </c>
      <c r="C37" s="3">
        <f>ROUND('12 Miscellaneous Calculations'!C84,0)</f>
        <v/>
      </c>
      <c r="D37" s="3">
        <f>ROUND('12 Miscellaneous Calculations'!D84,0)</f>
        <v/>
      </c>
      <c r="E37" s="3">
        <f>ROUND('12 Miscellaneous Calculations'!E84,0)</f>
        <v/>
      </c>
      <c r="F37" s="3">
        <f>ROUND('12 Miscellaneous Calculations'!F84,0)</f>
        <v/>
      </c>
      <c r="G37" s="3">
        <f>ROUND('12 Miscellaneous Calculations'!G84,0)</f>
        <v/>
      </c>
      <c r="H37" s="3">
        <f>ROUND('12 Miscellaneous Calculations'!H84,0)</f>
        <v/>
      </c>
      <c r="I37" s="3">
        <f>ROUND('12 Miscellaneous Calculations'!I84,0)</f>
        <v/>
      </c>
      <c r="J37" s="3">
        <f>ROUND('12 Miscellaneous Calculations'!J84,0)</f>
        <v/>
      </c>
      <c r="K37" s="3">
        <f>ROUND('12 Miscellaneous Calculations'!K84,0)</f>
        <v/>
      </c>
      <c r="L37" s="3">
        <f>ROUND('12 Miscellaneous Calculations'!L84,0)</f>
        <v/>
      </c>
      <c r="M37" s="3">
        <f>ROUND('12 Miscellaneous Calculations'!M84,0)</f>
        <v/>
      </c>
      <c r="N37" s="3">
        <f>ROUND('12 Miscellaneous Calculations'!N84,0)</f>
        <v/>
      </c>
      <c r="O37" s="3">
        <f>ROUND('12 Miscellaneous Calculations'!O84,0)</f>
        <v/>
      </c>
      <c r="P37" s="3">
        <f>ROUND('12 Miscellaneous Calculations'!P84,0)</f>
        <v/>
      </c>
      <c r="Q37" s="3">
        <f>ROUND('12 Miscellaneous Calculations'!Q84,0)</f>
        <v/>
      </c>
      <c r="R37" s="157">
        <f>ROUND('12 Miscellaneous Calculations'!R84,0)</f>
        <v/>
      </c>
      <c r="S37" s="4" t="n"/>
    </row>
    <row r="38" ht="14.25" customHeight="1" s="267">
      <c r="A38" s="4" t="inlineStr">
        <is>
          <t>Acceleration</t>
        </is>
      </c>
      <c r="B38" s="18">
        <f>ROUND('12 Miscellaneous Calculations'!B85,0)</f>
        <v/>
      </c>
      <c r="C38" s="20">
        <f>ROUND('12 Miscellaneous Calculations'!C85,0)</f>
        <v/>
      </c>
      <c r="D38" s="20">
        <f>ROUND('12 Miscellaneous Calculations'!D85,0)</f>
        <v/>
      </c>
      <c r="E38" s="20">
        <f>ROUND('12 Miscellaneous Calculations'!E85,0)</f>
        <v/>
      </c>
      <c r="F38" s="20">
        <f>ROUND('12 Miscellaneous Calculations'!F85,0)</f>
        <v/>
      </c>
      <c r="G38" s="20">
        <f>ROUND('12 Miscellaneous Calculations'!G85,0)</f>
        <v/>
      </c>
      <c r="H38" s="20">
        <f>ROUND('12 Miscellaneous Calculations'!H85,0)</f>
        <v/>
      </c>
      <c r="I38" s="20">
        <f>ROUND('12 Miscellaneous Calculations'!I85,0)</f>
        <v/>
      </c>
      <c r="J38" s="20">
        <f>ROUND('12 Miscellaneous Calculations'!J85,0)</f>
        <v/>
      </c>
      <c r="K38" s="20">
        <f>ROUND('12 Miscellaneous Calculations'!K85,0)</f>
        <v/>
      </c>
      <c r="L38" s="20">
        <f>ROUND('12 Miscellaneous Calculations'!L85,0)</f>
        <v/>
      </c>
      <c r="M38" s="20">
        <f>ROUND('12 Miscellaneous Calculations'!M85,0)</f>
        <v/>
      </c>
      <c r="N38" s="20">
        <f>ROUND('12 Miscellaneous Calculations'!N85,0)</f>
        <v/>
      </c>
      <c r="O38" s="20">
        <f>ROUND('12 Miscellaneous Calculations'!O85,0)</f>
        <v/>
      </c>
      <c r="P38" s="20">
        <f>ROUND('12 Miscellaneous Calculations'!P85,0)</f>
        <v/>
      </c>
      <c r="Q38" s="20">
        <f>ROUND('12 Miscellaneous Calculations'!Q85,0)</f>
        <v/>
      </c>
      <c r="R38" s="162">
        <f>ROUND('12 Miscellaneous Calculations'!R85,0)</f>
        <v/>
      </c>
      <c r="S38" s="4" t="n"/>
    </row>
    <row r="39" ht="14.25" customHeight="1" s="267">
      <c r="A39" s="4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4" t="n"/>
    </row>
    <row r="40" ht="14.25" customHeight="1" s="267">
      <c r="A40" s="25" t="inlineStr">
        <is>
          <t>PHA</t>
        </is>
      </c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4" t="n"/>
    </row>
    <row r="41" ht="14.25" customHeight="1" s="267">
      <c r="A41" s="4" t="inlineStr">
        <is>
          <t>Power</t>
        </is>
      </c>
      <c r="B41" s="7">
        <f>B31+B36</f>
        <v/>
      </c>
      <c r="C41" s="9">
        <f>C31+C36</f>
        <v/>
      </c>
      <c r="D41" s="9">
        <f>D31+D36</f>
        <v/>
      </c>
      <c r="E41" s="9">
        <f>E31+E36</f>
        <v/>
      </c>
      <c r="F41" s="9">
        <f>F31+F36</f>
        <v/>
      </c>
      <c r="G41" s="9">
        <f>G31+G36</f>
        <v/>
      </c>
      <c r="H41" s="9">
        <f>H31+H36</f>
        <v/>
      </c>
      <c r="I41" s="9">
        <f>I31+I36</f>
        <v/>
      </c>
      <c r="J41" s="9">
        <f>J31+J36</f>
        <v/>
      </c>
      <c r="K41" s="9">
        <f>K31+K36</f>
        <v/>
      </c>
      <c r="L41" s="9">
        <f>L31+L36</f>
        <v/>
      </c>
      <c r="M41" s="9">
        <f>M31+M36</f>
        <v/>
      </c>
      <c r="N41" s="9">
        <f>N31+N36</f>
        <v/>
      </c>
      <c r="O41" s="9">
        <f>O31+O36</f>
        <v/>
      </c>
      <c r="P41" s="9">
        <f>P31+P36</f>
        <v/>
      </c>
      <c r="Q41" s="9">
        <f>Q31+Q36</f>
        <v/>
      </c>
      <c r="R41" s="119">
        <f>R31+R36</f>
        <v/>
      </c>
      <c r="S41" s="4" t="n"/>
    </row>
    <row r="42" ht="14.25" customHeight="1" s="267">
      <c r="A42" s="4" t="inlineStr">
        <is>
          <t>Handling</t>
        </is>
      </c>
      <c r="B42" s="13">
        <f>B32+B37</f>
        <v/>
      </c>
      <c r="C42" s="3">
        <f>C32+C37</f>
        <v/>
      </c>
      <c r="D42" s="3">
        <f>D32+D37</f>
        <v/>
      </c>
      <c r="E42" s="3">
        <f>E32+E37</f>
        <v/>
      </c>
      <c r="F42" s="3">
        <f>F32+F37</f>
        <v/>
      </c>
      <c r="G42" s="3">
        <f>G32+G37</f>
        <v/>
      </c>
      <c r="H42" s="3">
        <f>H32+H37</f>
        <v/>
      </c>
      <c r="I42" s="3">
        <f>I32+I37</f>
        <v/>
      </c>
      <c r="J42" s="3">
        <f>J32+J37</f>
        <v/>
      </c>
      <c r="K42" s="3">
        <f>K32+K37</f>
        <v/>
      </c>
      <c r="L42" s="3">
        <f>L32+L37</f>
        <v/>
      </c>
      <c r="M42" s="3">
        <f>M32+M37</f>
        <v/>
      </c>
      <c r="N42" s="3">
        <f>N32+N37</f>
        <v/>
      </c>
      <c r="O42" s="3">
        <f>O32+O37</f>
        <v/>
      </c>
      <c r="P42" s="3">
        <f>P32+P37</f>
        <v/>
      </c>
      <c r="Q42" s="3">
        <f>Q32+Q37</f>
        <v/>
      </c>
      <c r="R42" s="157">
        <f>R32+R37</f>
        <v/>
      </c>
      <c r="S42" s="4" t="n"/>
    </row>
    <row r="43" ht="14.25" customHeight="1" s="267">
      <c r="A43" s="4" t="inlineStr">
        <is>
          <t>Acceleration</t>
        </is>
      </c>
      <c r="B43" s="18">
        <f>B33+B38</f>
        <v/>
      </c>
      <c r="C43" s="20">
        <f>C33+C38</f>
        <v/>
      </c>
      <c r="D43" s="20">
        <f>D33+D38</f>
        <v/>
      </c>
      <c r="E43" s="20">
        <f>E33+E38</f>
        <v/>
      </c>
      <c r="F43" s="20">
        <f>F33+F38</f>
        <v/>
      </c>
      <c r="G43" s="20">
        <f>G33+G38</f>
        <v/>
      </c>
      <c r="H43" s="20">
        <f>H33+H38</f>
        <v/>
      </c>
      <c r="I43" s="20">
        <f>I33+I38</f>
        <v/>
      </c>
      <c r="J43" s="20">
        <f>J33+J38</f>
        <v/>
      </c>
      <c r="K43" s="20">
        <f>K33+K38</f>
        <v/>
      </c>
      <c r="L43" s="20">
        <f>L33+L38</f>
        <v/>
      </c>
      <c r="M43" s="20">
        <f>M33+M38</f>
        <v/>
      </c>
      <c r="N43" s="20">
        <f>N33+N38</f>
        <v/>
      </c>
      <c r="O43" s="20">
        <f>O33+O38</f>
        <v/>
      </c>
      <c r="P43" s="20">
        <f>P33+P38</f>
        <v/>
      </c>
      <c r="Q43" s="20">
        <f>Q33+Q38</f>
        <v/>
      </c>
      <c r="R43" s="162">
        <f>R33+R38</f>
        <v/>
      </c>
      <c r="S43" s="4" t="n"/>
    </row>
    <row r="44" ht="14.25" customHeight="1" s="267">
      <c r="A44" s="4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4" t="n"/>
    </row>
    <row r="45" ht="14.25" customHeight="1" s="267">
      <c r="A45" s="25" t="inlineStr">
        <is>
          <t>Wear after the previous race</t>
        </is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4" t="n"/>
    </row>
    <row r="46" ht="14.25" customHeight="1" s="267">
      <c r="A46" s="4" t="inlineStr">
        <is>
          <t>Chassis</t>
        </is>
      </c>
      <c r="B46" s="229" t="n">
        <v>0</v>
      </c>
      <c r="C46" s="230">
        <f>B137</f>
        <v/>
      </c>
      <c r="D46" s="230">
        <f>C137</f>
        <v/>
      </c>
      <c r="E46" s="230">
        <f>D137</f>
        <v/>
      </c>
      <c r="F46" s="230">
        <f>E137</f>
        <v/>
      </c>
      <c r="G46" s="230">
        <f>F137</f>
        <v/>
      </c>
      <c r="H46" s="230">
        <f>G137</f>
        <v/>
      </c>
      <c r="I46" s="230">
        <f>H137</f>
        <v/>
      </c>
      <c r="J46" s="230">
        <f>I137</f>
        <v/>
      </c>
      <c r="K46" s="230">
        <f>J137</f>
        <v/>
      </c>
      <c r="L46" s="230">
        <f>K137</f>
        <v/>
      </c>
      <c r="M46" s="230">
        <f>L137</f>
        <v/>
      </c>
      <c r="N46" s="230">
        <f>M137</f>
        <v/>
      </c>
      <c r="O46" s="230">
        <f>N137</f>
        <v/>
      </c>
      <c r="P46" s="230">
        <f>O137</f>
        <v/>
      </c>
      <c r="Q46" s="230">
        <f>P137</f>
        <v/>
      </c>
      <c r="R46" s="154">
        <f>Q137</f>
        <v/>
      </c>
      <c r="S46" s="4" t="n"/>
    </row>
    <row r="47" ht="14.25" customHeight="1" s="267">
      <c r="A47" s="4" t="inlineStr">
        <is>
          <t>Engine</t>
        </is>
      </c>
      <c r="B47" s="231" t="n">
        <v>0</v>
      </c>
      <c r="C47" s="214">
        <f>B138</f>
        <v/>
      </c>
      <c r="D47" s="214">
        <f>C138</f>
        <v/>
      </c>
      <c r="E47" s="214">
        <f>D138</f>
        <v/>
      </c>
      <c r="F47" s="214">
        <f>E138</f>
        <v/>
      </c>
      <c r="G47" s="214">
        <f>F138</f>
        <v/>
      </c>
      <c r="H47" s="214">
        <f>G138</f>
        <v/>
      </c>
      <c r="I47" s="214">
        <f>H138</f>
        <v/>
      </c>
      <c r="J47" s="214">
        <f>I138</f>
        <v/>
      </c>
      <c r="K47" s="214">
        <f>J138</f>
        <v/>
      </c>
      <c r="L47" s="214">
        <f>K138</f>
        <v/>
      </c>
      <c r="M47" s="214">
        <f>L138</f>
        <v/>
      </c>
      <c r="N47" s="214">
        <f>M138</f>
        <v/>
      </c>
      <c r="O47" s="214">
        <f>N138</f>
        <v/>
      </c>
      <c r="P47" s="214">
        <f>O138</f>
        <v/>
      </c>
      <c r="Q47" s="214">
        <f>P138</f>
        <v/>
      </c>
      <c r="R47" s="158">
        <f>Q138</f>
        <v/>
      </c>
      <c r="S47" s="4" t="n"/>
    </row>
    <row r="48" ht="14.25" customHeight="1" s="267">
      <c r="A48" s="4" t="inlineStr">
        <is>
          <t>Front Wing</t>
        </is>
      </c>
      <c r="B48" s="231" t="n">
        <v>0</v>
      </c>
      <c r="C48" s="214">
        <f>B139</f>
        <v/>
      </c>
      <c r="D48" s="214">
        <f>C139</f>
        <v/>
      </c>
      <c r="E48" s="214">
        <f>D139</f>
        <v/>
      </c>
      <c r="F48" s="214">
        <f>E139</f>
        <v/>
      </c>
      <c r="G48" s="214">
        <f>F139</f>
        <v/>
      </c>
      <c r="H48" s="214">
        <f>G139</f>
        <v/>
      </c>
      <c r="I48" s="214">
        <f>H139</f>
        <v/>
      </c>
      <c r="J48" s="214">
        <f>I139</f>
        <v/>
      </c>
      <c r="K48" s="214">
        <f>J139</f>
        <v/>
      </c>
      <c r="L48" s="214">
        <f>K139</f>
        <v/>
      </c>
      <c r="M48" s="214">
        <f>L139</f>
        <v/>
      </c>
      <c r="N48" s="214">
        <f>M139</f>
        <v/>
      </c>
      <c r="O48" s="214">
        <f>N139</f>
        <v/>
      </c>
      <c r="P48" s="214">
        <f>O139</f>
        <v/>
      </c>
      <c r="Q48" s="214">
        <f>P139</f>
        <v/>
      </c>
      <c r="R48" s="158">
        <f>Q139</f>
        <v/>
      </c>
      <c r="S48" s="4" t="n"/>
    </row>
    <row r="49" ht="14.25" customHeight="1" s="267">
      <c r="A49" s="4" t="inlineStr">
        <is>
          <t>Rear Wing</t>
        </is>
      </c>
      <c r="B49" s="231" t="n">
        <v>0</v>
      </c>
      <c r="C49" s="214">
        <f>B140</f>
        <v/>
      </c>
      <c r="D49" s="214">
        <f>C140</f>
        <v/>
      </c>
      <c r="E49" s="214">
        <f>D140</f>
        <v/>
      </c>
      <c r="F49" s="214">
        <f>E140</f>
        <v/>
      </c>
      <c r="G49" s="214">
        <f>F140</f>
        <v/>
      </c>
      <c r="H49" s="214">
        <f>G140</f>
        <v/>
      </c>
      <c r="I49" s="214">
        <f>H140</f>
        <v/>
      </c>
      <c r="J49" s="214">
        <f>I140</f>
        <v/>
      </c>
      <c r="K49" s="214">
        <f>J140</f>
        <v/>
      </c>
      <c r="L49" s="214">
        <f>K140</f>
        <v/>
      </c>
      <c r="M49" s="214">
        <f>L140</f>
        <v/>
      </c>
      <c r="N49" s="214">
        <f>M140</f>
        <v/>
      </c>
      <c r="O49" s="214">
        <f>N140</f>
        <v/>
      </c>
      <c r="P49" s="214">
        <f>O140</f>
        <v/>
      </c>
      <c r="Q49" s="214">
        <f>P140</f>
        <v/>
      </c>
      <c r="R49" s="158">
        <f>Q140</f>
        <v/>
      </c>
      <c r="S49" s="4" t="n"/>
    </row>
    <row r="50" ht="14.25" customHeight="1" s="267">
      <c r="A50" s="4" t="inlineStr">
        <is>
          <t>Underbody</t>
        </is>
      </c>
      <c r="B50" s="231" t="n">
        <v>0</v>
      </c>
      <c r="C50" s="214">
        <f>B141</f>
        <v/>
      </c>
      <c r="D50" s="214">
        <f>C141</f>
        <v/>
      </c>
      <c r="E50" s="214">
        <f>D141</f>
        <v/>
      </c>
      <c r="F50" s="214">
        <f>E141</f>
        <v/>
      </c>
      <c r="G50" s="214">
        <f>F141</f>
        <v/>
      </c>
      <c r="H50" s="214">
        <f>G141</f>
        <v/>
      </c>
      <c r="I50" s="214">
        <f>H141</f>
        <v/>
      </c>
      <c r="J50" s="214">
        <f>I141</f>
        <v/>
      </c>
      <c r="K50" s="214">
        <f>J141</f>
        <v/>
      </c>
      <c r="L50" s="214">
        <f>K141</f>
        <v/>
      </c>
      <c r="M50" s="214">
        <f>L141</f>
        <v/>
      </c>
      <c r="N50" s="214">
        <f>M141</f>
        <v/>
      </c>
      <c r="O50" s="214">
        <f>N141</f>
        <v/>
      </c>
      <c r="P50" s="214">
        <f>O141</f>
        <v/>
      </c>
      <c r="Q50" s="214">
        <f>P141</f>
        <v/>
      </c>
      <c r="R50" s="158">
        <f>Q141</f>
        <v/>
      </c>
      <c r="S50" s="4" t="n"/>
    </row>
    <row r="51" ht="14.25" customHeight="1" s="267">
      <c r="A51" s="4" t="inlineStr">
        <is>
          <t>Sidepods</t>
        </is>
      </c>
      <c r="B51" s="231" t="n">
        <v>0</v>
      </c>
      <c r="C51" s="214">
        <f>B142</f>
        <v/>
      </c>
      <c r="D51" s="214">
        <f>C142</f>
        <v/>
      </c>
      <c r="E51" s="214">
        <f>D142</f>
        <v/>
      </c>
      <c r="F51" s="214">
        <f>E142</f>
        <v/>
      </c>
      <c r="G51" s="214">
        <f>F142</f>
        <v/>
      </c>
      <c r="H51" s="214">
        <f>G142</f>
        <v/>
      </c>
      <c r="I51" s="214">
        <f>H142</f>
        <v/>
      </c>
      <c r="J51" s="214">
        <f>I142</f>
        <v/>
      </c>
      <c r="K51" s="214">
        <f>J142</f>
        <v/>
      </c>
      <c r="L51" s="214">
        <f>K142</f>
        <v/>
      </c>
      <c r="M51" s="214">
        <f>L142</f>
        <v/>
      </c>
      <c r="N51" s="214">
        <f>M142</f>
        <v/>
      </c>
      <c r="O51" s="214">
        <f>N142</f>
        <v/>
      </c>
      <c r="P51" s="214">
        <f>O142</f>
        <v/>
      </c>
      <c r="Q51" s="214">
        <f>P142</f>
        <v/>
      </c>
      <c r="R51" s="158">
        <f>Q142</f>
        <v/>
      </c>
      <c r="S51" s="4" t="n"/>
    </row>
    <row r="52" ht="14.25" customHeight="1" s="267">
      <c r="A52" s="4" t="inlineStr">
        <is>
          <t>Cooling</t>
        </is>
      </c>
      <c r="B52" s="231" t="n">
        <v>0</v>
      </c>
      <c r="C52" s="214">
        <f>B143</f>
        <v/>
      </c>
      <c r="D52" s="214">
        <f>C143</f>
        <v/>
      </c>
      <c r="E52" s="214">
        <f>D143</f>
        <v/>
      </c>
      <c r="F52" s="214">
        <f>E143</f>
        <v/>
      </c>
      <c r="G52" s="214">
        <f>F143</f>
        <v/>
      </c>
      <c r="H52" s="214">
        <f>G143</f>
        <v/>
      </c>
      <c r="I52" s="214">
        <f>H143</f>
        <v/>
      </c>
      <c r="J52" s="214">
        <f>I143</f>
        <v/>
      </c>
      <c r="K52" s="214">
        <f>J143</f>
        <v/>
      </c>
      <c r="L52" s="214">
        <f>K143</f>
        <v/>
      </c>
      <c r="M52" s="214">
        <f>L143</f>
        <v/>
      </c>
      <c r="N52" s="214">
        <f>M143</f>
        <v/>
      </c>
      <c r="O52" s="214">
        <f>N143</f>
        <v/>
      </c>
      <c r="P52" s="214">
        <f>O143</f>
        <v/>
      </c>
      <c r="Q52" s="214">
        <f>P143</f>
        <v/>
      </c>
      <c r="R52" s="158">
        <f>Q143</f>
        <v/>
      </c>
      <c r="S52" s="4" t="n"/>
    </row>
    <row r="53" ht="14.25" customHeight="1" s="267">
      <c r="A53" s="4" t="inlineStr">
        <is>
          <t>Gearbox</t>
        </is>
      </c>
      <c r="B53" s="231" t="n">
        <v>0</v>
      </c>
      <c r="C53" s="214">
        <f>B144</f>
        <v/>
      </c>
      <c r="D53" s="214">
        <f>C144</f>
        <v/>
      </c>
      <c r="E53" s="214">
        <f>D144</f>
        <v/>
      </c>
      <c r="F53" s="214">
        <f>E144</f>
        <v/>
      </c>
      <c r="G53" s="214">
        <f>F144</f>
        <v/>
      </c>
      <c r="H53" s="214">
        <f>G144</f>
        <v/>
      </c>
      <c r="I53" s="214">
        <f>H144</f>
        <v/>
      </c>
      <c r="J53" s="214">
        <f>I144</f>
        <v/>
      </c>
      <c r="K53" s="214">
        <f>J144</f>
        <v/>
      </c>
      <c r="L53" s="214">
        <f>K144</f>
        <v/>
      </c>
      <c r="M53" s="214">
        <f>L144</f>
        <v/>
      </c>
      <c r="N53" s="214">
        <f>M144</f>
        <v/>
      </c>
      <c r="O53" s="214">
        <f>N144</f>
        <v/>
      </c>
      <c r="P53" s="214">
        <f>O144</f>
        <v/>
      </c>
      <c r="Q53" s="214">
        <f>P144</f>
        <v/>
      </c>
      <c r="R53" s="158">
        <f>Q144</f>
        <v/>
      </c>
      <c r="S53" s="4" t="n"/>
    </row>
    <row r="54" ht="14.25" customHeight="1" s="267">
      <c r="A54" s="4" t="inlineStr">
        <is>
          <t>Brakes</t>
        </is>
      </c>
      <c r="B54" s="231" t="n">
        <v>0</v>
      </c>
      <c r="C54" s="214">
        <f>B145</f>
        <v/>
      </c>
      <c r="D54" s="214">
        <f>C145</f>
        <v/>
      </c>
      <c r="E54" s="214">
        <f>D145</f>
        <v/>
      </c>
      <c r="F54" s="214">
        <f>E145</f>
        <v/>
      </c>
      <c r="G54" s="214">
        <f>F145</f>
        <v/>
      </c>
      <c r="H54" s="214">
        <f>G145</f>
        <v/>
      </c>
      <c r="I54" s="214">
        <f>H145</f>
        <v/>
      </c>
      <c r="J54" s="214">
        <f>I145</f>
        <v/>
      </c>
      <c r="K54" s="214">
        <f>J145</f>
        <v/>
      </c>
      <c r="L54" s="214">
        <f>K145</f>
        <v/>
      </c>
      <c r="M54" s="214">
        <f>L145</f>
        <v/>
      </c>
      <c r="N54" s="214">
        <f>M145</f>
        <v/>
      </c>
      <c r="O54" s="214">
        <f>N145</f>
        <v/>
      </c>
      <c r="P54" s="214">
        <f>O145</f>
        <v/>
      </c>
      <c r="Q54" s="214">
        <f>P145</f>
        <v/>
      </c>
      <c r="R54" s="158">
        <f>Q145</f>
        <v/>
      </c>
      <c r="S54" s="4" t="n"/>
    </row>
    <row r="55" ht="14.25" customHeight="1" s="267">
      <c r="A55" s="4" t="inlineStr">
        <is>
          <t>Suspension</t>
        </is>
      </c>
      <c r="B55" s="231" t="n">
        <v>0</v>
      </c>
      <c r="C55" s="214">
        <f>B146</f>
        <v/>
      </c>
      <c r="D55" s="214">
        <f>C146</f>
        <v/>
      </c>
      <c r="E55" s="214">
        <f>D146</f>
        <v/>
      </c>
      <c r="F55" s="214">
        <f>E146</f>
        <v/>
      </c>
      <c r="G55" s="214">
        <f>F146</f>
        <v/>
      </c>
      <c r="H55" s="214">
        <f>G146</f>
        <v/>
      </c>
      <c r="I55" s="214">
        <f>H146</f>
        <v/>
      </c>
      <c r="J55" s="214">
        <f>I146</f>
        <v/>
      </c>
      <c r="K55" s="214">
        <f>J146</f>
        <v/>
      </c>
      <c r="L55" s="214">
        <f>K146</f>
        <v/>
      </c>
      <c r="M55" s="214">
        <f>L146</f>
        <v/>
      </c>
      <c r="N55" s="214">
        <f>M146</f>
        <v/>
      </c>
      <c r="O55" s="214">
        <f>N146</f>
        <v/>
      </c>
      <c r="P55" s="214">
        <f>O146</f>
        <v/>
      </c>
      <c r="Q55" s="214">
        <f>P146</f>
        <v/>
      </c>
      <c r="R55" s="158">
        <f>Q146</f>
        <v/>
      </c>
      <c r="S55" s="4" t="n"/>
    </row>
    <row r="56" ht="14.25" customHeight="1" s="267">
      <c r="A56" s="4" t="inlineStr">
        <is>
          <t>Electronics</t>
        </is>
      </c>
      <c r="B56" s="232" t="n">
        <v>0</v>
      </c>
      <c r="C56" s="218">
        <f>B147</f>
        <v/>
      </c>
      <c r="D56" s="218">
        <f>C147</f>
        <v/>
      </c>
      <c r="E56" s="218">
        <f>D147</f>
        <v/>
      </c>
      <c r="F56" s="218">
        <f>E147</f>
        <v/>
      </c>
      <c r="G56" s="218">
        <f>F147</f>
        <v/>
      </c>
      <c r="H56" s="218">
        <f>G147</f>
        <v/>
      </c>
      <c r="I56" s="218">
        <f>H147</f>
        <v/>
      </c>
      <c r="J56" s="218">
        <f>I147</f>
        <v/>
      </c>
      <c r="K56" s="218">
        <f>J147</f>
        <v/>
      </c>
      <c r="L56" s="218">
        <f>K147</f>
        <v/>
      </c>
      <c r="M56" s="218">
        <f>L147</f>
        <v/>
      </c>
      <c r="N56" s="218">
        <f>M147</f>
        <v/>
      </c>
      <c r="O56" s="218">
        <f>N147</f>
        <v/>
      </c>
      <c r="P56" s="218">
        <f>O147</f>
        <v/>
      </c>
      <c r="Q56" s="218">
        <f>P147</f>
        <v/>
      </c>
      <c r="R56" s="163">
        <f>Q147</f>
        <v/>
      </c>
      <c r="S56" s="4" t="n"/>
    </row>
    <row r="57" ht="14.25" customHeight="1" s="267">
      <c r="A57" s="4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4" t="n"/>
    </row>
    <row r="58" ht="14.25" customHeight="1" s="267">
      <c r="A58" s="25" t="inlineStr">
        <is>
          <t>Pre-update testing wear</t>
        </is>
      </c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4" t="n"/>
    </row>
    <row r="59" ht="14.25" customHeight="1" s="267">
      <c r="A59" s="4" t="inlineStr">
        <is>
          <t>Chassis</t>
        </is>
      </c>
      <c r="B59" s="229">
        <f>ROUNDUP('6 Wear Planner'!C$3/100*'3 Part Data'!$B70,2)</f>
        <v/>
      </c>
      <c r="C59" s="230">
        <f>ROUNDUP('6 Wear Planner'!D$3/100*'3 Part Data'!$B70,2)</f>
        <v/>
      </c>
      <c r="D59" s="230">
        <f>ROUNDUP('6 Wear Planner'!E$3/100*'3 Part Data'!$B70,2)</f>
        <v/>
      </c>
      <c r="E59" s="230">
        <f>ROUNDUP('6 Wear Planner'!F$3/100*'3 Part Data'!$B70,2)</f>
        <v/>
      </c>
      <c r="F59" s="230">
        <f>ROUNDUP('6 Wear Planner'!G$3/100*'3 Part Data'!$B70,2)</f>
        <v/>
      </c>
      <c r="G59" s="230">
        <f>ROUNDUP('6 Wear Planner'!H$3/100*'3 Part Data'!$B70,2)</f>
        <v/>
      </c>
      <c r="H59" s="230">
        <f>ROUNDUP('6 Wear Planner'!I$3/100*'3 Part Data'!$B70,2)</f>
        <v/>
      </c>
      <c r="I59" s="230">
        <f>ROUNDUP('6 Wear Planner'!J$3/100*'3 Part Data'!$B70,2)</f>
        <v/>
      </c>
      <c r="J59" s="230">
        <f>ROUNDUP('6 Wear Planner'!K$3/100*'3 Part Data'!$B70,2)</f>
        <v/>
      </c>
      <c r="K59" s="230">
        <f>ROUNDUP('6 Wear Planner'!L$3/100*'3 Part Data'!$B70,2)</f>
        <v/>
      </c>
      <c r="L59" s="230">
        <f>ROUNDUP('6 Wear Planner'!M$3/100*'3 Part Data'!$B70,2)</f>
        <v/>
      </c>
      <c r="M59" s="230">
        <f>ROUNDUP('6 Wear Planner'!N$3/100*'3 Part Data'!$B70,2)</f>
        <v/>
      </c>
      <c r="N59" s="230">
        <f>ROUNDUP('6 Wear Planner'!O$3/100*'3 Part Data'!$B70,2)</f>
        <v/>
      </c>
      <c r="O59" s="230">
        <f>ROUNDUP('6 Wear Planner'!P$3/100*'3 Part Data'!$B70,2)</f>
        <v/>
      </c>
      <c r="P59" s="230">
        <f>ROUNDUP('6 Wear Planner'!Q$3/100*'3 Part Data'!$B70,2)</f>
        <v/>
      </c>
      <c r="Q59" s="230">
        <f>ROUNDUP('6 Wear Planner'!R$3/100*'3 Part Data'!$B70,2)</f>
        <v/>
      </c>
      <c r="R59" s="154">
        <f>ROUNDUP('6 Wear Planner'!S$3/100*'3 Part Data'!$B70,2)</f>
        <v/>
      </c>
      <c r="S59" s="4" t="n"/>
    </row>
    <row r="60" ht="14.25" customHeight="1" s="267">
      <c r="A60" s="4" t="inlineStr">
        <is>
          <t>Engine</t>
        </is>
      </c>
      <c r="B60" s="231">
        <f>ROUNDUP('6 Wear Planner'!C$3/100*'3 Part Data'!$B71,2)</f>
        <v/>
      </c>
      <c r="C60" s="214">
        <f>ROUNDUP('6 Wear Planner'!D$3/100*'3 Part Data'!$B71,2)</f>
        <v/>
      </c>
      <c r="D60" s="214">
        <f>ROUNDUP('6 Wear Planner'!E$3/100*'3 Part Data'!$B71,2)</f>
        <v/>
      </c>
      <c r="E60" s="214">
        <f>ROUNDUP('6 Wear Planner'!F$3/100*'3 Part Data'!$B71,2)</f>
        <v/>
      </c>
      <c r="F60" s="214">
        <f>ROUNDUP('6 Wear Planner'!G$3/100*'3 Part Data'!$B71,2)</f>
        <v/>
      </c>
      <c r="G60" s="214">
        <f>ROUNDUP('6 Wear Planner'!H$3/100*'3 Part Data'!$B71,2)</f>
        <v/>
      </c>
      <c r="H60" s="214">
        <f>ROUNDUP('6 Wear Planner'!I$3/100*'3 Part Data'!$B71,2)</f>
        <v/>
      </c>
      <c r="I60" s="214">
        <f>ROUNDUP('6 Wear Planner'!J$3/100*'3 Part Data'!$B71,2)</f>
        <v/>
      </c>
      <c r="J60" s="214">
        <f>ROUNDUP('6 Wear Planner'!K$3/100*'3 Part Data'!$B71,2)</f>
        <v/>
      </c>
      <c r="K60" s="214">
        <f>ROUNDUP('6 Wear Planner'!L$3/100*'3 Part Data'!$B71,2)</f>
        <v/>
      </c>
      <c r="L60" s="214">
        <f>ROUNDUP('6 Wear Planner'!M$3/100*'3 Part Data'!$B71,2)</f>
        <v/>
      </c>
      <c r="M60" s="214">
        <f>ROUNDUP('6 Wear Planner'!N$3/100*'3 Part Data'!$B71,2)</f>
        <v/>
      </c>
      <c r="N60" s="214">
        <f>ROUNDUP('6 Wear Planner'!O$3/100*'3 Part Data'!$B71,2)</f>
        <v/>
      </c>
      <c r="O60" s="214">
        <f>ROUNDUP('6 Wear Planner'!P$3/100*'3 Part Data'!$B71,2)</f>
        <v/>
      </c>
      <c r="P60" s="214">
        <f>ROUNDUP('6 Wear Planner'!Q$3/100*'3 Part Data'!$B71,2)</f>
        <v/>
      </c>
      <c r="Q60" s="214">
        <f>ROUNDUP('6 Wear Planner'!R$3/100*'3 Part Data'!$B71,2)</f>
        <v/>
      </c>
      <c r="R60" s="158">
        <f>ROUNDUP('6 Wear Planner'!S$3/100*'3 Part Data'!$B71,2)</f>
        <v/>
      </c>
      <c r="S60" s="4" t="n"/>
    </row>
    <row r="61" ht="14.25" customHeight="1" s="267">
      <c r="A61" s="4" t="inlineStr">
        <is>
          <t>Front Wing</t>
        </is>
      </c>
      <c r="B61" s="231">
        <f>ROUNDUP('6 Wear Planner'!C$3/100*'3 Part Data'!$B72,2)</f>
        <v/>
      </c>
      <c r="C61" s="214">
        <f>ROUNDUP('6 Wear Planner'!D$3/100*'3 Part Data'!$B72,2)</f>
        <v/>
      </c>
      <c r="D61" s="214">
        <f>ROUNDUP('6 Wear Planner'!E$3/100*'3 Part Data'!$B72,2)</f>
        <v/>
      </c>
      <c r="E61" s="214">
        <f>ROUNDUP('6 Wear Planner'!F$3/100*'3 Part Data'!$B72,2)</f>
        <v/>
      </c>
      <c r="F61" s="214">
        <f>ROUNDUP('6 Wear Planner'!G$3/100*'3 Part Data'!$B72,2)</f>
        <v/>
      </c>
      <c r="G61" s="214">
        <f>ROUNDUP('6 Wear Planner'!H$3/100*'3 Part Data'!$B72,2)</f>
        <v/>
      </c>
      <c r="H61" s="214">
        <f>ROUNDUP('6 Wear Planner'!I$3/100*'3 Part Data'!$B72,2)</f>
        <v/>
      </c>
      <c r="I61" s="214">
        <f>ROUNDUP('6 Wear Planner'!J$3/100*'3 Part Data'!$B72,2)</f>
        <v/>
      </c>
      <c r="J61" s="214">
        <f>ROUNDUP('6 Wear Planner'!K$3/100*'3 Part Data'!$B72,2)</f>
        <v/>
      </c>
      <c r="K61" s="214">
        <f>ROUNDUP('6 Wear Planner'!L$3/100*'3 Part Data'!$B72,2)</f>
        <v/>
      </c>
      <c r="L61" s="214">
        <f>ROUNDUP('6 Wear Planner'!M$3/100*'3 Part Data'!$B72,2)</f>
        <v/>
      </c>
      <c r="M61" s="214">
        <f>ROUNDUP('6 Wear Planner'!N$3/100*'3 Part Data'!$B72,2)</f>
        <v/>
      </c>
      <c r="N61" s="214">
        <f>ROUNDUP('6 Wear Planner'!O$3/100*'3 Part Data'!$B72,2)</f>
        <v/>
      </c>
      <c r="O61" s="214">
        <f>ROUNDUP('6 Wear Planner'!P$3/100*'3 Part Data'!$B72,2)</f>
        <v/>
      </c>
      <c r="P61" s="214">
        <f>ROUNDUP('6 Wear Planner'!Q$3/100*'3 Part Data'!$B72,2)</f>
        <v/>
      </c>
      <c r="Q61" s="214">
        <f>ROUNDUP('6 Wear Planner'!R$3/100*'3 Part Data'!$B72,2)</f>
        <v/>
      </c>
      <c r="R61" s="158">
        <f>ROUNDUP('6 Wear Planner'!S$3/100*'3 Part Data'!$B72,2)</f>
        <v/>
      </c>
      <c r="S61" s="4" t="n"/>
    </row>
    <row r="62" ht="14.25" customHeight="1" s="267">
      <c r="A62" s="4" t="inlineStr">
        <is>
          <t>Rear Wing</t>
        </is>
      </c>
      <c r="B62" s="231">
        <f>ROUNDUP('6 Wear Planner'!C$3/100*'3 Part Data'!$B73,2)</f>
        <v/>
      </c>
      <c r="C62" s="214">
        <f>ROUNDUP('6 Wear Planner'!D$3/100*'3 Part Data'!$B73,2)</f>
        <v/>
      </c>
      <c r="D62" s="214">
        <f>ROUNDUP('6 Wear Planner'!E$3/100*'3 Part Data'!$B73,2)</f>
        <v/>
      </c>
      <c r="E62" s="214">
        <f>ROUNDUP('6 Wear Planner'!F$3/100*'3 Part Data'!$B73,2)</f>
        <v/>
      </c>
      <c r="F62" s="214">
        <f>ROUNDUP('6 Wear Planner'!G$3/100*'3 Part Data'!$B73,2)</f>
        <v/>
      </c>
      <c r="G62" s="214">
        <f>ROUNDUP('6 Wear Planner'!H$3/100*'3 Part Data'!$B73,2)</f>
        <v/>
      </c>
      <c r="H62" s="214">
        <f>ROUNDUP('6 Wear Planner'!I$3/100*'3 Part Data'!$B73,2)</f>
        <v/>
      </c>
      <c r="I62" s="214">
        <f>ROUNDUP('6 Wear Planner'!J$3/100*'3 Part Data'!$B73,2)</f>
        <v/>
      </c>
      <c r="J62" s="214">
        <f>ROUNDUP('6 Wear Planner'!K$3/100*'3 Part Data'!$B73,2)</f>
        <v/>
      </c>
      <c r="K62" s="214">
        <f>ROUNDUP('6 Wear Planner'!L$3/100*'3 Part Data'!$B73,2)</f>
        <v/>
      </c>
      <c r="L62" s="214">
        <f>ROUNDUP('6 Wear Planner'!M$3/100*'3 Part Data'!$B73,2)</f>
        <v/>
      </c>
      <c r="M62" s="214">
        <f>ROUNDUP('6 Wear Planner'!N$3/100*'3 Part Data'!$B73,2)</f>
        <v/>
      </c>
      <c r="N62" s="214">
        <f>ROUNDUP('6 Wear Planner'!O$3/100*'3 Part Data'!$B73,2)</f>
        <v/>
      </c>
      <c r="O62" s="214">
        <f>ROUNDUP('6 Wear Planner'!P$3/100*'3 Part Data'!$B73,2)</f>
        <v/>
      </c>
      <c r="P62" s="214">
        <f>ROUNDUP('6 Wear Planner'!Q$3/100*'3 Part Data'!$B73,2)</f>
        <v/>
      </c>
      <c r="Q62" s="214">
        <f>ROUNDUP('6 Wear Planner'!R$3/100*'3 Part Data'!$B73,2)</f>
        <v/>
      </c>
      <c r="R62" s="158">
        <f>ROUNDUP('6 Wear Planner'!S$3/100*'3 Part Data'!$B73,2)</f>
        <v/>
      </c>
      <c r="S62" s="4" t="n"/>
    </row>
    <row r="63" ht="14.25" customHeight="1" s="267">
      <c r="A63" s="4" t="inlineStr">
        <is>
          <t>Underbody</t>
        </is>
      </c>
      <c r="B63" s="231">
        <f>ROUNDUP('6 Wear Planner'!C$3/100*'3 Part Data'!$B74,2)</f>
        <v/>
      </c>
      <c r="C63" s="214">
        <f>ROUNDUP('6 Wear Planner'!D$3/100*'3 Part Data'!$B74,2)</f>
        <v/>
      </c>
      <c r="D63" s="214">
        <f>ROUNDUP('6 Wear Planner'!E$3/100*'3 Part Data'!$B74,2)</f>
        <v/>
      </c>
      <c r="E63" s="214">
        <f>ROUNDUP('6 Wear Planner'!F$3/100*'3 Part Data'!$B74,2)</f>
        <v/>
      </c>
      <c r="F63" s="214">
        <f>ROUNDUP('6 Wear Planner'!G$3/100*'3 Part Data'!$B74,2)</f>
        <v/>
      </c>
      <c r="G63" s="214">
        <f>ROUNDUP('6 Wear Planner'!H$3/100*'3 Part Data'!$B74,2)</f>
        <v/>
      </c>
      <c r="H63" s="214">
        <f>ROUNDUP('6 Wear Planner'!I$3/100*'3 Part Data'!$B74,2)</f>
        <v/>
      </c>
      <c r="I63" s="214">
        <f>ROUNDUP('6 Wear Planner'!J$3/100*'3 Part Data'!$B74,2)</f>
        <v/>
      </c>
      <c r="J63" s="214">
        <f>ROUNDUP('6 Wear Planner'!K$3/100*'3 Part Data'!$B74,2)</f>
        <v/>
      </c>
      <c r="K63" s="214">
        <f>ROUNDUP('6 Wear Planner'!L$3/100*'3 Part Data'!$B74,2)</f>
        <v/>
      </c>
      <c r="L63" s="214">
        <f>ROUNDUP('6 Wear Planner'!M$3/100*'3 Part Data'!$B74,2)</f>
        <v/>
      </c>
      <c r="M63" s="214">
        <f>ROUNDUP('6 Wear Planner'!N$3/100*'3 Part Data'!$B74,2)</f>
        <v/>
      </c>
      <c r="N63" s="214">
        <f>ROUNDUP('6 Wear Planner'!O$3/100*'3 Part Data'!$B74,2)</f>
        <v/>
      </c>
      <c r="O63" s="214">
        <f>ROUNDUP('6 Wear Planner'!P$3/100*'3 Part Data'!$B74,2)</f>
        <v/>
      </c>
      <c r="P63" s="214">
        <f>ROUNDUP('6 Wear Planner'!Q$3/100*'3 Part Data'!$B74,2)</f>
        <v/>
      </c>
      <c r="Q63" s="214">
        <f>ROUNDUP('6 Wear Planner'!R$3/100*'3 Part Data'!$B74,2)</f>
        <v/>
      </c>
      <c r="R63" s="158">
        <f>ROUNDUP('6 Wear Planner'!S$3/100*'3 Part Data'!$B74,2)</f>
        <v/>
      </c>
      <c r="S63" s="4" t="n"/>
    </row>
    <row r="64" ht="14.25" customHeight="1" s="267">
      <c r="A64" s="4" t="inlineStr">
        <is>
          <t>Sidepods</t>
        </is>
      </c>
      <c r="B64" s="231">
        <f>ROUNDUP('6 Wear Planner'!C$3/100*'3 Part Data'!$B75,2)</f>
        <v/>
      </c>
      <c r="C64" s="214">
        <f>ROUNDUP('6 Wear Planner'!D$3/100*'3 Part Data'!$B75,2)</f>
        <v/>
      </c>
      <c r="D64" s="214">
        <f>ROUNDUP('6 Wear Planner'!E$3/100*'3 Part Data'!$B75,2)</f>
        <v/>
      </c>
      <c r="E64" s="214">
        <f>ROUNDUP('6 Wear Planner'!F$3/100*'3 Part Data'!$B75,2)</f>
        <v/>
      </c>
      <c r="F64" s="214">
        <f>ROUNDUP('6 Wear Planner'!G$3/100*'3 Part Data'!$B75,2)</f>
        <v/>
      </c>
      <c r="G64" s="214">
        <f>ROUNDUP('6 Wear Planner'!H$3/100*'3 Part Data'!$B75,2)</f>
        <v/>
      </c>
      <c r="H64" s="214">
        <f>ROUNDUP('6 Wear Planner'!I$3/100*'3 Part Data'!$B75,2)</f>
        <v/>
      </c>
      <c r="I64" s="214">
        <f>ROUNDUP('6 Wear Planner'!J$3/100*'3 Part Data'!$B75,2)</f>
        <v/>
      </c>
      <c r="J64" s="214">
        <f>ROUNDUP('6 Wear Planner'!K$3/100*'3 Part Data'!$B75,2)</f>
        <v/>
      </c>
      <c r="K64" s="214">
        <f>ROUNDUP('6 Wear Planner'!L$3/100*'3 Part Data'!$B75,2)</f>
        <v/>
      </c>
      <c r="L64" s="214">
        <f>ROUNDUP('6 Wear Planner'!M$3/100*'3 Part Data'!$B75,2)</f>
        <v/>
      </c>
      <c r="M64" s="214">
        <f>ROUNDUP('6 Wear Planner'!N$3/100*'3 Part Data'!$B75,2)</f>
        <v/>
      </c>
      <c r="N64" s="214">
        <f>ROUNDUP('6 Wear Planner'!O$3/100*'3 Part Data'!$B75,2)</f>
        <v/>
      </c>
      <c r="O64" s="214">
        <f>ROUNDUP('6 Wear Planner'!P$3/100*'3 Part Data'!$B75,2)</f>
        <v/>
      </c>
      <c r="P64" s="214">
        <f>ROUNDUP('6 Wear Planner'!Q$3/100*'3 Part Data'!$B75,2)</f>
        <v/>
      </c>
      <c r="Q64" s="214">
        <f>ROUNDUP('6 Wear Planner'!R$3/100*'3 Part Data'!$B75,2)</f>
        <v/>
      </c>
      <c r="R64" s="158">
        <f>ROUNDUP('6 Wear Planner'!S$3/100*'3 Part Data'!$B75,2)</f>
        <v/>
      </c>
      <c r="S64" s="4" t="n"/>
    </row>
    <row r="65" ht="14.25" customHeight="1" s="267">
      <c r="A65" s="4" t="inlineStr">
        <is>
          <t>Cooling</t>
        </is>
      </c>
      <c r="B65" s="231">
        <f>ROUNDUP('6 Wear Planner'!C$3/100*'3 Part Data'!$B76,2)</f>
        <v/>
      </c>
      <c r="C65" s="214">
        <f>ROUNDUP('6 Wear Planner'!D$3/100*'3 Part Data'!$B76,2)</f>
        <v/>
      </c>
      <c r="D65" s="214">
        <f>ROUNDUP('6 Wear Planner'!E$3/100*'3 Part Data'!$B76,2)</f>
        <v/>
      </c>
      <c r="E65" s="214">
        <f>ROUNDUP('6 Wear Planner'!F$3/100*'3 Part Data'!$B76,2)</f>
        <v/>
      </c>
      <c r="F65" s="214">
        <f>ROUNDUP('6 Wear Planner'!G$3/100*'3 Part Data'!$B76,2)</f>
        <v/>
      </c>
      <c r="G65" s="214">
        <f>ROUNDUP('6 Wear Planner'!H$3/100*'3 Part Data'!$B76,2)</f>
        <v/>
      </c>
      <c r="H65" s="214">
        <f>ROUNDUP('6 Wear Planner'!I$3/100*'3 Part Data'!$B76,2)</f>
        <v/>
      </c>
      <c r="I65" s="214">
        <f>ROUNDUP('6 Wear Planner'!J$3/100*'3 Part Data'!$B76,2)</f>
        <v/>
      </c>
      <c r="J65" s="214">
        <f>ROUNDUP('6 Wear Planner'!K$3/100*'3 Part Data'!$B76,2)</f>
        <v/>
      </c>
      <c r="K65" s="214">
        <f>ROUNDUP('6 Wear Planner'!L$3/100*'3 Part Data'!$B76,2)</f>
        <v/>
      </c>
      <c r="L65" s="214">
        <f>ROUNDUP('6 Wear Planner'!M$3/100*'3 Part Data'!$B76,2)</f>
        <v/>
      </c>
      <c r="M65" s="214">
        <f>ROUNDUP('6 Wear Planner'!N$3/100*'3 Part Data'!$B76,2)</f>
        <v/>
      </c>
      <c r="N65" s="214">
        <f>ROUNDUP('6 Wear Planner'!O$3/100*'3 Part Data'!$B76,2)</f>
        <v/>
      </c>
      <c r="O65" s="214">
        <f>ROUNDUP('6 Wear Planner'!P$3/100*'3 Part Data'!$B76,2)</f>
        <v/>
      </c>
      <c r="P65" s="214">
        <f>ROUNDUP('6 Wear Planner'!Q$3/100*'3 Part Data'!$B76,2)</f>
        <v/>
      </c>
      <c r="Q65" s="214">
        <f>ROUNDUP('6 Wear Planner'!R$3/100*'3 Part Data'!$B76,2)</f>
        <v/>
      </c>
      <c r="R65" s="158">
        <f>ROUNDUP('6 Wear Planner'!S$3/100*'3 Part Data'!$B76,2)</f>
        <v/>
      </c>
      <c r="S65" s="4" t="n"/>
    </row>
    <row r="66" ht="14.25" customHeight="1" s="267">
      <c r="A66" s="4" t="inlineStr">
        <is>
          <t>Gearbox</t>
        </is>
      </c>
      <c r="B66" s="231">
        <f>ROUNDUP('6 Wear Planner'!C$3/100*'3 Part Data'!$B77,2)</f>
        <v/>
      </c>
      <c r="C66" s="214">
        <f>ROUNDUP('6 Wear Planner'!D$3/100*'3 Part Data'!$B77,2)</f>
        <v/>
      </c>
      <c r="D66" s="214">
        <f>ROUNDUP('6 Wear Planner'!E$3/100*'3 Part Data'!$B77,2)</f>
        <v/>
      </c>
      <c r="E66" s="214">
        <f>ROUNDUP('6 Wear Planner'!F$3/100*'3 Part Data'!$B77,2)</f>
        <v/>
      </c>
      <c r="F66" s="214">
        <f>ROUNDUP('6 Wear Planner'!G$3/100*'3 Part Data'!$B77,2)</f>
        <v/>
      </c>
      <c r="G66" s="214">
        <f>ROUNDUP('6 Wear Planner'!H$3/100*'3 Part Data'!$B77,2)</f>
        <v/>
      </c>
      <c r="H66" s="214">
        <f>ROUNDUP('6 Wear Planner'!I$3/100*'3 Part Data'!$B77,2)</f>
        <v/>
      </c>
      <c r="I66" s="214">
        <f>ROUNDUP('6 Wear Planner'!J$3/100*'3 Part Data'!$B77,2)</f>
        <v/>
      </c>
      <c r="J66" s="214">
        <f>ROUNDUP('6 Wear Planner'!K$3/100*'3 Part Data'!$B77,2)</f>
        <v/>
      </c>
      <c r="K66" s="214">
        <f>ROUNDUP('6 Wear Planner'!L$3/100*'3 Part Data'!$B77,2)</f>
        <v/>
      </c>
      <c r="L66" s="214">
        <f>ROUNDUP('6 Wear Planner'!M$3/100*'3 Part Data'!$B77,2)</f>
        <v/>
      </c>
      <c r="M66" s="214">
        <f>ROUNDUP('6 Wear Planner'!N$3/100*'3 Part Data'!$B77,2)</f>
        <v/>
      </c>
      <c r="N66" s="214">
        <f>ROUNDUP('6 Wear Planner'!O$3/100*'3 Part Data'!$B77,2)</f>
        <v/>
      </c>
      <c r="O66" s="214">
        <f>ROUNDUP('6 Wear Planner'!P$3/100*'3 Part Data'!$B77,2)</f>
        <v/>
      </c>
      <c r="P66" s="214">
        <f>ROUNDUP('6 Wear Planner'!Q$3/100*'3 Part Data'!$B77,2)</f>
        <v/>
      </c>
      <c r="Q66" s="214">
        <f>ROUNDUP('6 Wear Planner'!R$3/100*'3 Part Data'!$B77,2)</f>
        <v/>
      </c>
      <c r="R66" s="158">
        <f>ROUNDUP('6 Wear Planner'!S$3/100*'3 Part Data'!$B77,2)</f>
        <v/>
      </c>
      <c r="S66" s="4" t="n"/>
    </row>
    <row r="67" ht="14.25" customHeight="1" s="267">
      <c r="A67" s="4" t="inlineStr">
        <is>
          <t>Brakes</t>
        </is>
      </c>
      <c r="B67" s="231">
        <f>ROUNDUP('6 Wear Planner'!C$3/100*'3 Part Data'!$B78,2)</f>
        <v/>
      </c>
      <c r="C67" s="214">
        <f>ROUNDUP('6 Wear Planner'!D$3/100*'3 Part Data'!$B78,2)</f>
        <v/>
      </c>
      <c r="D67" s="214">
        <f>ROUNDUP('6 Wear Planner'!E$3/100*'3 Part Data'!$B78,2)</f>
        <v/>
      </c>
      <c r="E67" s="214">
        <f>ROUNDUP('6 Wear Planner'!F$3/100*'3 Part Data'!$B78,2)</f>
        <v/>
      </c>
      <c r="F67" s="214">
        <f>ROUNDUP('6 Wear Planner'!G$3/100*'3 Part Data'!$B78,2)</f>
        <v/>
      </c>
      <c r="G67" s="214">
        <f>ROUNDUP('6 Wear Planner'!H$3/100*'3 Part Data'!$B78,2)</f>
        <v/>
      </c>
      <c r="H67" s="214">
        <f>ROUNDUP('6 Wear Planner'!I$3/100*'3 Part Data'!$B78,2)</f>
        <v/>
      </c>
      <c r="I67" s="214">
        <f>ROUNDUP('6 Wear Planner'!J$3/100*'3 Part Data'!$B78,2)</f>
        <v/>
      </c>
      <c r="J67" s="214">
        <f>ROUNDUP('6 Wear Planner'!K$3/100*'3 Part Data'!$B78,2)</f>
        <v/>
      </c>
      <c r="K67" s="214">
        <f>ROUNDUP('6 Wear Planner'!L$3/100*'3 Part Data'!$B78,2)</f>
        <v/>
      </c>
      <c r="L67" s="214">
        <f>ROUNDUP('6 Wear Planner'!M$3/100*'3 Part Data'!$B78,2)</f>
        <v/>
      </c>
      <c r="M67" s="214">
        <f>ROUNDUP('6 Wear Planner'!N$3/100*'3 Part Data'!$B78,2)</f>
        <v/>
      </c>
      <c r="N67" s="214">
        <f>ROUNDUP('6 Wear Planner'!O$3/100*'3 Part Data'!$B78,2)</f>
        <v/>
      </c>
      <c r="O67" s="214">
        <f>ROUNDUP('6 Wear Planner'!P$3/100*'3 Part Data'!$B78,2)</f>
        <v/>
      </c>
      <c r="P67" s="214">
        <f>ROUNDUP('6 Wear Planner'!Q$3/100*'3 Part Data'!$B78,2)</f>
        <v/>
      </c>
      <c r="Q67" s="214">
        <f>ROUNDUP('6 Wear Planner'!R$3/100*'3 Part Data'!$B78,2)</f>
        <v/>
      </c>
      <c r="R67" s="158">
        <f>ROUNDUP('6 Wear Planner'!S$3/100*'3 Part Data'!$B78,2)</f>
        <v/>
      </c>
      <c r="S67" s="4" t="n"/>
    </row>
    <row r="68" ht="14.25" customHeight="1" s="267">
      <c r="A68" s="4" t="inlineStr">
        <is>
          <t>Suspension</t>
        </is>
      </c>
      <c r="B68" s="231">
        <f>ROUNDUP('6 Wear Planner'!C$3/100*'3 Part Data'!$B79,2)</f>
        <v/>
      </c>
      <c r="C68" s="214">
        <f>ROUNDUP('6 Wear Planner'!D$3/100*'3 Part Data'!$B79,2)</f>
        <v/>
      </c>
      <c r="D68" s="214">
        <f>ROUNDUP('6 Wear Planner'!E$3/100*'3 Part Data'!$B79,2)</f>
        <v/>
      </c>
      <c r="E68" s="214">
        <f>ROUNDUP('6 Wear Planner'!F$3/100*'3 Part Data'!$B79,2)</f>
        <v/>
      </c>
      <c r="F68" s="214">
        <f>ROUNDUP('6 Wear Planner'!G$3/100*'3 Part Data'!$B79,2)</f>
        <v/>
      </c>
      <c r="G68" s="214">
        <f>ROUNDUP('6 Wear Planner'!H$3/100*'3 Part Data'!$B79,2)</f>
        <v/>
      </c>
      <c r="H68" s="214">
        <f>ROUNDUP('6 Wear Planner'!I$3/100*'3 Part Data'!$B79,2)</f>
        <v/>
      </c>
      <c r="I68" s="214">
        <f>ROUNDUP('6 Wear Planner'!J$3/100*'3 Part Data'!$B79,2)</f>
        <v/>
      </c>
      <c r="J68" s="214">
        <f>ROUNDUP('6 Wear Planner'!K$3/100*'3 Part Data'!$B79,2)</f>
        <v/>
      </c>
      <c r="K68" s="214">
        <f>ROUNDUP('6 Wear Planner'!L$3/100*'3 Part Data'!$B79,2)</f>
        <v/>
      </c>
      <c r="L68" s="214">
        <f>ROUNDUP('6 Wear Planner'!M$3/100*'3 Part Data'!$B79,2)</f>
        <v/>
      </c>
      <c r="M68" s="214">
        <f>ROUNDUP('6 Wear Planner'!N$3/100*'3 Part Data'!$B79,2)</f>
        <v/>
      </c>
      <c r="N68" s="214">
        <f>ROUNDUP('6 Wear Planner'!O$3/100*'3 Part Data'!$B79,2)</f>
        <v/>
      </c>
      <c r="O68" s="214">
        <f>ROUNDUP('6 Wear Planner'!P$3/100*'3 Part Data'!$B79,2)</f>
        <v/>
      </c>
      <c r="P68" s="214">
        <f>ROUNDUP('6 Wear Planner'!Q$3/100*'3 Part Data'!$B79,2)</f>
        <v/>
      </c>
      <c r="Q68" s="214">
        <f>ROUNDUP('6 Wear Planner'!R$3/100*'3 Part Data'!$B79,2)</f>
        <v/>
      </c>
      <c r="R68" s="158">
        <f>ROUNDUP('6 Wear Planner'!S$3/100*'3 Part Data'!$B79,2)</f>
        <v/>
      </c>
      <c r="S68" s="4" t="n"/>
    </row>
    <row r="69" ht="14.25" customHeight="1" s="267">
      <c r="A69" s="4" t="inlineStr">
        <is>
          <t>Electronics</t>
        </is>
      </c>
      <c r="B69" s="232">
        <f>ROUNDUP('6 Wear Planner'!C$3/100*'3 Part Data'!$B80,2)</f>
        <v/>
      </c>
      <c r="C69" s="218">
        <f>ROUNDUP('6 Wear Planner'!D$3/100*'3 Part Data'!$B80,2)</f>
        <v/>
      </c>
      <c r="D69" s="218">
        <f>ROUNDUP('6 Wear Planner'!E$3/100*'3 Part Data'!$B80,2)</f>
        <v/>
      </c>
      <c r="E69" s="218">
        <f>ROUNDUP('6 Wear Planner'!F$3/100*'3 Part Data'!$B80,2)</f>
        <v/>
      </c>
      <c r="F69" s="218">
        <f>ROUNDUP('6 Wear Planner'!G$3/100*'3 Part Data'!$B80,2)</f>
        <v/>
      </c>
      <c r="G69" s="218">
        <f>ROUNDUP('6 Wear Planner'!H$3/100*'3 Part Data'!$B80,2)</f>
        <v/>
      </c>
      <c r="H69" s="218">
        <f>ROUNDUP('6 Wear Planner'!I$3/100*'3 Part Data'!$B80,2)</f>
        <v/>
      </c>
      <c r="I69" s="218">
        <f>ROUNDUP('6 Wear Planner'!J$3/100*'3 Part Data'!$B80,2)</f>
        <v/>
      </c>
      <c r="J69" s="218">
        <f>ROUNDUP('6 Wear Planner'!K$3/100*'3 Part Data'!$B80,2)</f>
        <v/>
      </c>
      <c r="K69" s="218">
        <f>ROUNDUP('6 Wear Planner'!L$3/100*'3 Part Data'!$B80,2)</f>
        <v/>
      </c>
      <c r="L69" s="218">
        <f>ROUNDUP('6 Wear Planner'!M$3/100*'3 Part Data'!$B80,2)</f>
        <v/>
      </c>
      <c r="M69" s="218">
        <f>ROUNDUP('6 Wear Planner'!N$3/100*'3 Part Data'!$B80,2)</f>
        <v/>
      </c>
      <c r="N69" s="218">
        <f>ROUNDUP('6 Wear Planner'!O$3/100*'3 Part Data'!$B80,2)</f>
        <v/>
      </c>
      <c r="O69" s="218">
        <f>ROUNDUP('6 Wear Planner'!P$3/100*'3 Part Data'!$B80,2)</f>
        <v/>
      </c>
      <c r="P69" s="218">
        <f>ROUNDUP('6 Wear Planner'!Q$3/100*'3 Part Data'!$B80,2)</f>
        <v/>
      </c>
      <c r="Q69" s="218">
        <f>ROUNDUP('6 Wear Planner'!R$3/100*'3 Part Data'!$B80,2)</f>
        <v/>
      </c>
      <c r="R69" s="163">
        <f>ROUNDUP('6 Wear Planner'!S$3/100*'3 Part Data'!$B80,2)</f>
        <v/>
      </c>
      <c r="S69" s="4" t="n"/>
    </row>
    <row r="70" ht="14.25" customHeight="1" s="267">
      <c r="A70" s="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4" t="n"/>
    </row>
    <row r="71" ht="14.25" customHeight="1" s="267">
      <c r="A71" s="25" t="inlineStr">
        <is>
          <t>Wear after the pre-update testing</t>
        </is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4" t="n"/>
    </row>
    <row r="72" ht="14.25" customHeight="1" s="267">
      <c r="A72" s="4" t="inlineStr">
        <is>
          <t>Chassis</t>
        </is>
      </c>
      <c r="B72" s="229">
        <f>IF('3 Part Data'!B31="",B46+B59,'3 Part Data'!B31)</f>
        <v/>
      </c>
      <c r="C72" s="230">
        <f>IF('3 Part Data'!C31="",C46+C59,'3 Part Data'!C31)</f>
        <v/>
      </c>
      <c r="D72" s="230">
        <f>IF('3 Part Data'!D31="",D46+D59,'3 Part Data'!D31)</f>
        <v/>
      </c>
      <c r="E72" s="230">
        <f>IF('3 Part Data'!E31="",E46+E59,'3 Part Data'!E31)</f>
        <v/>
      </c>
      <c r="F72" s="230">
        <f>IF('3 Part Data'!F31="",F46+F59,'3 Part Data'!F31)</f>
        <v/>
      </c>
      <c r="G72" s="230">
        <f>IF('3 Part Data'!G31="",G46+G59,'3 Part Data'!G31)</f>
        <v/>
      </c>
      <c r="H72" s="230">
        <f>IF('3 Part Data'!H31="",H46+H59,'3 Part Data'!H31)</f>
        <v/>
      </c>
      <c r="I72" s="230">
        <f>IF('3 Part Data'!I31="",I46+I59,'3 Part Data'!I31)</f>
        <v/>
      </c>
      <c r="J72" s="230">
        <f>IF('3 Part Data'!J31="",J46+J59,'3 Part Data'!J31)</f>
        <v/>
      </c>
      <c r="K72" s="230">
        <f>IF('3 Part Data'!K31="",K46+K59,'3 Part Data'!K31)</f>
        <v/>
      </c>
      <c r="L72" s="230">
        <f>IF('3 Part Data'!L31="",L46+L59,'3 Part Data'!L31)</f>
        <v/>
      </c>
      <c r="M72" s="230">
        <f>IF('3 Part Data'!M31="",M46+M59,'3 Part Data'!M31)</f>
        <v/>
      </c>
      <c r="N72" s="230">
        <f>IF('3 Part Data'!N31="",N46+N59,'3 Part Data'!N31)</f>
        <v/>
      </c>
      <c r="O72" s="230">
        <f>IF('3 Part Data'!O31="",O46+O59,'3 Part Data'!O31)</f>
        <v/>
      </c>
      <c r="P72" s="230">
        <f>IF('3 Part Data'!P31="",P46+P59,'3 Part Data'!P31)</f>
        <v/>
      </c>
      <c r="Q72" s="230">
        <f>IF('3 Part Data'!Q31="",Q46+Q59,'3 Part Data'!Q31)</f>
        <v/>
      </c>
      <c r="R72" s="154">
        <f>IF('3 Part Data'!R31="",R46+R59,'3 Part Data'!R31)</f>
        <v/>
      </c>
      <c r="S72" s="4" t="n"/>
    </row>
    <row r="73" ht="14.25" customHeight="1" s="267">
      <c r="A73" s="4" t="inlineStr">
        <is>
          <t>Engine</t>
        </is>
      </c>
      <c r="B73" s="231">
        <f>IF('3 Part Data'!B32="",B47+B60,'3 Part Data'!B32)</f>
        <v/>
      </c>
      <c r="C73" s="214">
        <f>IF('3 Part Data'!C32="",C47+C60,'3 Part Data'!C32)</f>
        <v/>
      </c>
      <c r="D73" s="214">
        <f>IF('3 Part Data'!D32="",D47+D60,'3 Part Data'!D32)</f>
        <v/>
      </c>
      <c r="E73" s="214">
        <f>IF('3 Part Data'!E32="",E47+E60,'3 Part Data'!E32)</f>
        <v/>
      </c>
      <c r="F73" s="214">
        <f>IF('3 Part Data'!F32="",F47+F60,'3 Part Data'!F32)</f>
        <v/>
      </c>
      <c r="G73" s="214">
        <f>IF('3 Part Data'!G32="",G47+G60,'3 Part Data'!G32)</f>
        <v/>
      </c>
      <c r="H73" s="214">
        <f>IF('3 Part Data'!H32="",H47+H60,'3 Part Data'!H32)</f>
        <v/>
      </c>
      <c r="I73" s="214">
        <f>IF('3 Part Data'!I32="",I47+I60,'3 Part Data'!I32)</f>
        <v/>
      </c>
      <c r="J73" s="214">
        <f>IF('3 Part Data'!J32="",J47+J60,'3 Part Data'!J32)</f>
        <v/>
      </c>
      <c r="K73" s="214">
        <f>IF('3 Part Data'!K32="",K47+K60,'3 Part Data'!K32)</f>
        <v/>
      </c>
      <c r="L73" s="214">
        <f>IF('3 Part Data'!L32="",L47+L60,'3 Part Data'!L32)</f>
        <v/>
      </c>
      <c r="M73" s="214">
        <f>IF('3 Part Data'!M32="",M47+M60,'3 Part Data'!M32)</f>
        <v/>
      </c>
      <c r="N73" s="214">
        <f>IF('3 Part Data'!N32="",N47+N60,'3 Part Data'!N32)</f>
        <v/>
      </c>
      <c r="O73" s="214">
        <f>IF('3 Part Data'!O32="",O47+O60,'3 Part Data'!O32)</f>
        <v/>
      </c>
      <c r="P73" s="214">
        <f>IF('3 Part Data'!P32="",P47+P60,'3 Part Data'!P32)</f>
        <v/>
      </c>
      <c r="Q73" s="214">
        <f>IF('3 Part Data'!Q32="",Q47+Q60,'3 Part Data'!Q32)</f>
        <v/>
      </c>
      <c r="R73" s="158">
        <f>IF('3 Part Data'!R32="",R47+R60,'3 Part Data'!R32)</f>
        <v/>
      </c>
      <c r="S73" s="4" t="n"/>
    </row>
    <row r="74" ht="14.25" customHeight="1" s="267">
      <c r="A74" s="4" t="inlineStr">
        <is>
          <t>Front Wing</t>
        </is>
      </c>
      <c r="B74" s="231">
        <f>IF('3 Part Data'!B33="",B48+B61,'3 Part Data'!B33)</f>
        <v/>
      </c>
      <c r="C74" s="214">
        <f>IF('3 Part Data'!C33="",C48+C61,'3 Part Data'!C33)</f>
        <v/>
      </c>
      <c r="D74" s="214">
        <f>IF('3 Part Data'!D33="",D48+D61,'3 Part Data'!D33)</f>
        <v/>
      </c>
      <c r="E74" s="214">
        <f>IF('3 Part Data'!E33="",E48+E61,'3 Part Data'!E33)</f>
        <v/>
      </c>
      <c r="F74" s="214">
        <f>IF('3 Part Data'!F33="",F48+F61,'3 Part Data'!F33)</f>
        <v/>
      </c>
      <c r="G74" s="214">
        <f>IF('3 Part Data'!G33="",G48+G61,'3 Part Data'!G33)</f>
        <v/>
      </c>
      <c r="H74" s="214">
        <f>IF('3 Part Data'!H33="",H48+H61,'3 Part Data'!H33)</f>
        <v/>
      </c>
      <c r="I74" s="214">
        <f>IF('3 Part Data'!I33="",I48+I61,'3 Part Data'!I33)</f>
        <v/>
      </c>
      <c r="J74" s="214">
        <f>IF('3 Part Data'!J33="",J48+J61,'3 Part Data'!J33)</f>
        <v/>
      </c>
      <c r="K74" s="214">
        <f>IF('3 Part Data'!K33="",K48+K61,'3 Part Data'!K33)</f>
        <v/>
      </c>
      <c r="L74" s="214">
        <f>IF('3 Part Data'!L33="",L48+L61,'3 Part Data'!L33)</f>
        <v/>
      </c>
      <c r="M74" s="214">
        <f>IF('3 Part Data'!M33="",M48+M61,'3 Part Data'!M33)</f>
        <v/>
      </c>
      <c r="N74" s="214">
        <f>IF('3 Part Data'!N33="",N48+N61,'3 Part Data'!N33)</f>
        <v/>
      </c>
      <c r="O74" s="214">
        <f>IF('3 Part Data'!O33="",O48+O61,'3 Part Data'!O33)</f>
        <v/>
      </c>
      <c r="P74" s="214">
        <f>IF('3 Part Data'!P33="",P48+P61,'3 Part Data'!P33)</f>
        <v/>
      </c>
      <c r="Q74" s="214">
        <f>IF('3 Part Data'!Q33="",Q48+Q61,'3 Part Data'!Q33)</f>
        <v/>
      </c>
      <c r="R74" s="158">
        <f>IF('3 Part Data'!R33="",R48+R61,'3 Part Data'!R33)</f>
        <v/>
      </c>
      <c r="S74" s="4" t="n"/>
    </row>
    <row r="75" ht="14.25" customHeight="1" s="267">
      <c r="A75" s="4" t="inlineStr">
        <is>
          <t>Rear Wing</t>
        </is>
      </c>
      <c r="B75" s="231">
        <f>IF('3 Part Data'!B34="",B49+B62,'3 Part Data'!B34)</f>
        <v/>
      </c>
      <c r="C75" s="214">
        <f>IF('3 Part Data'!C34="",C49+C62,'3 Part Data'!C34)</f>
        <v/>
      </c>
      <c r="D75" s="214">
        <f>IF('3 Part Data'!D34="",D49+D62,'3 Part Data'!D34)</f>
        <v/>
      </c>
      <c r="E75" s="214">
        <f>IF('3 Part Data'!E34="",E49+E62,'3 Part Data'!E34)</f>
        <v/>
      </c>
      <c r="F75" s="214">
        <f>IF('3 Part Data'!F34="",F49+F62,'3 Part Data'!F34)</f>
        <v/>
      </c>
      <c r="G75" s="214">
        <f>IF('3 Part Data'!G34="",G49+G62,'3 Part Data'!G34)</f>
        <v/>
      </c>
      <c r="H75" s="214">
        <f>IF('3 Part Data'!H34="",H49+H62,'3 Part Data'!H34)</f>
        <v/>
      </c>
      <c r="I75" s="214">
        <f>IF('3 Part Data'!I34="",I49+I62,'3 Part Data'!I34)</f>
        <v/>
      </c>
      <c r="J75" s="214">
        <f>IF('3 Part Data'!J34="",J49+J62,'3 Part Data'!J34)</f>
        <v/>
      </c>
      <c r="K75" s="214">
        <f>IF('3 Part Data'!K34="",K49+K62,'3 Part Data'!K34)</f>
        <v/>
      </c>
      <c r="L75" s="214">
        <f>IF('3 Part Data'!L34="",L49+L62,'3 Part Data'!L34)</f>
        <v/>
      </c>
      <c r="M75" s="214">
        <f>IF('3 Part Data'!M34="",M49+M62,'3 Part Data'!M34)</f>
        <v/>
      </c>
      <c r="N75" s="214">
        <f>IF('3 Part Data'!N34="",N49+N62,'3 Part Data'!N34)</f>
        <v/>
      </c>
      <c r="O75" s="214">
        <f>IF('3 Part Data'!O34="",O49+O62,'3 Part Data'!O34)</f>
        <v/>
      </c>
      <c r="P75" s="214">
        <f>IF('3 Part Data'!P34="",P49+P62,'3 Part Data'!P34)</f>
        <v/>
      </c>
      <c r="Q75" s="214">
        <f>IF('3 Part Data'!Q34="",Q49+Q62,'3 Part Data'!Q34)</f>
        <v/>
      </c>
      <c r="R75" s="158">
        <f>IF('3 Part Data'!R34="",R49+R62,'3 Part Data'!R34)</f>
        <v/>
      </c>
      <c r="S75" s="4" t="n"/>
    </row>
    <row r="76" ht="14.25" customHeight="1" s="267">
      <c r="A76" s="4" t="inlineStr">
        <is>
          <t>Underbody</t>
        </is>
      </c>
      <c r="B76" s="231">
        <f>IF('3 Part Data'!B35="",B50+B63,'3 Part Data'!B35)</f>
        <v/>
      </c>
      <c r="C76" s="214">
        <f>IF('3 Part Data'!C35="",C50+C63,'3 Part Data'!C35)</f>
        <v/>
      </c>
      <c r="D76" s="214">
        <f>IF('3 Part Data'!D35="",D50+D63,'3 Part Data'!D35)</f>
        <v/>
      </c>
      <c r="E76" s="214">
        <f>IF('3 Part Data'!E35="",E50+E63,'3 Part Data'!E35)</f>
        <v/>
      </c>
      <c r="F76" s="214">
        <f>IF('3 Part Data'!F35="",F50+F63,'3 Part Data'!F35)</f>
        <v/>
      </c>
      <c r="G76" s="214">
        <f>IF('3 Part Data'!G35="",G50+G63,'3 Part Data'!G35)</f>
        <v/>
      </c>
      <c r="H76" s="214">
        <f>IF('3 Part Data'!H35="",H50+H63,'3 Part Data'!H35)</f>
        <v/>
      </c>
      <c r="I76" s="214">
        <f>IF('3 Part Data'!I35="",I50+I63,'3 Part Data'!I35)</f>
        <v/>
      </c>
      <c r="J76" s="214">
        <f>IF('3 Part Data'!J35="",J50+J63,'3 Part Data'!J35)</f>
        <v/>
      </c>
      <c r="K76" s="214">
        <f>IF('3 Part Data'!K35="",K50+K63,'3 Part Data'!K35)</f>
        <v/>
      </c>
      <c r="L76" s="214">
        <f>IF('3 Part Data'!L35="",L50+L63,'3 Part Data'!L35)</f>
        <v/>
      </c>
      <c r="M76" s="214">
        <f>IF('3 Part Data'!M35="",M50+M63,'3 Part Data'!M35)</f>
        <v/>
      </c>
      <c r="N76" s="214">
        <f>IF('3 Part Data'!N35="",N50+N63,'3 Part Data'!N35)</f>
        <v/>
      </c>
      <c r="O76" s="214">
        <f>IF('3 Part Data'!O35="",O50+O63,'3 Part Data'!O35)</f>
        <v/>
      </c>
      <c r="P76" s="214">
        <f>IF('3 Part Data'!P35="",P50+P63,'3 Part Data'!P35)</f>
        <v/>
      </c>
      <c r="Q76" s="214">
        <f>IF('3 Part Data'!Q35="",Q50+Q63,'3 Part Data'!Q35)</f>
        <v/>
      </c>
      <c r="R76" s="158">
        <f>IF('3 Part Data'!R35="",R50+R63,'3 Part Data'!R35)</f>
        <v/>
      </c>
      <c r="S76" s="4" t="n"/>
    </row>
    <row r="77" ht="14.25" customHeight="1" s="267">
      <c r="A77" s="4" t="inlineStr">
        <is>
          <t>Sidepods</t>
        </is>
      </c>
      <c r="B77" s="231">
        <f>IF('3 Part Data'!B36="",B51+B64,'3 Part Data'!B36)</f>
        <v/>
      </c>
      <c r="C77" s="214">
        <f>IF('3 Part Data'!C36="",C51+C64,'3 Part Data'!C36)</f>
        <v/>
      </c>
      <c r="D77" s="214">
        <f>IF('3 Part Data'!D36="",D51+D64,'3 Part Data'!D36)</f>
        <v/>
      </c>
      <c r="E77" s="214">
        <f>IF('3 Part Data'!E36="",E51+E64,'3 Part Data'!E36)</f>
        <v/>
      </c>
      <c r="F77" s="214">
        <f>IF('3 Part Data'!F36="",F51+F64,'3 Part Data'!F36)</f>
        <v/>
      </c>
      <c r="G77" s="214">
        <f>IF('3 Part Data'!G36="",G51+G64,'3 Part Data'!G36)</f>
        <v/>
      </c>
      <c r="H77" s="214">
        <f>IF('3 Part Data'!H36="",H51+H64,'3 Part Data'!H36)</f>
        <v/>
      </c>
      <c r="I77" s="214">
        <f>IF('3 Part Data'!I36="",I51+I64,'3 Part Data'!I36)</f>
        <v/>
      </c>
      <c r="J77" s="214">
        <f>IF('3 Part Data'!J36="",J51+J64,'3 Part Data'!J36)</f>
        <v/>
      </c>
      <c r="K77" s="214">
        <f>IF('3 Part Data'!K36="",K51+K64,'3 Part Data'!K36)</f>
        <v/>
      </c>
      <c r="L77" s="214">
        <f>IF('3 Part Data'!L36="",L51+L64,'3 Part Data'!L36)</f>
        <v/>
      </c>
      <c r="M77" s="214">
        <f>IF('3 Part Data'!M36="",M51+M64,'3 Part Data'!M36)</f>
        <v/>
      </c>
      <c r="N77" s="214">
        <f>IF('3 Part Data'!N36="",N51+N64,'3 Part Data'!N36)</f>
        <v/>
      </c>
      <c r="O77" s="214">
        <f>IF('3 Part Data'!O36="",O51+O64,'3 Part Data'!O36)</f>
        <v/>
      </c>
      <c r="P77" s="214">
        <f>IF('3 Part Data'!P36="",P51+P64,'3 Part Data'!P36)</f>
        <v/>
      </c>
      <c r="Q77" s="214">
        <f>IF('3 Part Data'!Q36="",Q51+Q64,'3 Part Data'!Q36)</f>
        <v/>
      </c>
      <c r="R77" s="158">
        <f>IF('3 Part Data'!R36="",R51+R64,'3 Part Data'!R36)</f>
        <v/>
      </c>
      <c r="S77" s="4" t="n"/>
    </row>
    <row r="78" ht="14.25" customHeight="1" s="267">
      <c r="A78" s="4" t="inlineStr">
        <is>
          <t>Cooling</t>
        </is>
      </c>
      <c r="B78" s="231">
        <f>IF('3 Part Data'!B37="",B52+B65,'3 Part Data'!B37)</f>
        <v/>
      </c>
      <c r="C78" s="214">
        <f>IF('3 Part Data'!C37="",C52+C65,'3 Part Data'!C37)</f>
        <v/>
      </c>
      <c r="D78" s="214">
        <f>IF('3 Part Data'!D37="",D52+D65,'3 Part Data'!D37)</f>
        <v/>
      </c>
      <c r="E78" s="214">
        <f>IF('3 Part Data'!E37="",E52+E65,'3 Part Data'!E37)</f>
        <v/>
      </c>
      <c r="F78" s="214">
        <f>IF('3 Part Data'!F37="",F52+F65,'3 Part Data'!F37)</f>
        <v/>
      </c>
      <c r="G78" s="214">
        <f>IF('3 Part Data'!G37="",G52+G65,'3 Part Data'!G37)</f>
        <v/>
      </c>
      <c r="H78" s="214">
        <f>IF('3 Part Data'!H37="",H52+H65,'3 Part Data'!H37)</f>
        <v/>
      </c>
      <c r="I78" s="214">
        <f>IF('3 Part Data'!I37="",I52+I65,'3 Part Data'!I37)</f>
        <v/>
      </c>
      <c r="J78" s="214">
        <f>IF('3 Part Data'!J37="",J52+J65,'3 Part Data'!J37)</f>
        <v/>
      </c>
      <c r="K78" s="214">
        <f>IF('3 Part Data'!K37="",K52+K65,'3 Part Data'!K37)</f>
        <v/>
      </c>
      <c r="L78" s="214">
        <f>IF('3 Part Data'!L37="",L52+L65,'3 Part Data'!L37)</f>
        <v/>
      </c>
      <c r="M78" s="214">
        <f>IF('3 Part Data'!M37="",M52+M65,'3 Part Data'!M37)</f>
        <v/>
      </c>
      <c r="N78" s="214">
        <f>IF('3 Part Data'!N37="",N52+N65,'3 Part Data'!N37)</f>
        <v/>
      </c>
      <c r="O78" s="214">
        <f>IF('3 Part Data'!O37="",O52+O65,'3 Part Data'!O37)</f>
        <v/>
      </c>
      <c r="P78" s="214">
        <f>IF('3 Part Data'!P37="",P52+P65,'3 Part Data'!P37)</f>
        <v/>
      </c>
      <c r="Q78" s="214">
        <f>IF('3 Part Data'!Q37="",Q52+Q65,'3 Part Data'!Q37)</f>
        <v/>
      </c>
      <c r="R78" s="158">
        <f>IF('3 Part Data'!R37="",R52+R65,'3 Part Data'!R37)</f>
        <v/>
      </c>
      <c r="S78" s="4" t="n"/>
    </row>
    <row r="79" ht="14.25" customHeight="1" s="267">
      <c r="A79" s="4" t="inlineStr">
        <is>
          <t>Gearbox</t>
        </is>
      </c>
      <c r="B79" s="231">
        <f>IF('3 Part Data'!B38="",B53+B66,'3 Part Data'!B38)</f>
        <v/>
      </c>
      <c r="C79" s="214">
        <f>IF('3 Part Data'!C38="",C53+C66,'3 Part Data'!C38)</f>
        <v/>
      </c>
      <c r="D79" s="214">
        <f>IF('3 Part Data'!D38="",D53+D66,'3 Part Data'!D38)</f>
        <v/>
      </c>
      <c r="E79" s="214">
        <f>IF('3 Part Data'!E38="",E53+E66,'3 Part Data'!E38)</f>
        <v/>
      </c>
      <c r="F79" s="214">
        <f>IF('3 Part Data'!F38="",F53+F66,'3 Part Data'!F38)</f>
        <v/>
      </c>
      <c r="G79" s="214">
        <f>IF('3 Part Data'!G38="",G53+G66,'3 Part Data'!G38)</f>
        <v/>
      </c>
      <c r="H79" s="214">
        <f>IF('3 Part Data'!H38="",H53+H66,'3 Part Data'!H38)</f>
        <v/>
      </c>
      <c r="I79" s="214">
        <f>IF('3 Part Data'!I38="",I53+I66,'3 Part Data'!I38)</f>
        <v/>
      </c>
      <c r="J79" s="214">
        <f>IF('3 Part Data'!J38="",J53+J66,'3 Part Data'!J38)</f>
        <v/>
      </c>
      <c r="K79" s="214">
        <f>IF('3 Part Data'!K38="",K53+K66,'3 Part Data'!K38)</f>
        <v/>
      </c>
      <c r="L79" s="214">
        <f>IF('3 Part Data'!L38="",L53+L66,'3 Part Data'!L38)</f>
        <v/>
      </c>
      <c r="M79" s="214">
        <f>IF('3 Part Data'!M38="",M53+M66,'3 Part Data'!M38)</f>
        <v/>
      </c>
      <c r="N79" s="214">
        <f>IF('3 Part Data'!N38="",N53+N66,'3 Part Data'!N38)</f>
        <v/>
      </c>
      <c r="O79" s="214">
        <f>IF('3 Part Data'!O38="",O53+O66,'3 Part Data'!O38)</f>
        <v/>
      </c>
      <c r="P79" s="214">
        <f>IF('3 Part Data'!P38="",P53+P66,'3 Part Data'!P38)</f>
        <v/>
      </c>
      <c r="Q79" s="214">
        <f>IF('3 Part Data'!Q38="",Q53+Q66,'3 Part Data'!Q38)</f>
        <v/>
      </c>
      <c r="R79" s="158">
        <f>IF('3 Part Data'!R38="",R53+R66,'3 Part Data'!R38)</f>
        <v/>
      </c>
      <c r="S79" s="4" t="n"/>
    </row>
    <row r="80" ht="14.25" customHeight="1" s="267">
      <c r="A80" s="4" t="inlineStr">
        <is>
          <t>Brakes</t>
        </is>
      </c>
      <c r="B80" s="231">
        <f>IF('3 Part Data'!B39="",B54+B67,'3 Part Data'!B39)</f>
        <v/>
      </c>
      <c r="C80" s="214">
        <f>IF('3 Part Data'!C39="",C54+C67,'3 Part Data'!C39)</f>
        <v/>
      </c>
      <c r="D80" s="214">
        <f>IF('3 Part Data'!D39="",D54+D67,'3 Part Data'!D39)</f>
        <v/>
      </c>
      <c r="E80" s="214">
        <f>IF('3 Part Data'!E39="",E54+E67,'3 Part Data'!E39)</f>
        <v/>
      </c>
      <c r="F80" s="214">
        <f>IF('3 Part Data'!F39="",F54+F67,'3 Part Data'!F39)</f>
        <v/>
      </c>
      <c r="G80" s="214">
        <f>IF('3 Part Data'!G39="",G54+G67,'3 Part Data'!G39)</f>
        <v/>
      </c>
      <c r="H80" s="214">
        <f>IF('3 Part Data'!H39="",H54+H67,'3 Part Data'!H39)</f>
        <v/>
      </c>
      <c r="I80" s="214">
        <f>IF('3 Part Data'!I39="",I54+I67,'3 Part Data'!I39)</f>
        <v/>
      </c>
      <c r="J80" s="214">
        <f>IF('3 Part Data'!J39="",J54+J67,'3 Part Data'!J39)</f>
        <v/>
      </c>
      <c r="K80" s="214">
        <f>IF('3 Part Data'!K39="",K54+K67,'3 Part Data'!K39)</f>
        <v/>
      </c>
      <c r="L80" s="214">
        <f>IF('3 Part Data'!L39="",L54+L67,'3 Part Data'!L39)</f>
        <v/>
      </c>
      <c r="M80" s="214">
        <f>IF('3 Part Data'!M39="",M54+M67,'3 Part Data'!M39)</f>
        <v/>
      </c>
      <c r="N80" s="214">
        <f>IF('3 Part Data'!N39="",N54+N67,'3 Part Data'!N39)</f>
        <v/>
      </c>
      <c r="O80" s="214">
        <f>IF('3 Part Data'!O39="",O54+O67,'3 Part Data'!O39)</f>
        <v/>
      </c>
      <c r="P80" s="214">
        <f>IF('3 Part Data'!P39="",P54+P67,'3 Part Data'!P39)</f>
        <v/>
      </c>
      <c r="Q80" s="214">
        <f>IF('3 Part Data'!Q39="",Q54+Q67,'3 Part Data'!Q39)</f>
        <v/>
      </c>
      <c r="R80" s="158">
        <f>IF('3 Part Data'!R39="",R54+R67,'3 Part Data'!R39)</f>
        <v/>
      </c>
      <c r="S80" s="4" t="n"/>
    </row>
    <row r="81" ht="14.25" customHeight="1" s="267">
      <c r="A81" s="4" t="inlineStr">
        <is>
          <t>Suspension</t>
        </is>
      </c>
      <c r="B81" s="231">
        <f>IF('3 Part Data'!B40="",B55+B68,'3 Part Data'!B40)</f>
        <v/>
      </c>
      <c r="C81" s="214">
        <f>IF('3 Part Data'!C40="",C55+C68,'3 Part Data'!C40)</f>
        <v/>
      </c>
      <c r="D81" s="214">
        <f>IF('3 Part Data'!D40="",D55+D68,'3 Part Data'!D40)</f>
        <v/>
      </c>
      <c r="E81" s="214">
        <f>IF('3 Part Data'!E40="",E55+E68,'3 Part Data'!E40)</f>
        <v/>
      </c>
      <c r="F81" s="214">
        <f>IF('3 Part Data'!F40="",F55+F68,'3 Part Data'!F40)</f>
        <v/>
      </c>
      <c r="G81" s="214">
        <f>IF('3 Part Data'!G40="",G55+G68,'3 Part Data'!G40)</f>
        <v/>
      </c>
      <c r="H81" s="214">
        <f>IF('3 Part Data'!H40="",H55+H68,'3 Part Data'!H40)</f>
        <v/>
      </c>
      <c r="I81" s="214">
        <f>IF('3 Part Data'!I40="",I55+I68,'3 Part Data'!I40)</f>
        <v/>
      </c>
      <c r="J81" s="214">
        <f>IF('3 Part Data'!J40="",J55+J68,'3 Part Data'!J40)</f>
        <v/>
      </c>
      <c r="K81" s="214">
        <f>IF('3 Part Data'!K40="",K55+K68,'3 Part Data'!K40)</f>
        <v/>
      </c>
      <c r="L81" s="214">
        <f>IF('3 Part Data'!L40="",L55+L68,'3 Part Data'!L40)</f>
        <v/>
      </c>
      <c r="M81" s="214">
        <f>IF('3 Part Data'!M40="",M55+M68,'3 Part Data'!M40)</f>
        <v/>
      </c>
      <c r="N81" s="214">
        <f>IF('3 Part Data'!N40="",N55+N68,'3 Part Data'!N40)</f>
        <v/>
      </c>
      <c r="O81" s="214">
        <f>IF('3 Part Data'!O40="",O55+O68,'3 Part Data'!O40)</f>
        <v/>
      </c>
      <c r="P81" s="214">
        <f>IF('3 Part Data'!P40="",P55+P68,'3 Part Data'!P40)</f>
        <v/>
      </c>
      <c r="Q81" s="214">
        <f>IF('3 Part Data'!Q40="",Q55+Q68,'3 Part Data'!Q40)</f>
        <v/>
      </c>
      <c r="R81" s="158">
        <f>IF('3 Part Data'!R40="",R55+R68,'3 Part Data'!R40)</f>
        <v/>
      </c>
      <c r="S81" s="4" t="n"/>
    </row>
    <row r="82" ht="14.25" customHeight="1" s="267">
      <c r="A82" s="4" t="inlineStr">
        <is>
          <t>Electronics</t>
        </is>
      </c>
      <c r="B82" s="232">
        <f>IF('3 Part Data'!B41="",B56+B69,'3 Part Data'!B41)</f>
        <v/>
      </c>
      <c r="C82" s="218">
        <f>IF('3 Part Data'!C41="",C56+C69,'3 Part Data'!C41)</f>
        <v/>
      </c>
      <c r="D82" s="218">
        <f>IF('3 Part Data'!D41="",D56+D69,'3 Part Data'!D41)</f>
        <v/>
      </c>
      <c r="E82" s="218">
        <f>IF('3 Part Data'!E41="",E56+E69,'3 Part Data'!E41)</f>
        <v/>
      </c>
      <c r="F82" s="218">
        <f>IF('3 Part Data'!F41="",F56+F69,'3 Part Data'!F41)</f>
        <v/>
      </c>
      <c r="G82" s="218">
        <f>IF('3 Part Data'!G41="",G56+G69,'3 Part Data'!G41)</f>
        <v/>
      </c>
      <c r="H82" s="218">
        <f>IF('3 Part Data'!H41="",H56+H69,'3 Part Data'!H41)</f>
        <v/>
      </c>
      <c r="I82" s="218">
        <f>IF('3 Part Data'!I41="",I56+I69,'3 Part Data'!I41)</f>
        <v/>
      </c>
      <c r="J82" s="218">
        <f>IF('3 Part Data'!J41="",J56+J69,'3 Part Data'!J41)</f>
        <v/>
      </c>
      <c r="K82" s="218">
        <f>IF('3 Part Data'!K41="",K56+K69,'3 Part Data'!K41)</f>
        <v/>
      </c>
      <c r="L82" s="218">
        <f>IF('3 Part Data'!L41="",L56+L69,'3 Part Data'!L41)</f>
        <v/>
      </c>
      <c r="M82" s="218">
        <f>IF('3 Part Data'!M41="",M56+M69,'3 Part Data'!M41)</f>
        <v/>
      </c>
      <c r="N82" s="218">
        <f>IF('3 Part Data'!N41="",N56+N69,'3 Part Data'!N41)</f>
        <v/>
      </c>
      <c r="O82" s="218">
        <f>IF('3 Part Data'!O41="",O56+O69,'3 Part Data'!O41)</f>
        <v/>
      </c>
      <c r="P82" s="218">
        <f>IF('3 Part Data'!P41="",P56+P69,'3 Part Data'!P41)</f>
        <v/>
      </c>
      <c r="Q82" s="218">
        <f>IF('3 Part Data'!Q41="",Q56+Q69,'3 Part Data'!Q41)</f>
        <v/>
      </c>
      <c r="R82" s="163">
        <f>IF('3 Part Data'!R41="",R56+R69,'3 Part Data'!R41)</f>
        <v/>
      </c>
      <c r="S82" s="4" t="n"/>
    </row>
    <row r="83" ht="14.25" customHeight="1" s="267">
      <c r="A83" s="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4" t="n"/>
    </row>
    <row r="84" ht="14.25" customHeight="1" s="267">
      <c r="A84" s="25" t="inlineStr">
        <is>
          <t>Wear after update</t>
        </is>
      </c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4" t="n"/>
    </row>
    <row r="85" ht="14.25" customHeight="1" s="267">
      <c r="A85" s="4" t="inlineStr">
        <is>
          <t>Chassis</t>
        </is>
      </c>
      <c r="B85" s="229">
        <f>B72</f>
        <v/>
      </c>
      <c r="C85" s="230">
        <f>IF('3 Part Data'!C44="",IF(LEFT(C5,5)="Level",0,IF(LEFT(C5,9)="Downgrade",MIN(C72,0.99)-ROUND(15/99*MIN(C72,0.99)*(B18-C18),2),MIN(C72,0.99))),'3 Part Data'!C44)</f>
        <v/>
      </c>
      <c r="D85" s="230">
        <f>IF('3 Part Data'!D44="",IF(LEFT(D5,5)="Level",0,IF(LEFT(D5,9)="Downgrade",MIN(D72,0.99)-ROUND(15/99*MIN(D72,0.99)*(C18-D18),2),MIN(D72,0.99))),'3 Part Data'!D44)</f>
        <v/>
      </c>
      <c r="E85" s="230">
        <f>IF('3 Part Data'!E44="",IF(LEFT(E5,5)="Level",0,IF(LEFT(E5,9)="Downgrade",MIN(E72,0.99)-ROUND(15/99*MIN(E72,0.99)*(D18-E18),2),MIN(E72,0.99))),'3 Part Data'!E44)</f>
        <v/>
      </c>
      <c r="F85" s="230">
        <f>IF('3 Part Data'!F44="",IF(LEFT(F5,5)="Level",0,IF(LEFT(F5,9)="Downgrade",MIN(F72,0.99)-ROUND(15/99*MIN(F72,0.99)*(E18-F18),2),MIN(F72,0.99))),'3 Part Data'!F44)</f>
        <v/>
      </c>
      <c r="G85" s="230">
        <f>IF('3 Part Data'!G44="",IF(LEFT(G5,5)="Level",0,IF(LEFT(G5,9)="Downgrade",MIN(G72,0.99)-ROUND(15/99*MIN(G72,0.99)*(F18-G18),2),MIN(G72,0.99))),'3 Part Data'!G44)</f>
        <v/>
      </c>
      <c r="H85" s="230">
        <f>IF('3 Part Data'!H44="",IF(LEFT(H5,5)="Level",0,IF(LEFT(H5,9)="Downgrade",MIN(H72,0.99)-ROUND(15/99*MIN(H72,0.99)*(G18-H18),2),MIN(H72,0.99))),'3 Part Data'!H44)</f>
        <v/>
      </c>
      <c r="I85" s="230">
        <f>IF('3 Part Data'!I44="",IF(LEFT(I5,5)="Level",0,IF(LEFT(I5,9)="Downgrade",MIN(I72,0.99)-ROUND(15/99*MIN(I72,0.99)*(H18-I18),2),MIN(I72,0.99))),'3 Part Data'!I44)</f>
        <v/>
      </c>
      <c r="J85" s="230">
        <f>IF('3 Part Data'!J44="",IF(LEFT(J5,5)="Level",0,IF(LEFT(J5,9)="Downgrade",MIN(J72,0.99)-ROUND(15/99*MIN(J72,0.99)*(I18-J18),2),MIN(J72,0.99))),'3 Part Data'!J44)</f>
        <v/>
      </c>
      <c r="K85" s="230">
        <f>IF('3 Part Data'!K44="",IF(LEFT(K5,5)="Level",0,IF(LEFT(K5,9)="Downgrade",MIN(K72,0.99)-ROUND(15/99*MIN(K72,0.99)*(J18-K18),2),MIN(K72,0.99))),'3 Part Data'!K44)</f>
        <v/>
      </c>
      <c r="L85" s="230">
        <f>IF('3 Part Data'!L44="",IF(LEFT(L5,5)="Level",0,IF(LEFT(L5,9)="Downgrade",MIN(L72,0.99)-ROUND(15/99*MIN(L72,0.99)*(K18-L18),2),MIN(L72,0.99))),'3 Part Data'!L44)</f>
        <v/>
      </c>
      <c r="M85" s="230">
        <f>IF('3 Part Data'!M44="",IF(LEFT(M5,5)="Level",0,IF(LEFT(M5,9)="Downgrade",MIN(M72,0.99)-ROUND(15/99*MIN(M72,0.99)*(L18-M18),2),MIN(M72,0.99))),'3 Part Data'!M44)</f>
        <v/>
      </c>
      <c r="N85" s="230">
        <f>IF('3 Part Data'!N44="",IF(LEFT(N5,5)="Level",0,IF(LEFT(N5,9)="Downgrade",MIN(N72,0.99)-ROUND(15/99*MIN(N72,0.99)*(M18-N18),2),MIN(N72,0.99))),'3 Part Data'!N44)</f>
        <v/>
      </c>
      <c r="O85" s="230">
        <f>IF('3 Part Data'!O44="",IF(LEFT(O5,5)="Level",0,IF(LEFT(O5,9)="Downgrade",MIN(O72,0.99)-ROUND(15/99*MIN(O72,0.99)*(N18-O18),2),MIN(O72,0.99))),'3 Part Data'!O44)</f>
        <v/>
      </c>
      <c r="P85" s="230">
        <f>IF('3 Part Data'!P44="",IF(LEFT(P5,5)="Level",0,IF(LEFT(P5,9)="Downgrade",MIN(P72,0.99)-ROUND(15/99*MIN(P72,0.99)*(O18-P18),2),MIN(P72,0.99))),'3 Part Data'!P44)</f>
        <v/>
      </c>
      <c r="Q85" s="230">
        <f>IF('3 Part Data'!Q44="",IF(LEFT(Q5,5)="Level",0,IF(LEFT(Q5,9)="Downgrade",MIN(Q72,0.99)-ROUND(15/99*MIN(Q72,0.99)*(P18-Q18),2),MIN(Q72,0.99))),'3 Part Data'!Q44)</f>
        <v/>
      </c>
      <c r="R85" s="154">
        <f>IF('3 Part Data'!R44="",IF(LEFT(R5,5)="Level",0,IF(LEFT(R5,9)="Downgrade",MIN(R72,0.99)-ROUND(15/99*MIN(R72,0.99)*(Q18-R18),2),MIN(R72,0.99))),'3 Part Data'!R44)</f>
        <v/>
      </c>
      <c r="S85" s="4" t="n"/>
    </row>
    <row r="86" ht="14.25" customHeight="1" s="267">
      <c r="A86" s="4" t="inlineStr">
        <is>
          <t>Engine</t>
        </is>
      </c>
      <c r="B86" s="231">
        <f>B73</f>
        <v/>
      </c>
      <c r="C86" s="214">
        <f>IF('3 Part Data'!C45="",IF(LEFT(C6,5)="Level",0,IF(LEFT(C6,9)="Downgrade",MIN(C73,0.99)-ROUND(15/99*MIN(C73,0.99)*(B19-C19),2),MIN(C73,0.99))),'3 Part Data'!C45)</f>
        <v/>
      </c>
      <c r="D86" s="214">
        <f>IF('3 Part Data'!D45="",IF(LEFT(D6,5)="Level",0,IF(LEFT(D6,9)="Downgrade",MIN(D73,0.99)-ROUND(15/99*MIN(D73,0.99)*(C19-D19),2),MIN(D73,0.99))),'3 Part Data'!D45)</f>
        <v/>
      </c>
      <c r="E86" s="214">
        <f>IF('3 Part Data'!E45="",IF(LEFT(E6,5)="Level",0,IF(LEFT(E6,9)="Downgrade",MIN(E73,0.99)-ROUND(15/99*MIN(E73,0.99)*(D19-E19),2),MIN(E73,0.99))),'3 Part Data'!E45)</f>
        <v/>
      </c>
      <c r="F86" s="214">
        <f>IF('3 Part Data'!F45="",IF(LEFT(F6,5)="Level",0,IF(LEFT(F6,9)="Downgrade",MIN(F73,0.99)-ROUND(15/99*MIN(F73,0.99)*(E19-F19),2),MIN(F73,0.99))),'3 Part Data'!F45)</f>
        <v/>
      </c>
      <c r="G86" s="214">
        <f>IF('3 Part Data'!G45="",IF(LEFT(G6,5)="Level",0,IF(LEFT(G6,9)="Downgrade",MIN(G73,0.99)-ROUND(15/99*MIN(G73,0.99)*(F19-G19),2),MIN(G73,0.99))),'3 Part Data'!G45)</f>
        <v/>
      </c>
      <c r="H86" s="214">
        <f>IF('3 Part Data'!H45="",IF(LEFT(H6,5)="Level",0,IF(LEFT(H6,9)="Downgrade",MIN(H73,0.99)-ROUND(15/99*MIN(H73,0.99)*(G19-H19),2),MIN(H73,0.99))),'3 Part Data'!H45)</f>
        <v/>
      </c>
      <c r="I86" s="214">
        <f>IF('3 Part Data'!I45="",IF(LEFT(I6,5)="Level",0,IF(LEFT(I6,9)="Downgrade",MIN(I73,0.99)-ROUND(15/99*MIN(I73,0.99)*(H19-I19),2),MIN(I73,0.99))),'3 Part Data'!I45)</f>
        <v/>
      </c>
      <c r="J86" s="214">
        <f>IF('3 Part Data'!J45="",IF(LEFT(J6,5)="Level",0,IF(LEFT(J6,9)="Downgrade",MIN(J73,0.99)-ROUND(15/99*MIN(J73,0.99)*(I19-J19),2),MIN(J73,0.99))),'3 Part Data'!J45)</f>
        <v/>
      </c>
      <c r="K86" s="214">
        <f>IF('3 Part Data'!K45="",IF(LEFT(K6,5)="Level",0,IF(LEFT(K6,9)="Downgrade",MIN(K73,0.99)-ROUND(15/99*MIN(K73,0.99)*(J19-K19),2),MIN(K73,0.99))),'3 Part Data'!K45)</f>
        <v/>
      </c>
      <c r="L86" s="214">
        <f>IF('3 Part Data'!L45="",IF(LEFT(L6,5)="Level",0,IF(LEFT(L6,9)="Downgrade",MIN(L73,0.99)-ROUND(15/99*MIN(L73,0.99)*(K19-L19),2),MIN(L73,0.99))),'3 Part Data'!L45)</f>
        <v/>
      </c>
      <c r="M86" s="214">
        <f>IF('3 Part Data'!M45="",IF(LEFT(M6,5)="Level",0,IF(LEFT(M6,9)="Downgrade",MIN(M73,0.99)-ROUND(15/99*MIN(M73,0.99)*(L19-M19),2),MIN(M73,0.99))),'3 Part Data'!M45)</f>
        <v/>
      </c>
      <c r="N86" s="214">
        <f>IF('3 Part Data'!N45="",IF(LEFT(N6,5)="Level",0,IF(LEFT(N6,9)="Downgrade",MIN(N73,0.99)-ROUND(15/99*MIN(N73,0.99)*(M19-N19),2),MIN(N73,0.99))),'3 Part Data'!N45)</f>
        <v/>
      </c>
      <c r="O86" s="214">
        <f>IF('3 Part Data'!O45="",IF(LEFT(O6,5)="Level",0,IF(LEFT(O6,9)="Downgrade",MIN(O73,0.99)-ROUND(15/99*MIN(O73,0.99)*(N19-O19),2),MIN(O73,0.99))),'3 Part Data'!O45)</f>
        <v/>
      </c>
      <c r="P86" s="214">
        <f>IF('3 Part Data'!P45="",IF(LEFT(P6,5)="Level",0,IF(LEFT(P6,9)="Downgrade",MIN(P73,0.99)-ROUND(15/99*MIN(P73,0.99)*(O19-P19),2),MIN(P73,0.99))),'3 Part Data'!P45)</f>
        <v/>
      </c>
      <c r="Q86" s="214">
        <f>IF('3 Part Data'!Q45="",IF(LEFT(Q6,5)="Level",0,IF(LEFT(Q6,9)="Downgrade",MIN(Q73,0.99)-ROUND(15/99*MIN(Q73,0.99)*(P19-Q19),2),MIN(Q73,0.99))),'3 Part Data'!Q45)</f>
        <v/>
      </c>
      <c r="R86" s="158">
        <f>IF('3 Part Data'!R45="",IF(LEFT(R6,5)="Level",0,IF(LEFT(R6,9)="Downgrade",MIN(R73,0.99)-ROUND(15/99*MIN(R73,0.99)*(Q19-R19),2),MIN(R73,0.99))),'3 Part Data'!R45)</f>
        <v/>
      </c>
      <c r="S86" s="4" t="n"/>
    </row>
    <row r="87" ht="14.25" customHeight="1" s="267">
      <c r="A87" s="4" t="inlineStr">
        <is>
          <t>Front Wing</t>
        </is>
      </c>
      <c r="B87" s="231">
        <f>B74</f>
        <v/>
      </c>
      <c r="C87" s="214">
        <f>IF('3 Part Data'!C46="",IF(LEFT(C7,5)="Level",0,IF(LEFT(C7,9)="Downgrade",MIN(C74,0.99)-ROUND(15/99*MIN(C74,0.99)*(B20-C20),2),MIN(C74,0.99))),'3 Part Data'!C46)</f>
        <v/>
      </c>
      <c r="D87" s="214">
        <f>IF('3 Part Data'!D46="",IF(LEFT(D7,5)="Level",0,IF(LEFT(D7,9)="Downgrade",MIN(D74,0.99)-ROUND(15/99*MIN(D74,0.99)*(C20-D20),2),MIN(D74,0.99))),'3 Part Data'!D46)</f>
        <v/>
      </c>
      <c r="E87" s="214">
        <f>IF('3 Part Data'!E46="",IF(LEFT(E7,5)="Level",0,IF(LEFT(E7,9)="Downgrade",MIN(E74,0.99)-ROUND(15/99*MIN(E74,0.99)*(D20-E20),2),MIN(E74,0.99))),'3 Part Data'!E46)</f>
        <v/>
      </c>
      <c r="F87" s="214">
        <f>IF('3 Part Data'!F46="",IF(LEFT(F7,5)="Level",0,IF(LEFT(F7,9)="Downgrade",MIN(F74,0.99)-ROUND(15/99*MIN(F74,0.99)*(E20-F20),2),MIN(F74,0.99))),'3 Part Data'!F46)</f>
        <v/>
      </c>
      <c r="G87" s="214">
        <f>IF('3 Part Data'!G46="",IF(LEFT(G7,5)="Level",0,IF(LEFT(G7,9)="Downgrade",MIN(G74,0.99)-ROUND(15/99*MIN(G74,0.99)*(F20-G20),2),MIN(G74,0.99))),'3 Part Data'!G46)</f>
        <v/>
      </c>
      <c r="H87" s="214">
        <f>IF('3 Part Data'!H46="",IF(LEFT(H7,5)="Level",0,IF(LEFT(H7,9)="Downgrade",MIN(H74,0.99)-ROUND(15/99*MIN(H74,0.99)*(G20-H20),2),MIN(H74,0.99))),'3 Part Data'!H46)</f>
        <v/>
      </c>
      <c r="I87" s="214">
        <f>IF('3 Part Data'!I46="",IF(LEFT(I7,5)="Level",0,IF(LEFT(I7,9)="Downgrade",MIN(I74,0.99)-ROUND(15/99*MIN(I74,0.99)*(H20-I20),2),MIN(I74,0.99))),'3 Part Data'!I46)</f>
        <v/>
      </c>
      <c r="J87" s="214">
        <f>IF('3 Part Data'!J46="",IF(LEFT(J7,5)="Level",0,IF(LEFT(J7,9)="Downgrade",MIN(J74,0.99)-ROUND(15/99*MIN(J74,0.99)*(I20-J20),2),MIN(J74,0.99))),'3 Part Data'!J46)</f>
        <v/>
      </c>
      <c r="K87" s="214">
        <f>IF('3 Part Data'!K46="",IF(LEFT(K7,5)="Level",0,IF(LEFT(K7,9)="Downgrade",MIN(K74,0.99)-ROUND(15/99*MIN(K74,0.99)*(J20-K20),2),MIN(K74,0.99))),'3 Part Data'!K46)</f>
        <v/>
      </c>
      <c r="L87" s="214">
        <f>IF('3 Part Data'!L46="",IF(LEFT(L7,5)="Level",0,IF(LEFT(L7,9)="Downgrade",MIN(L74,0.99)-ROUND(15/99*MIN(L74,0.99)*(K20-L20),2),MIN(L74,0.99))),'3 Part Data'!L46)</f>
        <v/>
      </c>
      <c r="M87" s="214">
        <f>IF('3 Part Data'!M46="",IF(LEFT(M7,5)="Level",0,IF(LEFT(M7,9)="Downgrade",MIN(M74,0.99)-ROUND(15/99*MIN(M74,0.99)*(L20-M20),2),MIN(M74,0.99))),'3 Part Data'!M46)</f>
        <v/>
      </c>
      <c r="N87" s="214">
        <f>IF('3 Part Data'!N46="",IF(LEFT(N7,5)="Level",0,IF(LEFT(N7,9)="Downgrade",MIN(N74,0.99)-ROUND(15/99*MIN(N74,0.99)*(M20-N20),2),MIN(N74,0.99))),'3 Part Data'!N46)</f>
        <v/>
      </c>
      <c r="O87" s="214">
        <f>IF('3 Part Data'!O46="",IF(LEFT(O7,5)="Level",0,IF(LEFT(O7,9)="Downgrade",MIN(O74,0.99)-ROUND(15/99*MIN(O74,0.99)*(N20-O20),2),MIN(O74,0.99))),'3 Part Data'!O46)</f>
        <v/>
      </c>
      <c r="P87" s="214">
        <f>IF('3 Part Data'!P46="",IF(LEFT(P7,5)="Level",0,IF(LEFT(P7,9)="Downgrade",MIN(P74,0.99)-ROUND(15/99*MIN(P74,0.99)*(O20-P20),2),MIN(P74,0.99))),'3 Part Data'!P46)</f>
        <v/>
      </c>
      <c r="Q87" s="214">
        <f>IF('3 Part Data'!Q46="",IF(LEFT(Q7,5)="Level",0,IF(LEFT(Q7,9)="Downgrade",MIN(Q74,0.99)-ROUND(15/99*MIN(Q74,0.99)*(P20-Q20),2),MIN(Q74,0.99))),'3 Part Data'!Q46)</f>
        <v/>
      </c>
      <c r="R87" s="158">
        <f>IF('3 Part Data'!R46="",IF(LEFT(R7,5)="Level",0,IF(LEFT(R7,9)="Downgrade",MIN(R74,0.99)-ROUND(15/99*MIN(R74,0.99)*(Q20-R20),2),MIN(R74,0.99))),'3 Part Data'!R46)</f>
        <v/>
      </c>
      <c r="S87" s="4" t="n"/>
    </row>
    <row r="88" ht="14.25" customHeight="1" s="267">
      <c r="A88" s="4" t="inlineStr">
        <is>
          <t>Rear Wing</t>
        </is>
      </c>
      <c r="B88" s="231">
        <f>B75</f>
        <v/>
      </c>
      <c r="C88" s="214">
        <f>IF('3 Part Data'!C47="",IF(LEFT(C8,5)="Level",0,IF(LEFT(C8,9)="Downgrade",MIN(C75,0.99)-ROUND(15/99*MIN(C75,0.99)*(B21-C21),2),MIN(C75,0.99))),'3 Part Data'!C47)</f>
        <v/>
      </c>
      <c r="D88" s="214">
        <f>IF('3 Part Data'!D47="",IF(LEFT(D8,5)="Level",0,IF(LEFT(D8,9)="Downgrade",MIN(D75,0.99)-ROUND(15/99*MIN(D75,0.99)*(C21-D21),2),MIN(D75,0.99))),'3 Part Data'!D47)</f>
        <v/>
      </c>
      <c r="E88" s="214">
        <f>IF('3 Part Data'!E47="",IF(LEFT(E8,5)="Level",0,IF(LEFT(E8,9)="Downgrade",MIN(E75,0.99)-ROUND(15/99*MIN(E75,0.99)*(D21-E21),2),MIN(E75,0.99))),'3 Part Data'!E47)</f>
        <v/>
      </c>
      <c r="F88" s="214">
        <f>IF('3 Part Data'!F47="",IF(LEFT(F8,5)="Level",0,IF(LEFT(F8,9)="Downgrade",MIN(F75,0.99)-ROUND(15/99*MIN(F75,0.99)*(E21-F21),2),MIN(F75,0.99))),'3 Part Data'!F47)</f>
        <v/>
      </c>
      <c r="G88" s="214">
        <f>IF('3 Part Data'!G47="",IF(LEFT(G8,5)="Level",0,IF(LEFT(G8,9)="Downgrade",MIN(G75,0.99)-ROUND(15/99*MIN(G75,0.99)*(F21-G21),2),MIN(G75,0.99))),'3 Part Data'!G47)</f>
        <v/>
      </c>
      <c r="H88" s="214">
        <f>IF('3 Part Data'!H47="",IF(LEFT(H8,5)="Level",0,IF(LEFT(H8,9)="Downgrade",MIN(H75,0.99)-ROUND(15/99*MIN(H75,0.99)*(G21-H21),2),MIN(H75,0.99))),'3 Part Data'!H47)</f>
        <v/>
      </c>
      <c r="I88" s="214">
        <f>IF('3 Part Data'!I47="",IF(LEFT(I8,5)="Level",0,IF(LEFT(I8,9)="Downgrade",MIN(I75,0.99)-ROUND(15/99*MIN(I75,0.99)*(H21-I21),2),MIN(I75,0.99))),'3 Part Data'!I47)</f>
        <v/>
      </c>
      <c r="J88" s="214">
        <f>IF('3 Part Data'!J47="",IF(LEFT(J8,5)="Level",0,IF(LEFT(J8,9)="Downgrade",MIN(J75,0.99)-ROUND(15/99*MIN(J75,0.99)*(I21-J21),2),MIN(J75,0.99))),'3 Part Data'!J47)</f>
        <v/>
      </c>
      <c r="K88" s="214">
        <f>IF('3 Part Data'!K47="",IF(LEFT(K8,5)="Level",0,IF(LEFT(K8,9)="Downgrade",MIN(K75,0.99)-ROUND(15/99*MIN(K75,0.99)*(J21-K21),2),MIN(K75,0.99))),'3 Part Data'!K47)</f>
        <v/>
      </c>
      <c r="L88" s="214">
        <f>IF('3 Part Data'!L47="",IF(LEFT(L8,5)="Level",0,IF(LEFT(L8,9)="Downgrade",MIN(L75,0.99)-ROUND(15/99*MIN(L75,0.99)*(K21-L21),2),MIN(L75,0.99))),'3 Part Data'!L47)</f>
        <v/>
      </c>
      <c r="M88" s="214">
        <f>IF('3 Part Data'!M47="",IF(LEFT(M8,5)="Level",0,IF(LEFT(M8,9)="Downgrade",MIN(M75,0.99)-ROUND(15/99*MIN(M75,0.99)*(L21-M21),2),MIN(M75,0.99))),'3 Part Data'!M47)</f>
        <v/>
      </c>
      <c r="N88" s="214">
        <f>IF('3 Part Data'!N47="",IF(LEFT(N8,5)="Level",0,IF(LEFT(N8,9)="Downgrade",MIN(N75,0.99)-ROUND(15/99*MIN(N75,0.99)*(M21-N21),2),MIN(N75,0.99))),'3 Part Data'!N47)</f>
        <v/>
      </c>
      <c r="O88" s="214">
        <f>IF('3 Part Data'!O47="",IF(LEFT(O8,5)="Level",0,IF(LEFT(O8,9)="Downgrade",MIN(O75,0.99)-ROUND(15/99*MIN(O75,0.99)*(N21-O21),2),MIN(O75,0.99))),'3 Part Data'!O47)</f>
        <v/>
      </c>
      <c r="P88" s="214">
        <f>IF('3 Part Data'!P47="",IF(LEFT(P8,5)="Level",0,IF(LEFT(P8,9)="Downgrade",MIN(P75,0.99)-ROUND(15/99*MIN(P75,0.99)*(O21-P21),2),MIN(P75,0.99))),'3 Part Data'!P47)</f>
        <v/>
      </c>
      <c r="Q88" s="214">
        <f>IF('3 Part Data'!Q47="",IF(LEFT(Q8,5)="Level",0,IF(LEFT(Q8,9)="Downgrade",MIN(Q75,0.99)-ROUND(15/99*MIN(Q75,0.99)*(P21-Q21),2),MIN(Q75,0.99))),'3 Part Data'!Q47)</f>
        <v/>
      </c>
      <c r="R88" s="158">
        <f>IF('3 Part Data'!R47="",IF(LEFT(R8,5)="Level",0,IF(LEFT(R8,9)="Downgrade",MIN(R75,0.99)-ROUND(15/99*MIN(R75,0.99)*(Q21-R21),2),MIN(R75,0.99))),'3 Part Data'!R47)</f>
        <v/>
      </c>
      <c r="S88" s="4" t="n"/>
    </row>
    <row r="89" ht="14.25" customHeight="1" s="267">
      <c r="A89" s="4" t="inlineStr">
        <is>
          <t>Underbody</t>
        </is>
      </c>
      <c r="B89" s="231">
        <f>B76</f>
        <v/>
      </c>
      <c r="C89" s="214">
        <f>IF('3 Part Data'!C48="",IF(LEFT(C9,5)="Level",0,IF(LEFT(C9,9)="Downgrade",MIN(C76,0.99)-ROUND(15/99*MIN(C76,0.99)*(B22-C22),2),MIN(C76,0.99))),'3 Part Data'!C48)</f>
        <v/>
      </c>
      <c r="D89" s="214">
        <f>IF('3 Part Data'!D48="",IF(LEFT(D9,5)="Level",0,IF(LEFT(D9,9)="Downgrade",MIN(D76,0.99)-ROUND(15/99*MIN(D76,0.99)*(C22-D22),2),MIN(D76,0.99))),'3 Part Data'!D48)</f>
        <v/>
      </c>
      <c r="E89" s="214">
        <f>IF('3 Part Data'!E48="",IF(LEFT(E9,5)="Level",0,IF(LEFT(E9,9)="Downgrade",MIN(E76,0.99)-ROUND(15/99*MIN(E76,0.99)*(D22-E22),2),MIN(E76,0.99))),'3 Part Data'!E48)</f>
        <v/>
      </c>
      <c r="F89" s="214">
        <f>IF('3 Part Data'!F48="",IF(LEFT(F9,5)="Level",0,IF(LEFT(F9,9)="Downgrade",MIN(F76,0.99)-ROUND(15/99*MIN(F76,0.99)*(E22-F22),2),MIN(F76,0.99))),'3 Part Data'!F48)</f>
        <v/>
      </c>
      <c r="G89" s="214">
        <f>IF('3 Part Data'!G48="",IF(LEFT(G9,5)="Level",0,IF(LEFT(G9,9)="Downgrade",MIN(G76,0.99)-ROUND(15/99*MIN(G76,0.99)*(F22-G22),2),MIN(G76,0.99))),'3 Part Data'!G48)</f>
        <v/>
      </c>
      <c r="H89" s="214">
        <f>IF('3 Part Data'!H48="",IF(LEFT(H9,5)="Level",0,IF(LEFT(H9,9)="Downgrade",MIN(H76,0.99)-ROUND(15/99*MIN(H76,0.99)*(G22-H22),2),MIN(H76,0.99))),'3 Part Data'!H48)</f>
        <v/>
      </c>
      <c r="I89" s="214">
        <f>IF('3 Part Data'!I48="",IF(LEFT(I9,5)="Level",0,IF(LEFT(I9,9)="Downgrade",MIN(I76,0.99)-ROUND(15/99*MIN(I76,0.99)*(H22-I22),2),MIN(I76,0.99))),'3 Part Data'!I48)</f>
        <v/>
      </c>
      <c r="J89" s="214">
        <f>IF('3 Part Data'!J48="",IF(LEFT(J9,5)="Level",0,IF(LEFT(J9,9)="Downgrade",MIN(J76,0.99)-ROUND(15/99*MIN(J76,0.99)*(I22-J22),2),MIN(J76,0.99))),'3 Part Data'!J48)</f>
        <v/>
      </c>
      <c r="K89" s="214">
        <f>IF('3 Part Data'!K48="",IF(LEFT(K9,5)="Level",0,IF(LEFT(K9,9)="Downgrade",MIN(K76,0.99)-ROUND(15/99*MIN(K76,0.99)*(J22-K22),2),MIN(K76,0.99))),'3 Part Data'!K48)</f>
        <v/>
      </c>
      <c r="L89" s="214">
        <f>IF('3 Part Data'!L48="",IF(LEFT(L9,5)="Level",0,IF(LEFT(L9,9)="Downgrade",MIN(L76,0.99)-ROUND(15/99*MIN(L76,0.99)*(K22-L22),2),MIN(L76,0.99))),'3 Part Data'!L48)</f>
        <v/>
      </c>
      <c r="M89" s="214">
        <f>IF('3 Part Data'!M48="",IF(LEFT(M9,5)="Level",0,IF(LEFT(M9,9)="Downgrade",MIN(M76,0.99)-ROUND(15/99*MIN(M76,0.99)*(L22-M22),2),MIN(M76,0.99))),'3 Part Data'!M48)</f>
        <v/>
      </c>
      <c r="N89" s="214">
        <f>IF('3 Part Data'!N48="",IF(LEFT(N9,5)="Level",0,IF(LEFT(N9,9)="Downgrade",MIN(N76,0.99)-ROUND(15/99*MIN(N76,0.99)*(M22-N22),2),MIN(N76,0.99))),'3 Part Data'!N48)</f>
        <v/>
      </c>
      <c r="O89" s="214">
        <f>IF('3 Part Data'!O48="",IF(LEFT(O9,5)="Level",0,IF(LEFT(O9,9)="Downgrade",MIN(O76,0.99)-ROUND(15/99*MIN(O76,0.99)*(N22-O22),2),MIN(O76,0.99))),'3 Part Data'!O48)</f>
        <v/>
      </c>
      <c r="P89" s="214">
        <f>IF('3 Part Data'!P48="",IF(LEFT(P9,5)="Level",0,IF(LEFT(P9,9)="Downgrade",MIN(P76,0.99)-ROUND(15/99*MIN(P76,0.99)*(O22-P22),2),MIN(P76,0.99))),'3 Part Data'!P48)</f>
        <v/>
      </c>
      <c r="Q89" s="214">
        <f>IF('3 Part Data'!Q48="",IF(LEFT(Q9,5)="Level",0,IF(LEFT(Q9,9)="Downgrade",MIN(Q76,0.99)-ROUND(15/99*MIN(Q76,0.99)*(P22-Q22),2),MIN(Q76,0.99))),'3 Part Data'!Q48)</f>
        <v/>
      </c>
      <c r="R89" s="158">
        <f>IF('3 Part Data'!R48="",IF(LEFT(R9,5)="Level",0,IF(LEFT(R9,9)="Downgrade",MIN(R76,0.99)-ROUND(15/99*MIN(R76,0.99)*(Q22-R22),2),MIN(R76,0.99))),'3 Part Data'!R48)</f>
        <v/>
      </c>
      <c r="S89" s="4" t="n"/>
    </row>
    <row r="90" ht="14.25" customHeight="1" s="267">
      <c r="A90" s="4" t="inlineStr">
        <is>
          <t>Sidepods</t>
        </is>
      </c>
      <c r="B90" s="231">
        <f>B77</f>
        <v/>
      </c>
      <c r="C90" s="214">
        <f>IF('3 Part Data'!C49="",IF(LEFT(C10,5)="Level",0,IF(LEFT(C10,9)="Downgrade",MIN(C77,0.99)-ROUND(15/99*MIN(C77,0.99)*(B23-C23),2),MIN(C77,0.99))),'3 Part Data'!C49)</f>
        <v/>
      </c>
      <c r="D90" s="214">
        <f>IF('3 Part Data'!D49="",IF(LEFT(D10,5)="Level",0,IF(LEFT(D10,9)="Downgrade",MIN(D77,0.99)-ROUND(15/99*MIN(D77,0.99)*(C23-D23),2),MIN(D77,0.99))),'3 Part Data'!D49)</f>
        <v/>
      </c>
      <c r="E90" s="214">
        <f>IF('3 Part Data'!E49="",IF(LEFT(E10,5)="Level",0,IF(LEFT(E10,9)="Downgrade",MIN(E77,0.99)-ROUND(15/99*MIN(E77,0.99)*(D23-E23),2),MIN(E77,0.99))),'3 Part Data'!E49)</f>
        <v/>
      </c>
      <c r="F90" s="214">
        <f>IF('3 Part Data'!F49="",IF(LEFT(F10,5)="Level",0,IF(LEFT(F10,9)="Downgrade",MIN(F77,0.99)-ROUND(15/99*MIN(F77,0.99)*(E23-F23),2),MIN(F77,0.99))),'3 Part Data'!F49)</f>
        <v/>
      </c>
      <c r="G90" s="214">
        <f>IF('3 Part Data'!G49="",IF(LEFT(G10,5)="Level",0,IF(LEFT(G10,9)="Downgrade",MIN(G77,0.99)-ROUND(15/99*MIN(G77,0.99)*(F23-G23),2),MIN(G77,0.99))),'3 Part Data'!G49)</f>
        <v/>
      </c>
      <c r="H90" s="214">
        <f>IF('3 Part Data'!H49="",IF(LEFT(H10,5)="Level",0,IF(LEFT(H10,9)="Downgrade",MIN(H77,0.99)-ROUND(15/99*MIN(H77,0.99)*(G23-H23),2),MIN(H77,0.99))),'3 Part Data'!H49)</f>
        <v/>
      </c>
      <c r="I90" s="214">
        <f>IF('3 Part Data'!I49="",IF(LEFT(I10,5)="Level",0,IF(LEFT(I10,9)="Downgrade",MIN(I77,0.99)-ROUND(15/99*MIN(I77,0.99)*(H23-I23),2),MIN(I77,0.99))),'3 Part Data'!I49)</f>
        <v/>
      </c>
      <c r="J90" s="214">
        <f>IF('3 Part Data'!J49="",IF(LEFT(J10,5)="Level",0,IF(LEFT(J10,9)="Downgrade",MIN(J77,0.99)-ROUND(15/99*MIN(J77,0.99)*(I23-J23),2),MIN(J77,0.99))),'3 Part Data'!J49)</f>
        <v/>
      </c>
      <c r="K90" s="214">
        <f>IF('3 Part Data'!K49="",IF(LEFT(K10,5)="Level",0,IF(LEFT(K10,9)="Downgrade",MIN(K77,0.99)-ROUND(15/99*MIN(K77,0.99)*(J23-K23),2),MIN(K77,0.99))),'3 Part Data'!K49)</f>
        <v/>
      </c>
      <c r="L90" s="214">
        <f>IF('3 Part Data'!L49="",IF(LEFT(L10,5)="Level",0,IF(LEFT(L10,9)="Downgrade",MIN(L77,0.99)-ROUND(15/99*MIN(L77,0.99)*(K23-L23),2),MIN(L77,0.99))),'3 Part Data'!L49)</f>
        <v/>
      </c>
      <c r="M90" s="214">
        <f>IF('3 Part Data'!M49="",IF(LEFT(M10,5)="Level",0,IF(LEFT(M10,9)="Downgrade",MIN(M77,0.99)-ROUND(15/99*MIN(M77,0.99)*(L23-M23),2),MIN(M77,0.99))),'3 Part Data'!M49)</f>
        <v/>
      </c>
      <c r="N90" s="214">
        <f>IF('3 Part Data'!N49="",IF(LEFT(N10,5)="Level",0,IF(LEFT(N10,9)="Downgrade",MIN(N77,0.99)-ROUND(15/99*MIN(N77,0.99)*(M23-N23),2),MIN(N77,0.99))),'3 Part Data'!N49)</f>
        <v/>
      </c>
      <c r="O90" s="214">
        <f>IF('3 Part Data'!O49="",IF(LEFT(O10,5)="Level",0,IF(LEFT(O10,9)="Downgrade",MIN(O77,0.99)-ROUND(15/99*MIN(O77,0.99)*(N23-O23),2),MIN(O77,0.99))),'3 Part Data'!O49)</f>
        <v/>
      </c>
      <c r="P90" s="214">
        <f>IF('3 Part Data'!P49="",IF(LEFT(P10,5)="Level",0,IF(LEFT(P10,9)="Downgrade",MIN(P77,0.99)-ROUND(15/99*MIN(P77,0.99)*(O23-P23),2),MIN(P77,0.99))),'3 Part Data'!P49)</f>
        <v/>
      </c>
      <c r="Q90" s="214">
        <f>IF('3 Part Data'!Q49="",IF(LEFT(Q10,5)="Level",0,IF(LEFT(Q10,9)="Downgrade",MIN(Q77,0.99)-ROUND(15/99*MIN(Q77,0.99)*(P23-Q23),2),MIN(Q77,0.99))),'3 Part Data'!Q49)</f>
        <v/>
      </c>
      <c r="R90" s="158">
        <f>IF('3 Part Data'!R49="",IF(LEFT(R10,5)="Level",0,IF(LEFT(R10,9)="Downgrade",MIN(R77,0.99)-ROUND(15/99*MIN(R77,0.99)*(Q23-R23),2),MIN(R77,0.99))),'3 Part Data'!R49)</f>
        <v/>
      </c>
      <c r="S90" s="4" t="n"/>
    </row>
    <row r="91" ht="14.25" customHeight="1" s="267">
      <c r="A91" s="4" t="inlineStr">
        <is>
          <t>Cooling</t>
        </is>
      </c>
      <c r="B91" s="231">
        <f>B78</f>
        <v/>
      </c>
      <c r="C91" s="214">
        <f>IF('3 Part Data'!C50="",IF(LEFT(C11,5)="Level",0,IF(LEFT(C11,9)="Downgrade",MIN(C78,0.99)-ROUND(15/99*MIN(C78,0.99)*(B24-C24),2),MIN(C78,0.99))),'3 Part Data'!C50)</f>
        <v/>
      </c>
      <c r="D91" s="214">
        <f>IF('3 Part Data'!D50="",IF(LEFT(D11,5)="Level",0,IF(LEFT(D11,9)="Downgrade",MIN(D78,0.99)-ROUND(15/99*MIN(D78,0.99)*(C24-D24),2),MIN(D78,0.99))),'3 Part Data'!D50)</f>
        <v/>
      </c>
      <c r="E91" s="214">
        <f>IF('3 Part Data'!E50="",IF(LEFT(E11,5)="Level",0,IF(LEFT(E11,9)="Downgrade",MIN(E78,0.99)-ROUND(15/99*MIN(E78,0.99)*(D24-E24),2),MIN(E78,0.99))),'3 Part Data'!E50)</f>
        <v/>
      </c>
      <c r="F91" s="214">
        <f>IF('3 Part Data'!F50="",IF(LEFT(F11,5)="Level",0,IF(LEFT(F11,9)="Downgrade",MIN(F78,0.99)-ROUND(15/99*MIN(F78,0.99)*(E24-F24),2),MIN(F78,0.99))),'3 Part Data'!F50)</f>
        <v/>
      </c>
      <c r="G91" s="214">
        <f>IF('3 Part Data'!G50="",IF(LEFT(G11,5)="Level",0,IF(LEFT(G11,9)="Downgrade",MIN(G78,0.99)-ROUND(15/99*MIN(G78,0.99)*(F24-G24),2),MIN(G78,0.99))),'3 Part Data'!G50)</f>
        <v/>
      </c>
      <c r="H91" s="214">
        <f>IF('3 Part Data'!H50="",IF(LEFT(H11,5)="Level",0,IF(LEFT(H11,9)="Downgrade",MIN(H78,0.99)-ROUND(15/99*MIN(H78,0.99)*(G24-H24),2),MIN(H78,0.99))),'3 Part Data'!H50)</f>
        <v/>
      </c>
      <c r="I91" s="214">
        <f>IF('3 Part Data'!I50="",IF(LEFT(I11,5)="Level",0,IF(LEFT(I11,9)="Downgrade",MIN(I78,0.99)-ROUND(15/99*MIN(I78,0.99)*(H24-I24),2),MIN(I78,0.99))),'3 Part Data'!I50)</f>
        <v/>
      </c>
      <c r="J91" s="214">
        <f>IF('3 Part Data'!J50="",IF(LEFT(J11,5)="Level",0,IF(LEFT(J11,9)="Downgrade",MIN(J78,0.99)-ROUND(15/99*MIN(J78,0.99)*(I24-J24),2),MIN(J78,0.99))),'3 Part Data'!J50)</f>
        <v/>
      </c>
      <c r="K91" s="214">
        <f>IF('3 Part Data'!K50="",IF(LEFT(K11,5)="Level",0,IF(LEFT(K11,9)="Downgrade",MIN(K78,0.99)-ROUND(15/99*MIN(K78,0.99)*(J24-K24),2),MIN(K78,0.99))),'3 Part Data'!K50)</f>
        <v/>
      </c>
      <c r="L91" s="214">
        <f>IF('3 Part Data'!L50="",IF(LEFT(L11,5)="Level",0,IF(LEFT(L11,9)="Downgrade",MIN(L78,0.99)-ROUND(15/99*MIN(L78,0.99)*(K24-L24),2),MIN(L78,0.99))),'3 Part Data'!L50)</f>
        <v/>
      </c>
      <c r="M91" s="214">
        <f>IF('3 Part Data'!M50="",IF(LEFT(M11,5)="Level",0,IF(LEFT(M11,9)="Downgrade",MIN(M78,0.99)-ROUND(15/99*MIN(M78,0.99)*(L24-M24),2),MIN(M78,0.99))),'3 Part Data'!M50)</f>
        <v/>
      </c>
      <c r="N91" s="214">
        <f>IF('3 Part Data'!N50="",IF(LEFT(N11,5)="Level",0,IF(LEFT(N11,9)="Downgrade",MIN(N78,0.99)-ROUND(15/99*MIN(N78,0.99)*(M24-N24),2),MIN(N78,0.99))),'3 Part Data'!N50)</f>
        <v/>
      </c>
      <c r="O91" s="214">
        <f>IF('3 Part Data'!O50="",IF(LEFT(O11,5)="Level",0,IF(LEFT(O11,9)="Downgrade",MIN(O78,0.99)-ROUND(15/99*MIN(O78,0.99)*(N24-O24),2),MIN(O78,0.99))),'3 Part Data'!O50)</f>
        <v/>
      </c>
      <c r="P91" s="214">
        <f>IF('3 Part Data'!P50="",IF(LEFT(P11,5)="Level",0,IF(LEFT(P11,9)="Downgrade",MIN(P78,0.99)-ROUND(15/99*MIN(P78,0.99)*(O24-P24),2),MIN(P78,0.99))),'3 Part Data'!P50)</f>
        <v/>
      </c>
      <c r="Q91" s="214">
        <f>IF('3 Part Data'!Q50="",IF(LEFT(Q11,5)="Level",0,IF(LEFT(Q11,9)="Downgrade",MIN(Q78,0.99)-ROUND(15/99*MIN(Q78,0.99)*(P24-Q24),2),MIN(Q78,0.99))),'3 Part Data'!Q50)</f>
        <v/>
      </c>
      <c r="R91" s="158">
        <f>IF('3 Part Data'!R50="",IF(LEFT(R11,5)="Level",0,IF(LEFT(R11,9)="Downgrade",MIN(R78,0.99)-ROUND(15/99*MIN(R78,0.99)*(Q24-R24),2),MIN(R78,0.99))),'3 Part Data'!R50)</f>
        <v/>
      </c>
      <c r="S91" s="4" t="n"/>
    </row>
    <row r="92" ht="14.25" customHeight="1" s="267">
      <c r="A92" s="4" t="inlineStr">
        <is>
          <t>Gearbox</t>
        </is>
      </c>
      <c r="B92" s="231">
        <f>B79</f>
        <v/>
      </c>
      <c r="C92" s="214">
        <f>IF('3 Part Data'!C51="",IF(LEFT(C12,5)="Level",0,IF(LEFT(C12,9)="Downgrade",MIN(C79,0.99)-ROUND(15/99*MIN(C79,0.99)*(B25-C25),2),MIN(C79,0.99))),'3 Part Data'!C51)</f>
        <v/>
      </c>
      <c r="D92" s="214">
        <f>IF('3 Part Data'!D51="",IF(LEFT(D12,5)="Level",0,IF(LEFT(D12,9)="Downgrade",MIN(D79,0.99)-ROUND(15/99*MIN(D79,0.99)*(C25-D25),2),MIN(D79,0.99))),'3 Part Data'!D51)</f>
        <v/>
      </c>
      <c r="E92" s="214">
        <f>IF('3 Part Data'!E51="",IF(LEFT(E12,5)="Level",0,IF(LEFT(E12,9)="Downgrade",MIN(E79,0.99)-ROUND(15/99*MIN(E79,0.99)*(D25-E25),2),MIN(E79,0.99))),'3 Part Data'!E51)</f>
        <v/>
      </c>
      <c r="F92" s="214">
        <f>IF('3 Part Data'!F51="",IF(LEFT(F12,5)="Level",0,IF(LEFT(F12,9)="Downgrade",MIN(F79,0.99)-ROUND(15/99*MIN(F79,0.99)*(E25-F25),2),MIN(F79,0.99))),'3 Part Data'!F51)</f>
        <v/>
      </c>
      <c r="G92" s="214">
        <f>IF('3 Part Data'!G51="",IF(LEFT(G12,5)="Level",0,IF(LEFT(G12,9)="Downgrade",MIN(G79,0.99)-ROUND(15/99*MIN(G79,0.99)*(F25-G25),2),MIN(G79,0.99))),'3 Part Data'!G51)</f>
        <v/>
      </c>
      <c r="H92" s="214">
        <f>IF('3 Part Data'!H51="",IF(LEFT(H12,5)="Level",0,IF(LEFT(H12,9)="Downgrade",MIN(H79,0.99)-ROUND(15/99*MIN(H79,0.99)*(G25-H25),2),MIN(H79,0.99))),'3 Part Data'!H51)</f>
        <v/>
      </c>
      <c r="I92" s="214">
        <f>IF('3 Part Data'!I51="",IF(LEFT(I12,5)="Level",0,IF(LEFT(I12,9)="Downgrade",MIN(I79,0.99)-ROUND(15/99*MIN(I79,0.99)*(H25-I25),2),MIN(I79,0.99))),'3 Part Data'!I51)</f>
        <v/>
      </c>
      <c r="J92" s="214">
        <f>IF('3 Part Data'!J51="",IF(LEFT(J12,5)="Level",0,IF(LEFT(J12,9)="Downgrade",MIN(J79,0.99)-ROUND(15/99*MIN(J79,0.99)*(I25-J25),2),MIN(J79,0.99))),'3 Part Data'!J51)</f>
        <v/>
      </c>
      <c r="K92" s="214">
        <f>IF('3 Part Data'!K51="",IF(LEFT(K12,5)="Level",0,IF(LEFT(K12,9)="Downgrade",MIN(K79,0.99)-ROUND(15/99*MIN(K79,0.99)*(J25-K25),2),MIN(K79,0.99))),'3 Part Data'!K51)</f>
        <v/>
      </c>
      <c r="L92" s="214">
        <f>IF('3 Part Data'!L51="",IF(LEFT(L12,5)="Level",0,IF(LEFT(L12,9)="Downgrade",MIN(L79,0.99)-ROUND(15/99*MIN(L79,0.99)*(K25-L25),2),MIN(L79,0.99))),'3 Part Data'!L51)</f>
        <v/>
      </c>
      <c r="M92" s="214">
        <f>IF('3 Part Data'!M51="",IF(LEFT(M12,5)="Level",0,IF(LEFT(M12,9)="Downgrade",MIN(M79,0.99)-ROUND(15/99*MIN(M79,0.99)*(L25-M25),2),MIN(M79,0.99))),'3 Part Data'!M51)</f>
        <v/>
      </c>
      <c r="N92" s="214">
        <f>IF('3 Part Data'!N51="",IF(LEFT(N12,5)="Level",0,IF(LEFT(N12,9)="Downgrade",MIN(N79,0.99)-ROUND(15/99*MIN(N79,0.99)*(M25-N25),2),MIN(N79,0.99))),'3 Part Data'!N51)</f>
        <v/>
      </c>
      <c r="O92" s="214">
        <f>IF('3 Part Data'!O51="",IF(LEFT(O12,5)="Level",0,IF(LEFT(O12,9)="Downgrade",MIN(O79,0.99)-ROUND(15/99*MIN(O79,0.99)*(N25-O25),2),MIN(O79,0.99))),'3 Part Data'!O51)</f>
        <v/>
      </c>
      <c r="P92" s="214">
        <f>IF('3 Part Data'!P51="",IF(LEFT(P12,5)="Level",0,IF(LEFT(P12,9)="Downgrade",MIN(P79,0.99)-ROUND(15/99*MIN(P79,0.99)*(O25-P25),2),MIN(P79,0.99))),'3 Part Data'!P51)</f>
        <v/>
      </c>
      <c r="Q92" s="214">
        <f>IF('3 Part Data'!Q51="",IF(LEFT(Q12,5)="Level",0,IF(LEFT(Q12,9)="Downgrade",MIN(Q79,0.99)-ROUND(15/99*MIN(Q79,0.99)*(P25-Q25),2),MIN(Q79,0.99))),'3 Part Data'!Q51)</f>
        <v/>
      </c>
      <c r="R92" s="158">
        <f>IF('3 Part Data'!R51="",IF(LEFT(R12,5)="Level",0,IF(LEFT(R12,9)="Downgrade",MIN(R79,0.99)-ROUND(15/99*MIN(R79,0.99)*(Q25-R25),2),MIN(R79,0.99))),'3 Part Data'!R51)</f>
        <v/>
      </c>
      <c r="S92" s="4" t="n"/>
    </row>
    <row r="93" ht="14.25" customHeight="1" s="267">
      <c r="A93" s="4" t="inlineStr">
        <is>
          <t>Brakes</t>
        </is>
      </c>
      <c r="B93" s="231">
        <f>B80</f>
        <v/>
      </c>
      <c r="C93" s="214">
        <f>IF('3 Part Data'!C52="",IF(LEFT(C13,5)="Level",0,IF(LEFT(C13,9)="Downgrade",MIN(C80,0.99)-ROUND(15/99*MIN(C80,0.99)*(B26-C26),2),MIN(C80,0.99))),'3 Part Data'!C52)</f>
        <v/>
      </c>
      <c r="D93" s="214">
        <f>IF('3 Part Data'!D52="",IF(LEFT(D13,5)="Level",0,IF(LEFT(D13,9)="Downgrade",MIN(D80,0.99)-ROUND(15/99*MIN(D80,0.99)*(C26-D26),2),MIN(D80,0.99))),'3 Part Data'!D52)</f>
        <v/>
      </c>
      <c r="E93" s="214">
        <f>IF('3 Part Data'!E52="",IF(LEFT(E13,5)="Level",0,IF(LEFT(E13,9)="Downgrade",MIN(E80,0.99)-ROUND(15/99*MIN(E80,0.99)*(D26-E26),2),MIN(E80,0.99))),'3 Part Data'!E52)</f>
        <v/>
      </c>
      <c r="F93" s="214">
        <f>IF('3 Part Data'!F52="",IF(LEFT(F13,5)="Level",0,IF(LEFT(F13,9)="Downgrade",MIN(F80,0.99)-ROUND(15/99*MIN(F80,0.99)*(E26-F26),2),MIN(F80,0.99))),'3 Part Data'!F52)</f>
        <v/>
      </c>
      <c r="G93" s="214">
        <f>IF('3 Part Data'!G52="",IF(LEFT(G13,5)="Level",0,IF(LEFT(G13,9)="Downgrade",MIN(G80,0.99)-ROUND(15/99*MIN(G80,0.99)*(F26-G26),2),MIN(G80,0.99))),'3 Part Data'!G52)</f>
        <v/>
      </c>
      <c r="H93" s="214">
        <f>IF('3 Part Data'!H52="",IF(LEFT(H13,5)="Level",0,IF(LEFT(H13,9)="Downgrade",MIN(H80,0.99)-ROUND(15/99*MIN(H80,0.99)*(G26-H26),2),MIN(H80,0.99))),'3 Part Data'!H52)</f>
        <v/>
      </c>
      <c r="I93" s="214">
        <f>IF('3 Part Data'!I52="",IF(LEFT(I13,5)="Level",0,IF(LEFT(I13,9)="Downgrade",MIN(I80,0.99)-ROUND(15/99*MIN(I80,0.99)*(H26-I26),2),MIN(I80,0.99))),'3 Part Data'!I52)</f>
        <v/>
      </c>
      <c r="J93" s="214">
        <f>IF('3 Part Data'!J52="",IF(LEFT(J13,5)="Level",0,IF(LEFT(J13,9)="Downgrade",MIN(J80,0.99)-ROUND(15/99*MIN(J80,0.99)*(I26-J26),2),MIN(J80,0.99))),'3 Part Data'!J52)</f>
        <v/>
      </c>
      <c r="K93" s="214">
        <f>IF('3 Part Data'!K52="",IF(LEFT(K13,5)="Level",0,IF(LEFT(K13,9)="Downgrade",MIN(K80,0.99)-ROUND(15/99*MIN(K80,0.99)*(J26-K26),2),MIN(K80,0.99))),'3 Part Data'!K52)</f>
        <v/>
      </c>
      <c r="L93" s="214">
        <f>IF('3 Part Data'!L52="",IF(LEFT(L13,5)="Level",0,IF(LEFT(L13,9)="Downgrade",MIN(L80,0.99)-ROUND(15/99*MIN(L80,0.99)*(K26-L26),2),MIN(L80,0.99))),'3 Part Data'!L52)</f>
        <v/>
      </c>
      <c r="M93" s="214">
        <f>IF('3 Part Data'!M52="",IF(LEFT(M13,5)="Level",0,IF(LEFT(M13,9)="Downgrade",MIN(M80,0.99)-ROUND(15/99*MIN(M80,0.99)*(L26-M26),2),MIN(M80,0.99))),'3 Part Data'!M52)</f>
        <v/>
      </c>
      <c r="N93" s="214">
        <f>IF('3 Part Data'!N52="",IF(LEFT(N13,5)="Level",0,IF(LEFT(N13,9)="Downgrade",MIN(N80,0.99)-ROUND(15/99*MIN(N80,0.99)*(M26-N26),2),MIN(N80,0.99))),'3 Part Data'!N52)</f>
        <v/>
      </c>
      <c r="O93" s="214">
        <f>IF('3 Part Data'!O52="",IF(LEFT(O13,5)="Level",0,IF(LEFT(O13,9)="Downgrade",MIN(O80,0.99)-ROUND(15/99*MIN(O80,0.99)*(N26-O26),2),MIN(O80,0.99))),'3 Part Data'!O52)</f>
        <v/>
      </c>
      <c r="P93" s="214">
        <f>IF('3 Part Data'!P52="",IF(LEFT(P13,5)="Level",0,IF(LEFT(P13,9)="Downgrade",MIN(P80,0.99)-ROUND(15/99*MIN(P80,0.99)*(O26-P26),2),MIN(P80,0.99))),'3 Part Data'!P52)</f>
        <v/>
      </c>
      <c r="Q93" s="214">
        <f>IF('3 Part Data'!Q52="",IF(LEFT(Q13,5)="Level",0,IF(LEFT(Q13,9)="Downgrade",MIN(Q80,0.99)-ROUND(15/99*MIN(Q80,0.99)*(P26-Q26),2),MIN(Q80,0.99))),'3 Part Data'!Q52)</f>
        <v/>
      </c>
      <c r="R93" s="158">
        <f>IF('3 Part Data'!R52="",IF(LEFT(R13,5)="Level",0,IF(LEFT(R13,9)="Downgrade",MIN(R80,0.99)-ROUND(15/99*MIN(R80,0.99)*(Q26-R26),2),MIN(R80,0.99))),'3 Part Data'!R52)</f>
        <v/>
      </c>
      <c r="S93" s="4" t="n"/>
    </row>
    <row r="94" ht="14.25" customHeight="1" s="267">
      <c r="A94" s="4" t="inlineStr">
        <is>
          <t>Suspension</t>
        </is>
      </c>
      <c r="B94" s="231">
        <f>B81</f>
        <v/>
      </c>
      <c r="C94" s="214">
        <f>IF('3 Part Data'!C53="",IF(LEFT(C14,5)="Level",0,IF(LEFT(C14,9)="Downgrade",MIN(C81,0.99)-ROUND(15/99*MIN(C81,0.99)*(B27-C27),2),MIN(C81,0.99))),'3 Part Data'!C53)</f>
        <v/>
      </c>
      <c r="D94" s="214">
        <f>IF('3 Part Data'!D53="",IF(LEFT(D14,5)="Level",0,IF(LEFT(D14,9)="Downgrade",MIN(D81,0.99)-ROUND(15/99*MIN(D81,0.99)*(C27-D27),2),MIN(D81,0.99))),'3 Part Data'!D53)</f>
        <v/>
      </c>
      <c r="E94" s="214">
        <f>IF('3 Part Data'!E53="",IF(LEFT(E14,5)="Level",0,IF(LEFT(E14,9)="Downgrade",MIN(E81,0.99)-ROUND(15/99*MIN(E81,0.99)*(D27-E27),2),MIN(E81,0.99))),'3 Part Data'!E53)</f>
        <v/>
      </c>
      <c r="F94" s="214">
        <f>IF('3 Part Data'!F53="",IF(LEFT(F14,5)="Level",0,IF(LEFT(F14,9)="Downgrade",MIN(F81,0.99)-ROUND(15/99*MIN(F81,0.99)*(E27-F27),2),MIN(F81,0.99))),'3 Part Data'!F53)</f>
        <v/>
      </c>
      <c r="G94" s="214">
        <f>IF('3 Part Data'!G53="",IF(LEFT(G14,5)="Level",0,IF(LEFT(G14,9)="Downgrade",MIN(G81,0.99)-ROUND(15/99*MIN(G81,0.99)*(F27-G27),2),MIN(G81,0.99))),'3 Part Data'!G53)</f>
        <v/>
      </c>
      <c r="H94" s="214">
        <f>IF('3 Part Data'!H53="",IF(LEFT(H14,5)="Level",0,IF(LEFT(H14,9)="Downgrade",MIN(H81,0.99)-ROUND(15/99*MIN(H81,0.99)*(G27-H27),2),MIN(H81,0.99))),'3 Part Data'!H53)</f>
        <v/>
      </c>
      <c r="I94" s="214">
        <f>IF('3 Part Data'!I53="",IF(LEFT(I14,5)="Level",0,IF(LEFT(I14,9)="Downgrade",MIN(I81,0.99)-ROUND(15/99*MIN(I81,0.99)*(H27-I27),2),MIN(I81,0.99))),'3 Part Data'!I53)</f>
        <v/>
      </c>
      <c r="J94" s="214">
        <f>IF('3 Part Data'!J53="",IF(LEFT(J14,5)="Level",0,IF(LEFT(J14,9)="Downgrade",MIN(J81,0.99)-ROUND(15/99*MIN(J81,0.99)*(I27-J27),2),MIN(J81,0.99))),'3 Part Data'!J53)</f>
        <v/>
      </c>
      <c r="K94" s="214">
        <f>IF('3 Part Data'!K53="",IF(LEFT(K14,5)="Level",0,IF(LEFT(K14,9)="Downgrade",MIN(K81,0.99)-ROUND(15/99*MIN(K81,0.99)*(J27-K27),2),MIN(K81,0.99))),'3 Part Data'!K53)</f>
        <v/>
      </c>
      <c r="L94" s="214">
        <f>IF('3 Part Data'!L53="",IF(LEFT(L14,5)="Level",0,IF(LEFT(L14,9)="Downgrade",MIN(L81,0.99)-ROUND(15/99*MIN(L81,0.99)*(K27-L27),2),MIN(L81,0.99))),'3 Part Data'!L53)</f>
        <v/>
      </c>
      <c r="M94" s="214">
        <f>IF('3 Part Data'!M53="",IF(LEFT(M14,5)="Level",0,IF(LEFT(M14,9)="Downgrade",MIN(M81,0.99)-ROUND(15/99*MIN(M81,0.99)*(L27-M27),2),MIN(M81,0.99))),'3 Part Data'!M53)</f>
        <v/>
      </c>
      <c r="N94" s="214">
        <f>IF('3 Part Data'!N53="",IF(LEFT(N14,5)="Level",0,IF(LEFT(N14,9)="Downgrade",MIN(N81,0.99)-ROUND(15/99*MIN(N81,0.99)*(M27-N27),2),MIN(N81,0.99))),'3 Part Data'!N53)</f>
        <v/>
      </c>
      <c r="O94" s="214">
        <f>IF('3 Part Data'!O53="",IF(LEFT(O14,5)="Level",0,IF(LEFT(O14,9)="Downgrade",MIN(O81,0.99)-ROUND(15/99*MIN(O81,0.99)*(N27-O27),2),MIN(O81,0.99))),'3 Part Data'!O53)</f>
        <v/>
      </c>
      <c r="P94" s="214">
        <f>IF('3 Part Data'!P53="",IF(LEFT(P14,5)="Level",0,IF(LEFT(P14,9)="Downgrade",MIN(P81,0.99)-ROUND(15/99*MIN(P81,0.99)*(O27-P27),2),MIN(P81,0.99))),'3 Part Data'!P53)</f>
        <v/>
      </c>
      <c r="Q94" s="214">
        <f>IF('3 Part Data'!Q53="",IF(LEFT(Q14,5)="Level",0,IF(LEFT(Q14,9)="Downgrade",MIN(Q81,0.99)-ROUND(15/99*MIN(Q81,0.99)*(P27-Q27),2),MIN(Q81,0.99))),'3 Part Data'!Q53)</f>
        <v/>
      </c>
      <c r="R94" s="158">
        <f>IF('3 Part Data'!R53="",IF(LEFT(R14,5)="Level",0,IF(LEFT(R14,9)="Downgrade",MIN(R81,0.99)-ROUND(15/99*MIN(R81,0.99)*(Q27-R27),2),MIN(R81,0.99))),'3 Part Data'!R53)</f>
        <v/>
      </c>
      <c r="S94" s="4" t="n"/>
    </row>
    <row r="95" ht="14.25" customHeight="1" s="267">
      <c r="A95" s="4" t="inlineStr">
        <is>
          <t>Electronics</t>
        </is>
      </c>
      <c r="B95" s="232">
        <f>B82</f>
        <v/>
      </c>
      <c r="C95" s="218">
        <f>IF('3 Part Data'!C54="",IF(LEFT(C15,5)="Level",0,IF(LEFT(C15,9)="Downgrade",MIN(C82,0.99)-ROUND(15/99*MIN(C82,0.99)*(B28-C28),2),MIN(C82,0.99))),'3 Part Data'!C54)</f>
        <v/>
      </c>
      <c r="D95" s="218">
        <f>IF('3 Part Data'!D54="",IF(LEFT(D15,5)="Level",0,IF(LEFT(D15,9)="Downgrade",MIN(D82,0.99)-ROUND(15/99*MIN(D82,0.99)*(C28-D28),2),MIN(D82,0.99))),'3 Part Data'!D54)</f>
        <v/>
      </c>
      <c r="E95" s="218">
        <f>IF('3 Part Data'!E54="",IF(LEFT(E15,5)="Level",0,IF(LEFT(E15,9)="Downgrade",MIN(E82,0.99)-ROUND(15/99*MIN(E82,0.99)*(D28-E28),2),MIN(E82,0.99))),'3 Part Data'!E54)</f>
        <v/>
      </c>
      <c r="F95" s="218">
        <f>IF('3 Part Data'!F54="",IF(LEFT(F15,5)="Level",0,IF(LEFT(F15,9)="Downgrade",MIN(F82,0.99)-ROUND(15/99*MIN(F82,0.99)*(E28-F28),2),MIN(F82,0.99))),'3 Part Data'!F54)</f>
        <v/>
      </c>
      <c r="G95" s="218">
        <f>IF('3 Part Data'!G54="",IF(LEFT(G15,5)="Level",0,IF(LEFT(G15,9)="Downgrade",MIN(G82,0.99)-ROUND(15/99*MIN(G82,0.99)*(F28-G28),2),MIN(G82,0.99))),'3 Part Data'!G54)</f>
        <v/>
      </c>
      <c r="H95" s="218">
        <f>IF('3 Part Data'!H54="",IF(LEFT(H15,5)="Level",0,IF(LEFT(H15,9)="Downgrade",MIN(H82,0.99)-ROUND(15/99*MIN(H82,0.99)*(G28-H28),2),MIN(H82,0.99))),'3 Part Data'!H54)</f>
        <v/>
      </c>
      <c r="I95" s="218">
        <f>IF('3 Part Data'!I54="",IF(LEFT(I15,5)="Level",0,IF(LEFT(I15,9)="Downgrade",MIN(I82,0.99)-ROUND(15/99*MIN(I82,0.99)*(H28-I28),2),MIN(I82,0.99))),'3 Part Data'!I54)</f>
        <v/>
      </c>
      <c r="J95" s="218">
        <f>IF('3 Part Data'!J54="",IF(LEFT(J15,5)="Level",0,IF(LEFT(J15,9)="Downgrade",MIN(J82,0.99)-ROUND(15/99*MIN(J82,0.99)*(I28-J28),2),MIN(J82,0.99))),'3 Part Data'!J54)</f>
        <v/>
      </c>
      <c r="K95" s="218">
        <f>IF('3 Part Data'!K54="",IF(LEFT(K15,5)="Level",0,IF(LEFT(K15,9)="Downgrade",MIN(K82,0.99)-ROUND(15/99*MIN(K82,0.99)*(J28-K28),2),MIN(K82,0.99))),'3 Part Data'!K54)</f>
        <v/>
      </c>
      <c r="L95" s="218">
        <f>IF('3 Part Data'!L54="",IF(LEFT(L15,5)="Level",0,IF(LEFT(L15,9)="Downgrade",MIN(L82,0.99)-ROUND(15/99*MIN(L82,0.99)*(K28-L28),2),MIN(L82,0.99))),'3 Part Data'!L54)</f>
        <v/>
      </c>
      <c r="M95" s="218">
        <f>IF('3 Part Data'!M54="",IF(LEFT(M15,5)="Level",0,IF(LEFT(M15,9)="Downgrade",MIN(M82,0.99)-ROUND(15/99*MIN(M82,0.99)*(L28-M28),2),MIN(M82,0.99))),'3 Part Data'!M54)</f>
        <v/>
      </c>
      <c r="N95" s="218">
        <f>IF('3 Part Data'!N54="",IF(LEFT(N15,5)="Level",0,IF(LEFT(N15,9)="Downgrade",MIN(N82,0.99)-ROUND(15/99*MIN(N82,0.99)*(M28-N28),2),MIN(N82,0.99))),'3 Part Data'!N54)</f>
        <v/>
      </c>
      <c r="O95" s="218">
        <f>IF('3 Part Data'!O54="",IF(LEFT(O15,5)="Level",0,IF(LEFT(O15,9)="Downgrade",MIN(O82,0.99)-ROUND(15/99*MIN(O82,0.99)*(N28-O28),2),MIN(O82,0.99))),'3 Part Data'!O54)</f>
        <v/>
      </c>
      <c r="P95" s="218">
        <f>IF('3 Part Data'!P54="",IF(LEFT(P15,5)="Level",0,IF(LEFT(P15,9)="Downgrade",MIN(P82,0.99)-ROUND(15/99*MIN(P82,0.99)*(O28-P28),2),MIN(P82,0.99))),'3 Part Data'!P54)</f>
        <v/>
      </c>
      <c r="Q95" s="218">
        <f>IF('3 Part Data'!Q54="",IF(LEFT(Q15,5)="Level",0,IF(LEFT(Q15,9)="Downgrade",MIN(Q82,0.99)-ROUND(15/99*MIN(Q82,0.99)*(P28-Q28),2),MIN(Q82,0.99))),'3 Part Data'!Q54)</f>
        <v/>
      </c>
      <c r="R95" s="163">
        <f>IF('3 Part Data'!R54="",IF(LEFT(R15,5)="Level",0,IF(LEFT(R15,9)="Downgrade",MIN(R82,0.99)-ROUND(15/99*MIN(R82,0.99)*(Q28-R28),2),MIN(R82,0.99))),'3 Part Data'!R54)</f>
        <v/>
      </c>
      <c r="S95" s="4" t="n"/>
    </row>
    <row r="96" ht="14.25" customHeight="1" s="267">
      <c r="A96" s="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4" t="n"/>
    </row>
    <row r="97" ht="14.25" customHeight="1" s="267">
      <c r="A97" s="25" t="inlineStr">
        <is>
          <t>Post-update testing wear</t>
        </is>
      </c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4" t="n"/>
    </row>
    <row r="98" ht="14.25" customHeight="1" s="267">
      <c r="A98" s="4" t="inlineStr">
        <is>
          <t>Chassis</t>
        </is>
      </c>
      <c r="B98" s="229">
        <f>ROUNDUP('6 Wear Planner'!C$4/100*'3 Part Data'!$B70,2)</f>
        <v/>
      </c>
      <c r="C98" s="230">
        <f>ROUNDUP('6 Wear Planner'!D$4/100*'3 Part Data'!$B70,2)</f>
        <v/>
      </c>
      <c r="D98" s="230">
        <f>ROUNDUP('6 Wear Planner'!E$4/100*'3 Part Data'!$B70,2)</f>
        <v/>
      </c>
      <c r="E98" s="230">
        <f>ROUNDUP('6 Wear Planner'!F$4/100*'3 Part Data'!$B70,2)</f>
        <v/>
      </c>
      <c r="F98" s="230">
        <f>ROUNDUP('6 Wear Planner'!G$4/100*'3 Part Data'!$B70,2)</f>
        <v/>
      </c>
      <c r="G98" s="230">
        <f>ROUNDUP('6 Wear Planner'!H$4/100*'3 Part Data'!$B70,2)</f>
        <v/>
      </c>
      <c r="H98" s="230">
        <f>ROUNDUP('6 Wear Planner'!I$4/100*'3 Part Data'!$B70,2)</f>
        <v/>
      </c>
      <c r="I98" s="230">
        <f>ROUNDUP('6 Wear Planner'!J$4/100*'3 Part Data'!$B70,2)</f>
        <v/>
      </c>
      <c r="J98" s="230">
        <f>ROUNDUP('6 Wear Planner'!K$4/100*'3 Part Data'!$B70,2)</f>
        <v/>
      </c>
      <c r="K98" s="230">
        <f>ROUNDUP('6 Wear Planner'!L$4/100*'3 Part Data'!$B70,2)</f>
        <v/>
      </c>
      <c r="L98" s="230">
        <f>ROUNDUP('6 Wear Planner'!M$4/100*'3 Part Data'!$B70,2)</f>
        <v/>
      </c>
      <c r="M98" s="230">
        <f>ROUNDUP('6 Wear Planner'!N$4/100*'3 Part Data'!$B70,2)</f>
        <v/>
      </c>
      <c r="N98" s="230">
        <f>ROUNDUP('6 Wear Planner'!O$4/100*'3 Part Data'!$B70,2)</f>
        <v/>
      </c>
      <c r="O98" s="230">
        <f>ROUNDUP('6 Wear Planner'!P$4/100*'3 Part Data'!$B70,2)</f>
        <v/>
      </c>
      <c r="P98" s="230">
        <f>ROUNDUP('6 Wear Planner'!Q$4/100*'3 Part Data'!$B70,2)</f>
        <v/>
      </c>
      <c r="Q98" s="230">
        <f>ROUNDUP('6 Wear Planner'!R$4/100*'3 Part Data'!$B70,2)</f>
        <v/>
      </c>
      <c r="R98" s="154">
        <f>ROUNDUP('6 Wear Planner'!S$4/100*'3 Part Data'!$B70,2)</f>
        <v/>
      </c>
      <c r="S98" s="4" t="n"/>
    </row>
    <row r="99" ht="14.25" customHeight="1" s="267">
      <c r="A99" s="4" t="inlineStr">
        <is>
          <t>Engine</t>
        </is>
      </c>
      <c r="B99" s="231">
        <f>ROUNDUP('6 Wear Planner'!C$4/100*'3 Part Data'!$B71,2)</f>
        <v/>
      </c>
      <c r="C99" s="214">
        <f>ROUNDUP('6 Wear Planner'!D$4/100*'3 Part Data'!$B71,2)</f>
        <v/>
      </c>
      <c r="D99" s="214">
        <f>ROUNDUP('6 Wear Planner'!E$4/100*'3 Part Data'!$B71,2)</f>
        <v/>
      </c>
      <c r="E99" s="214">
        <f>ROUNDUP('6 Wear Planner'!F$4/100*'3 Part Data'!$B71,2)</f>
        <v/>
      </c>
      <c r="F99" s="214">
        <f>ROUNDUP('6 Wear Planner'!G$4/100*'3 Part Data'!$B71,2)</f>
        <v/>
      </c>
      <c r="G99" s="214">
        <f>ROUNDUP('6 Wear Planner'!H$4/100*'3 Part Data'!$B71,2)</f>
        <v/>
      </c>
      <c r="H99" s="214">
        <f>ROUNDUP('6 Wear Planner'!I$4/100*'3 Part Data'!$B71,2)</f>
        <v/>
      </c>
      <c r="I99" s="214">
        <f>ROUNDUP('6 Wear Planner'!J$4/100*'3 Part Data'!$B71,2)</f>
        <v/>
      </c>
      <c r="J99" s="214">
        <f>ROUNDUP('6 Wear Planner'!K$4/100*'3 Part Data'!$B71,2)</f>
        <v/>
      </c>
      <c r="K99" s="214">
        <f>ROUNDUP('6 Wear Planner'!L$4/100*'3 Part Data'!$B71,2)</f>
        <v/>
      </c>
      <c r="L99" s="214">
        <f>ROUNDUP('6 Wear Planner'!M$4/100*'3 Part Data'!$B71,2)</f>
        <v/>
      </c>
      <c r="M99" s="214">
        <f>ROUNDUP('6 Wear Planner'!N$4/100*'3 Part Data'!$B71,2)</f>
        <v/>
      </c>
      <c r="N99" s="214">
        <f>ROUNDUP('6 Wear Planner'!O$4/100*'3 Part Data'!$B71,2)</f>
        <v/>
      </c>
      <c r="O99" s="214">
        <f>ROUNDUP('6 Wear Planner'!P$4/100*'3 Part Data'!$B71,2)</f>
        <v/>
      </c>
      <c r="P99" s="214">
        <f>ROUNDUP('6 Wear Planner'!Q$4/100*'3 Part Data'!$B71,2)</f>
        <v/>
      </c>
      <c r="Q99" s="214">
        <f>ROUNDUP('6 Wear Planner'!R$4/100*'3 Part Data'!$B71,2)</f>
        <v/>
      </c>
      <c r="R99" s="158">
        <f>ROUNDUP('6 Wear Planner'!S$4/100*'3 Part Data'!$B71,2)</f>
        <v/>
      </c>
      <c r="S99" s="4" t="n"/>
    </row>
    <row r="100" ht="14.25" customHeight="1" s="267">
      <c r="A100" s="4" t="inlineStr">
        <is>
          <t>Front Wing</t>
        </is>
      </c>
      <c r="B100" s="231">
        <f>ROUNDUP('6 Wear Planner'!C$4/100*'3 Part Data'!$B72,2)</f>
        <v/>
      </c>
      <c r="C100" s="214">
        <f>ROUNDUP('6 Wear Planner'!D$4/100*'3 Part Data'!$B72,2)</f>
        <v/>
      </c>
      <c r="D100" s="214">
        <f>ROUNDUP('6 Wear Planner'!E$4/100*'3 Part Data'!$B72,2)</f>
        <v/>
      </c>
      <c r="E100" s="214">
        <f>ROUNDUP('6 Wear Planner'!F$4/100*'3 Part Data'!$B72,2)</f>
        <v/>
      </c>
      <c r="F100" s="214">
        <f>ROUNDUP('6 Wear Planner'!G$4/100*'3 Part Data'!$B72,2)</f>
        <v/>
      </c>
      <c r="G100" s="214">
        <f>ROUNDUP('6 Wear Planner'!H$4/100*'3 Part Data'!$B72,2)</f>
        <v/>
      </c>
      <c r="H100" s="214">
        <f>ROUNDUP('6 Wear Planner'!I$4/100*'3 Part Data'!$B72,2)</f>
        <v/>
      </c>
      <c r="I100" s="214">
        <f>ROUNDUP('6 Wear Planner'!J$4/100*'3 Part Data'!$B72,2)</f>
        <v/>
      </c>
      <c r="J100" s="214">
        <f>ROUNDUP('6 Wear Planner'!K$4/100*'3 Part Data'!$B72,2)</f>
        <v/>
      </c>
      <c r="K100" s="214">
        <f>ROUNDUP('6 Wear Planner'!L$4/100*'3 Part Data'!$B72,2)</f>
        <v/>
      </c>
      <c r="L100" s="214">
        <f>ROUNDUP('6 Wear Planner'!M$4/100*'3 Part Data'!$B72,2)</f>
        <v/>
      </c>
      <c r="M100" s="214">
        <f>ROUNDUP('6 Wear Planner'!N$4/100*'3 Part Data'!$B72,2)</f>
        <v/>
      </c>
      <c r="N100" s="214">
        <f>ROUNDUP('6 Wear Planner'!O$4/100*'3 Part Data'!$B72,2)</f>
        <v/>
      </c>
      <c r="O100" s="214">
        <f>ROUNDUP('6 Wear Planner'!P$4/100*'3 Part Data'!$B72,2)</f>
        <v/>
      </c>
      <c r="P100" s="214">
        <f>ROUNDUP('6 Wear Planner'!Q$4/100*'3 Part Data'!$B72,2)</f>
        <v/>
      </c>
      <c r="Q100" s="214">
        <f>ROUNDUP('6 Wear Planner'!R$4/100*'3 Part Data'!$B72,2)</f>
        <v/>
      </c>
      <c r="R100" s="158">
        <f>ROUNDUP('6 Wear Planner'!S$4/100*'3 Part Data'!$B72,2)</f>
        <v/>
      </c>
      <c r="S100" s="4" t="n"/>
    </row>
    <row r="101" ht="14.25" customHeight="1" s="267">
      <c r="A101" s="4" t="inlineStr">
        <is>
          <t>Rear Wing</t>
        </is>
      </c>
      <c r="B101" s="231">
        <f>ROUNDUP('6 Wear Planner'!C$4/100*'3 Part Data'!$B73,2)</f>
        <v/>
      </c>
      <c r="C101" s="214">
        <f>ROUNDUP('6 Wear Planner'!D$4/100*'3 Part Data'!$B73,2)</f>
        <v/>
      </c>
      <c r="D101" s="214">
        <f>ROUNDUP('6 Wear Planner'!E$4/100*'3 Part Data'!$B73,2)</f>
        <v/>
      </c>
      <c r="E101" s="214">
        <f>ROUNDUP('6 Wear Planner'!F$4/100*'3 Part Data'!$B73,2)</f>
        <v/>
      </c>
      <c r="F101" s="214">
        <f>ROUNDUP('6 Wear Planner'!G$4/100*'3 Part Data'!$B73,2)</f>
        <v/>
      </c>
      <c r="G101" s="214">
        <f>ROUNDUP('6 Wear Planner'!H$4/100*'3 Part Data'!$B73,2)</f>
        <v/>
      </c>
      <c r="H101" s="214">
        <f>ROUNDUP('6 Wear Planner'!I$4/100*'3 Part Data'!$B73,2)</f>
        <v/>
      </c>
      <c r="I101" s="214">
        <f>ROUNDUP('6 Wear Planner'!J$4/100*'3 Part Data'!$B73,2)</f>
        <v/>
      </c>
      <c r="J101" s="214">
        <f>ROUNDUP('6 Wear Planner'!K$4/100*'3 Part Data'!$B73,2)</f>
        <v/>
      </c>
      <c r="K101" s="214">
        <f>ROUNDUP('6 Wear Planner'!L$4/100*'3 Part Data'!$B73,2)</f>
        <v/>
      </c>
      <c r="L101" s="214">
        <f>ROUNDUP('6 Wear Planner'!M$4/100*'3 Part Data'!$B73,2)</f>
        <v/>
      </c>
      <c r="M101" s="214">
        <f>ROUNDUP('6 Wear Planner'!N$4/100*'3 Part Data'!$B73,2)</f>
        <v/>
      </c>
      <c r="N101" s="214">
        <f>ROUNDUP('6 Wear Planner'!O$4/100*'3 Part Data'!$B73,2)</f>
        <v/>
      </c>
      <c r="O101" s="214">
        <f>ROUNDUP('6 Wear Planner'!P$4/100*'3 Part Data'!$B73,2)</f>
        <v/>
      </c>
      <c r="P101" s="214">
        <f>ROUNDUP('6 Wear Planner'!Q$4/100*'3 Part Data'!$B73,2)</f>
        <v/>
      </c>
      <c r="Q101" s="214">
        <f>ROUNDUP('6 Wear Planner'!R$4/100*'3 Part Data'!$B73,2)</f>
        <v/>
      </c>
      <c r="R101" s="158">
        <f>ROUNDUP('6 Wear Planner'!S$4/100*'3 Part Data'!$B73,2)</f>
        <v/>
      </c>
      <c r="S101" s="4" t="n"/>
    </row>
    <row r="102" ht="14.25" customHeight="1" s="267">
      <c r="A102" s="4" t="inlineStr">
        <is>
          <t>Underbody</t>
        </is>
      </c>
      <c r="B102" s="231">
        <f>ROUNDUP('6 Wear Planner'!C$4/100*'3 Part Data'!$B74,2)</f>
        <v/>
      </c>
      <c r="C102" s="214">
        <f>ROUNDUP('6 Wear Planner'!D$4/100*'3 Part Data'!$B74,2)</f>
        <v/>
      </c>
      <c r="D102" s="214">
        <f>ROUNDUP('6 Wear Planner'!E$4/100*'3 Part Data'!$B74,2)</f>
        <v/>
      </c>
      <c r="E102" s="214">
        <f>ROUNDUP('6 Wear Planner'!F$4/100*'3 Part Data'!$B74,2)</f>
        <v/>
      </c>
      <c r="F102" s="214">
        <f>ROUNDUP('6 Wear Planner'!G$4/100*'3 Part Data'!$B74,2)</f>
        <v/>
      </c>
      <c r="G102" s="214">
        <f>ROUNDUP('6 Wear Planner'!H$4/100*'3 Part Data'!$B74,2)</f>
        <v/>
      </c>
      <c r="H102" s="214">
        <f>ROUNDUP('6 Wear Planner'!I$4/100*'3 Part Data'!$B74,2)</f>
        <v/>
      </c>
      <c r="I102" s="214">
        <f>ROUNDUP('6 Wear Planner'!J$4/100*'3 Part Data'!$B74,2)</f>
        <v/>
      </c>
      <c r="J102" s="214">
        <f>ROUNDUP('6 Wear Planner'!K$4/100*'3 Part Data'!$B74,2)</f>
        <v/>
      </c>
      <c r="K102" s="214">
        <f>ROUNDUP('6 Wear Planner'!L$4/100*'3 Part Data'!$B74,2)</f>
        <v/>
      </c>
      <c r="L102" s="214">
        <f>ROUNDUP('6 Wear Planner'!M$4/100*'3 Part Data'!$B74,2)</f>
        <v/>
      </c>
      <c r="M102" s="214">
        <f>ROUNDUP('6 Wear Planner'!N$4/100*'3 Part Data'!$B74,2)</f>
        <v/>
      </c>
      <c r="N102" s="214">
        <f>ROUNDUP('6 Wear Planner'!O$4/100*'3 Part Data'!$B74,2)</f>
        <v/>
      </c>
      <c r="O102" s="214">
        <f>ROUNDUP('6 Wear Planner'!P$4/100*'3 Part Data'!$B74,2)</f>
        <v/>
      </c>
      <c r="P102" s="214">
        <f>ROUNDUP('6 Wear Planner'!Q$4/100*'3 Part Data'!$B74,2)</f>
        <v/>
      </c>
      <c r="Q102" s="214">
        <f>ROUNDUP('6 Wear Planner'!R$4/100*'3 Part Data'!$B74,2)</f>
        <v/>
      </c>
      <c r="R102" s="158">
        <f>ROUNDUP('6 Wear Planner'!S$4/100*'3 Part Data'!$B74,2)</f>
        <v/>
      </c>
      <c r="S102" s="4" t="n"/>
    </row>
    <row r="103" ht="14.25" customHeight="1" s="267">
      <c r="A103" s="4" t="inlineStr">
        <is>
          <t>Sidepods</t>
        </is>
      </c>
      <c r="B103" s="231">
        <f>ROUNDUP('6 Wear Planner'!C$4/100*'3 Part Data'!$B75,2)</f>
        <v/>
      </c>
      <c r="C103" s="214">
        <f>ROUNDUP('6 Wear Planner'!D$4/100*'3 Part Data'!$B75,2)</f>
        <v/>
      </c>
      <c r="D103" s="214">
        <f>ROUNDUP('6 Wear Planner'!E$4/100*'3 Part Data'!$B75,2)</f>
        <v/>
      </c>
      <c r="E103" s="214">
        <f>ROUNDUP('6 Wear Planner'!F$4/100*'3 Part Data'!$B75,2)</f>
        <v/>
      </c>
      <c r="F103" s="214">
        <f>ROUNDUP('6 Wear Planner'!G$4/100*'3 Part Data'!$B75,2)</f>
        <v/>
      </c>
      <c r="G103" s="214">
        <f>ROUNDUP('6 Wear Planner'!H$4/100*'3 Part Data'!$B75,2)</f>
        <v/>
      </c>
      <c r="H103" s="214">
        <f>ROUNDUP('6 Wear Planner'!I$4/100*'3 Part Data'!$B75,2)</f>
        <v/>
      </c>
      <c r="I103" s="214">
        <f>ROUNDUP('6 Wear Planner'!J$4/100*'3 Part Data'!$B75,2)</f>
        <v/>
      </c>
      <c r="J103" s="214">
        <f>ROUNDUP('6 Wear Planner'!K$4/100*'3 Part Data'!$B75,2)</f>
        <v/>
      </c>
      <c r="K103" s="214">
        <f>ROUNDUP('6 Wear Planner'!L$4/100*'3 Part Data'!$B75,2)</f>
        <v/>
      </c>
      <c r="L103" s="214">
        <f>ROUNDUP('6 Wear Planner'!M$4/100*'3 Part Data'!$B75,2)</f>
        <v/>
      </c>
      <c r="M103" s="214">
        <f>ROUNDUP('6 Wear Planner'!N$4/100*'3 Part Data'!$B75,2)</f>
        <v/>
      </c>
      <c r="N103" s="214">
        <f>ROUNDUP('6 Wear Planner'!O$4/100*'3 Part Data'!$B75,2)</f>
        <v/>
      </c>
      <c r="O103" s="214">
        <f>ROUNDUP('6 Wear Planner'!P$4/100*'3 Part Data'!$B75,2)</f>
        <v/>
      </c>
      <c r="P103" s="214">
        <f>ROUNDUP('6 Wear Planner'!Q$4/100*'3 Part Data'!$B75,2)</f>
        <v/>
      </c>
      <c r="Q103" s="214">
        <f>ROUNDUP('6 Wear Planner'!R$4/100*'3 Part Data'!$B75,2)</f>
        <v/>
      </c>
      <c r="R103" s="158">
        <f>ROUNDUP('6 Wear Planner'!S$4/100*'3 Part Data'!$B75,2)</f>
        <v/>
      </c>
      <c r="S103" s="4" t="n"/>
    </row>
    <row r="104" ht="14.25" customHeight="1" s="267">
      <c r="A104" s="4" t="inlineStr">
        <is>
          <t>Cooling</t>
        </is>
      </c>
      <c r="B104" s="231">
        <f>ROUNDUP('6 Wear Planner'!C$4/100*'3 Part Data'!$B76,2)</f>
        <v/>
      </c>
      <c r="C104" s="214">
        <f>ROUNDUP('6 Wear Planner'!D$4/100*'3 Part Data'!$B76,2)</f>
        <v/>
      </c>
      <c r="D104" s="214">
        <f>ROUNDUP('6 Wear Planner'!E$4/100*'3 Part Data'!$B76,2)</f>
        <v/>
      </c>
      <c r="E104" s="214">
        <f>ROUNDUP('6 Wear Planner'!F$4/100*'3 Part Data'!$B76,2)</f>
        <v/>
      </c>
      <c r="F104" s="214">
        <f>ROUNDUP('6 Wear Planner'!G$4/100*'3 Part Data'!$B76,2)</f>
        <v/>
      </c>
      <c r="G104" s="214">
        <f>ROUNDUP('6 Wear Planner'!H$4/100*'3 Part Data'!$B76,2)</f>
        <v/>
      </c>
      <c r="H104" s="214">
        <f>ROUNDUP('6 Wear Planner'!I$4/100*'3 Part Data'!$B76,2)</f>
        <v/>
      </c>
      <c r="I104" s="214">
        <f>ROUNDUP('6 Wear Planner'!J$4/100*'3 Part Data'!$B76,2)</f>
        <v/>
      </c>
      <c r="J104" s="214">
        <f>ROUNDUP('6 Wear Planner'!K$4/100*'3 Part Data'!$B76,2)</f>
        <v/>
      </c>
      <c r="K104" s="214">
        <f>ROUNDUP('6 Wear Planner'!L$4/100*'3 Part Data'!$B76,2)</f>
        <v/>
      </c>
      <c r="L104" s="214">
        <f>ROUNDUP('6 Wear Planner'!M$4/100*'3 Part Data'!$B76,2)</f>
        <v/>
      </c>
      <c r="M104" s="214">
        <f>ROUNDUP('6 Wear Planner'!N$4/100*'3 Part Data'!$B76,2)</f>
        <v/>
      </c>
      <c r="N104" s="214">
        <f>ROUNDUP('6 Wear Planner'!O$4/100*'3 Part Data'!$B76,2)</f>
        <v/>
      </c>
      <c r="O104" s="214">
        <f>ROUNDUP('6 Wear Planner'!P$4/100*'3 Part Data'!$B76,2)</f>
        <v/>
      </c>
      <c r="P104" s="214">
        <f>ROUNDUP('6 Wear Planner'!Q$4/100*'3 Part Data'!$B76,2)</f>
        <v/>
      </c>
      <c r="Q104" s="214">
        <f>ROUNDUP('6 Wear Planner'!R$4/100*'3 Part Data'!$B76,2)</f>
        <v/>
      </c>
      <c r="R104" s="158">
        <f>ROUNDUP('6 Wear Planner'!S$4/100*'3 Part Data'!$B76,2)</f>
        <v/>
      </c>
      <c r="S104" s="4" t="n"/>
    </row>
    <row r="105" ht="14.25" customHeight="1" s="267">
      <c r="A105" s="4" t="inlineStr">
        <is>
          <t>Gearbox</t>
        </is>
      </c>
      <c r="B105" s="231">
        <f>ROUNDUP('6 Wear Planner'!C$4/100*'3 Part Data'!$B77,2)</f>
        <v/>
      </c>
      <c r="C105" s="214">
        <f>ROUNDUP('6 Wear Planner'!D$4/100*'3 Part Data'!$B77,2)</f>
        <v/>
      </c>
      <c r="D105" s="214">
        <f>ROUNDUP('6 Wear Planner'!E$4/100*'3 Part Data'!$B77,2)</f>
        <v/>
      </c>
      <c r="E105" s="214">
        <f>ROUNDUP('6 Wear Planner'!F$4/100*'3 Part Data'!$B77,2)</f>
        <v/>
      </c>
      <c r="F105" s="214">
        <f>ROUNDUP('6 Wear Planner'!G$4/100*'3 Part Data'!$B77,2)</f>
        <v/>
      </c>
      <c r="G105" s="214">
        <f>ROUNDUP('6 Wear Planner'!H$4/100*'3 Part Data'!$B77,2)</f>
        <v/>
      </c>
      <c r="H105" s="214">
        <f>ROUNDUP('6 Wear Planner'!I$4/100*'3 Part Data'!$B77,2)</f>
        <v/>
      </c>
      <c r="I105" s="214">
        <f>ROUNDUP('6 Wear Planner'!J$4/100*'3 Part Data'!$B77,2)</f>
        <v/>
      </c>
      <c r="J105" s="214">
        <f>ROUNDUP('6 Wear Planner'!K$4/100*'3 Part Data'!$B77,2)</f>
        <v/>
      </c>
      <c r="K105" s="214">
        <f>ROUNDUP('6 Wear Planner'!L$4/100*'3 Part Data'!$B77,2)</f>
        <v/>
      </c>
      <c r="L105" s="214">
        <f>ROUNDUP('6 Wear Planner'!M$4/100*'3 Part Data'!$B77,2)</f>
        <v/>
      </c>
      <c r="M105" s="214">
        <f>ROUNDUP('6 Wear Planner'!N$4/100*'3 Part Data'!$B77,2)</f>
        <v/>
      </c>
      <c r="N105" s="214">
        <f>ROUNDUP('6 Wear Planner'!O$4/100*'3 Part Data'!$B77,2)</f>
        <v/>
      </c>
      <c r="O105" s="214">
        <f>ROUNDUP('6 Wear Planner'!P$4/100*'3 Part Data'!$B77,2)</f>
        <v/>
      </c>
      <c r="P105" s="214">
        <f>ROUNDUP('6 Wear Planner'!Q$4/100*'3 Part Data'!$B77,2)</f>
        <v/>
      </c>
      <c r="Q105" s="214">
        <f>ROUNDUP('6 Wear Planner'!R$4/100*'3 Part Data'!$B77,2)</f>
        <v/>
      </c>
      <c r="R105" s="158">
        <f>ROUNDUP('6 Wear Planner'!S$4/100*'3 Part Data'!$B77,2)</f>
        <v/>
      </c>
      <c r="S105" s="4" t="n"/>
    </row>
    <row r="106" ht="14.25" customHeight="1" s="267">
      <c r="A106" s="4" t="inlineStr">
        <is>
          <t>Brakes</t>
        </is>
      </c>
      <c r="B106" s="231">
        <f>ROUNDUP('6 Wear Planner'!C$4/100*'3 Part Data'!$B78,2)</f>
        <v/>
      </c>
      <c r="C106" s="214">
        <f>ROUNDUP('6 Wear Planner'!D$4/100*'3 Part Data'!$B78,2)</f>
        <v/>
      </c>
      <c r="D106" s="214">
        <f>ROUNDUP('6 Wear Planner'!E$4/100*'3 Part Data'!$B78,2)</f>
        <v/>
      </c>
      <c r="E106" s="214">
        <f>ROUNDUP('6 Wear Planner'!F$4/100*'3 Part Data'!$B78,2)</f>
        <v/>
      </c>
      <c r="F106" s="214">
        <f>ROUNDUP('6 Wear Planner'!G$4/100*'3 Part Data'!$B78,2)</f>
        <v/>
      </c>
      <c r="G106" s="214">
        <f>ROUNDUP('6 Wear Planner'!H$4/100*'3 Part Data'!$B78,2)</f>
        <v/>
      </c>
      <c r="H106" s="214">
        <f>ROUNDUP('6 Wear Planner'!I$4/100*'3 Part Data'!$B78,2)</f>
        <v/>
      </c>
      <c r="I106" s="214">
        <f>ROUNDUP('6 Wear Planner'!J$4/100*'3 Part Data'!$B78,2)</f>
        <v/>
      </c>
      <c r="J106" s="214">
        <f>ROUNDUP('6 Wear Planner'!K$4/100*'3 Part Data'!$B78,2)</f>
        <v/>
      </c>
      <c r="K106" s="214">
        <f>ROUNDUP('6 Wear Planner'!L$4/100*'3 Part Data'!$B78,2)</f>
        <v/>
      </c>
      <c r="L106" s="214">
        <f>ROUNDUP('6 Wear Planner'!M$4/100*'3 Part Data'!$B78,2)</f>
        <v/>
      </c>
      <c r="M106" s="214">
        <f>ROUNDUP('6 Wear Planner'!N$4/100*'3 Part Data'!$B78,2)</f>
        <v/>
      </c>
      <c r="N106" s="214">
        <f>ROUNDUP('6 Wear Planner'!O$4/100*'3 Part Data'!$B78,2)</f>
        <v/>
      </c>
      <c r="O106" s="214">
        <f>ROUNDUP('6 Wear Planner'!P$4/100*'3 Part Data'!$B78,2)</f>
        <v/>
      </c>
      <c r="P106" s="214">
        <f>ROUNDUP('6 Wear Planner'!Q$4/100*'3 Part Data'!$B78,2)</f>
        <v/>
      </c>
      <c r="Q106" s="214">
        <f>ROUNDUP('6 Wear Planner'!R$4/100*'3 Part Data'!$B78,2)</f>
        <v/>
      </c>
      <c r="R106" s="158">
        <f>ROUNDUP('6 Wear Planner'!S$4/100*'3 Part Data'!$B78,2)</f>
        <v/>
      </c>
      <c r="S106" s="4" t="n"/>
    </row>
    <row r="107" ht="14.25" customHeight="1" s="267">
      <c r="A107" s="4" t="inlineStr">
        <is>
          <t>Suspension</t>
        </is>
      </c>
      <c r="B107" s="231">
        <f>ROUNDUP('6 Wear Planner'!C$4/100*'3 Part Data'!$B79,2)</f>
        <v/>
      </c>
      <c r="C107" s="214">
        <f>ROUNDUP('6 Wear Planner'!D$4/100*'3 Part Data'!$B79,2)</f>
        <v/>
      </c>
      <c r="D107" s="214">
        <f>ROUNDUP('6 Wear Planner'!E$4/100*'3 Part Data'!$B79,2)</f>
        <v/>
      </c>
      <c r="E107" s="214">
        <f>ROUNDUP('6 Wear Planner'!F$4/100*'3 Part Data'!$B79,2)</f>
        <v/>
      </c>
      <c r="F107" s="214">
        <f>ROUNDUP('6 Wear Planner'!G$4/100*'3 Part Data'!$B79,2)</f>
        <v/>
      </c>
      <c r="G107" s="214">
        <f>ROUNDUP('6 Wear Planner'!H$4/100*'3 Part Data'!$B79,2)</f>
        <v/>
      </c>
      <c r="H107" s="214">
        <f>ROUNDUP('6 Wear Planner'!I$4/100*'3 Part Data'!$B79,2)</f>
        <v/>
      </c>
      <c r="I107" s="214">
        <f>ROUNDUP('6 Wear Planner'!J$4/100*'3 Part Data'!$B79,2)</f>
        <v/>
      </c>
      <c r="J107" s="214">
        <f>ROUNDUP('6 Wear Planner'!K$4/100*'3 Part Data'!$B79,2)</f>
        <v/>
      </c>
      <c r="K107" s="214">
        <f>ROUNDUP('6 Wear Planner'!L$4/100*'3 Part Data'!$B79,2)</f>
        <v/>
      </c>
      <c r="L107" s="214">
        <f>ROUNDUP('6 Wear Planner'!M$4/100*'3 Part Data'!$B79,2)</f>
        <v/>
      </c>
      <c r="M107" s="214">
        <f>ROUNDUP('6 Wear Planner'!N$4/100*'3 Part Data'!$B79,2)</f>
        <v/>
      </c>
      <c r="N107" s="214">
        <f>ROUNDUP('6 Wear Planner'!O$4/100*'3 Part Data'!$B79,2)</f>
        <v/>
      </c>
      <c r="O107" s="214">
        <f>ROUNDUP('6 Wear Planner'!P$4/100*'3 Part Data'!$B79,2)</f>
        <v/>
      </c>
      <c r="P107" s="214">
        <f>ROUNDUP('6 Wear Planner'!Q$4/100*'3 Part Data'!$B79,2)</f>
        <v/>
      </c>
      <c r="Q107" s="214">
        <f>ROUNDUP('6 Wear Planner'!R$4/100*'3 Part Data'!$B79,2)</f>
        <v/>
      </c>
      <c r="R107" s="158">
        <f>ROUNDUP('6 Wear Planner'!S$4/100*'3 Part Data'!$B79,2)</f>
        <v/>
      </c>
      <c r="S107" s="4" t="n"/>
    </row>
    <row r="108" ht="14.25" customHeight="1" s="267">
      <c r="A108" s="4" t="inlineStr">
        <is>
          <t>Electronics</t>
        </is>
      </c>
      <c r="B108" s="232">
        <f>ROUNDUP('6 Wear Planner'!C$4/100*'3 Part Data'!$B80,2)</f>
        <v/>
      </c>
      <c r="C108" s="218">
        <f>ROUNDUP('6 Wear Planner'!D$4/100*'3 Part Data'!$B80,2)</f>
        <v/>
      </c>
      <c r="D108" s="218">
        <f>ROUNDUP('6 Wear Planner'!E$4/100*'3 Part Data'!$B80,2)</f>
        <v/>
      </c>
      <c r="E108" s="218">
        <f>ROUNDUP('6 Wear Planner'!F$4/100*'3 Part Data'!$B80,2)</f>
        <v/>
      </c>
      <c r="F108" s="218">
        <f>ROUNDUP('6 Wear Planner'!G$4/100*'3 Part Data'!$B80,2)</f>
        <v/>
      </c>
      <c r="G108" s="218">
        <f>ROUNDUP('6 Wear Planner'!H$4/100*'3 Part Data'!$B80,2)</f>
        <v/>
      </c>
      <c r="H108" s="218">
        <f>ROUNDUP('6 Wear Planner'!I$4/100*'3 Part Data'!$B80,2)</f>
        <v/>
      </c>
      <c r="I108" s="218">
        <f>ROUNDUP('6 Wear Planner'!J$4/100*'3 Part Data'!$B80,2)</f>
        <v/>
      </c>
      <c r="J108" s="218">
        <f>ROUNDUP('6 Wear Planner'!K$4/100*'3 Part Data'!$B80,2)</f>
        <v/>
      </c>
      <c r="K108" s="218">
        <f>ROUNDUP('6 Wear Planner'!L$4/100*'3 Part Data'!$B80,2)</f>
        <v/>
      </c>
      <c r="L108" s="218">
        <f>ROUNDUP('6 Wear Planner'!M$4/100*'3 Part Data'!$B80,2)</f>
        <v/>
      </c>
      <c r="M108" s="218">
        <f>ROUNDUP('6 Wear Planner'!N$4/100*'3 Part Data'!$B80,2)</f>
        <v/>
      </c>
      <c r="N108" s="218">
        <f>ROUNDUP('6 Wear Planner'!O$4/100*'3 Part Data'!$B80,2)</f>
        <v/>
      </c>
      <c r="O108" s="218">
        <f>ROUNDUP('6 Wear Planner'!P$4/100*'3 Part Data'!$B80,2)</f>
        <v/>
      </c>
      <c r="P108" s="218">
        <f>ROUNDUP('6 Wear Planner'!Q$4/100*'3 Part Data'!$B80,2)</f>
        <v/>
      </c>
      <c r="Q108" s="218">
        <f>ROUNDUP('6 Wear Planner'!R$4/100*'3 Part Data'!$B80,2)</f>
        <v/>
      </c>
      <c r="R108" s="163">
        <f>ROUNDUP('6 Wear Planner'!S$4/100*'3 Part Data'!$B80,2)</f>
        <v/>
      </c>
      <c r="S108" s="4" t="n"/>
    </row>
    <row r="109" ht="14.25" customHeight="1" s="267">
      <c r="A109" s="4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4" t="n"/>
    </row>
    <row r="110" ht="14.25" customHeight="1" s="267">
      <c r="A110" s="25" t="inlineStr">
        <is>
          <t>Wear before the race</t>
        </is>
      </c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4" t="n"/>
    </row>
    <row r="111" ht="14.25" customHeight="1" s="267">
      <c r="A111" s="4" t="inlineStr">
        <is>
          <t>Chassis</t>
        </is>
      </c>
      <c r="B111" s="229">
        <f>IF('3 Part Data'!B57="",B85+B98,'3 Part Data'!B57)</f>
        <v/>
      </c>
      <c r="C111" s="230">
        <f>IF('3 Part Data'!C57="",C85+C98,'3 Part Data'!C57)</f>
        <v/>
      </c>
      <c r="D111" s="230">
        <f>IF('3 Part Data'!D57="",D85+D98,'3 Part Data'!D57)</f>
        <v/>
      </c>
      <c r="E111" s="230">
        <f>IF('3 Part Data'!E57="",E85+E98,'3 Part Data'!E57)</f>
        <v/>
      </c>
      <c r="F111" s="230">
        <f>IF('3 Part Data'!F57="",F85+F98,'3 Part Data'!F57)</f>
        <v/>
      </c>
      <c r="G111" s="230">
        <f>IF('3 Part Data'!G57="",G85+G98,'3 Part Data'!G57)</f>
        <v/>
      </c>
      <c r="H111" s="230">
        <f>IF('3 Part Data'!H57="",H85+H98,'3 Part Data'!H57)</f>
        <v/>
      </c>
      <c r="I111" s="230">
        <f>IF('3 Part Data'!I57="",I85+I98,'3 Part Data'!I57)</f>
        <v/>
      </c>
      <c r="J111" s="230">
        <f>IF('3 Part Data'!J57="",J85+J98,'3 Part Data'!J57)</f>
        <v/>
      </c>
      <c r="K111" s="230">
        <f>IF('3 Part Data'!K57="",K85+K98,'3 Part Data'!K57)</f>
        <v/>
      </c>
      <c r="L111" s="230">
        <f>IF('3 Part Data'!L57="",L85+L98,'3 Part Data'!L57)</f>
        <v/>
      </c>
      <c r="M111" s="230">
        <f>IF('3 Part Data'!M57="",M85+M98,'3 Part Data'!M57)</f>
        <v/>
      </c>
      <c r="N111" s="230">
        <f>IF('3 Part Data'!N57="",N85+N98,'3 Part Data'!N57)</f>
        <v/>
      </c>
      <c r="O111" s="230">
        <f>IF('3 Part Data'!O57="",O85+O98,'3 Part Data'!O57)</f>
        <v/>
      </c>
      <c r="P111" s="230">
        <f>IF('3 Part Data'!P57="",P85+P98,'3 Part Data'!P57)</f>
        <v/>
      </c>
      <c r="Q111" s="230">
        <f>IF('3 Part Data'!Q57="",Q85+Q98,'3 Part Data'!Q57)</f>
        <v/>
      </c>
      <c r="R111" s="154">
        <f>IF('3 Part Data'!R57="",R85+R98,'3 Part Data'!R57)</f>
        <v/>
      </c>
      <c r="S111" s="4" t="n"/>
    </row>
    <row r="112" ht="14.25" customHeight="1" s="267">
      <c r="A112" s="4" t="inlineStr">
        <is>
          <t>Engine</t>
        </is>
      </c>
      <c r="B112" s="231">
        <f>IF('3 Part Data'!B58="",B86+B99,'3 Part Data'!B58)</f>
        <v/>
      </c>
      <c r="C112" s="214">
        <f>IF('3 Part Data'!C58="",C86+C99,'3 Part Data'!C58)</f>
        <v/>
      </c>
      <c r="D112" s="214">
        <f>IF('3 Part Data'!D58="",D86+D99,'3 Part Data'!D58)</f>
        <v/>
      </c>
      <c r="E112" s="214">
        <f>IF('3 Part Data'!E58="",E86+E99,'3 Part Data'!E58)</f>
        <v/>
      </c>
      <c r="F112" s="214">
        <f>IF('3 Part Data'!F58="",F86+F99,'3 Part Data'!F58)</f>
        <v/>
      </c>
      <c r="G112" s="214">
        <f>IF('3 Part Data'!G58="",G86+G99,'3 Part Data'!G58)</f>
        <v/>
      </c>
      <c r="H112" s="214">
        <f>IF('3 Part Data'!H58="",H86+H99,'3 Part Data'!H58)</f>
        <v/>
      </c>
      <c r="I112" s="214">
        <f>IF('3 Part Data'!I58="",I86+I99,'3 Part Data'!I58)</f>
        <v/>
      </c>
      <c r="J112" s="214">
        <f>IF('3 Part Data'!J58="",J86+J99,'3 Part Data'!J58)</f>
        <v/>
      </c>
      <c r="K112" s="214">
        <f>IF('3 Part Data'!K58="",K86+K99,'3 Part Data'!K58)</f>
        <v/>
      </c>
      <c r="L112" s="214">
        <f>IF('3 Part Data'!L58="",L86+L99,'3 Part Data'!L58)</f>
        <v/>
      </c>
      <c r="M112" s="214">
        <f>IF('3 Part Data'!M58="",M86+M99,'3 Part Data'!M58)</f>
        <v/>
      </c>
      <c r="N112" s="214">
        <f>IF('3 Part Data'!N58="",N86+N99,'3 Part Data'!N58)</f>
        <v/>
      </c>
      <c r="O112" s="214">
        <f>IF('3 Part Data'!O58="",O86+O99,'3 Part Data'!O58)</f>
        <v/>
      </c>
      <c r="P112" s="214">
        <f>IF('3 Part Data'!P58="",P86+P99,'3 Part Data'!P58)</f>
        <v/>
      </c>
      <c r="Q112" s="214">
        <f>IF('3 Part Data'!Q58="",Q86+Q99,'3 Part Data'!Q58)</f>
        <v/>
      </c>
      <c r="R112" s="158">
        <f>IF('3 Part Data'!R58="",R86+R99,'3 Part Data'!R58)</f>
        <v/>
      </c>
      <c r="S112" s="4" t="n"/>
    </row>
    <row r="113" ht="14.25" customHeight="1" s="267">
      <c r="A113" s="4" t="inlineStr">
        <is>
          <t>Front Wing</t>
        </is>
      </c>
      <c r="B113" s="231">
        <f>IF('3 Part Data'!B59="",B87+B100,'3 Part Data'!B59)</f>
        <v/>
      </c>
      <c r="C113" s="214">
        <f>IF('3 Part Data'!C59="",C87+C100,'3 Part Data'!C59)</f>
        <v/>
      </c>
      <c r="D113" s="214">
        <f>IF('3 Part Data'!D59="",D87+D100,'3 Part Data'!D59)</f>
        <v/>
      </c>
      <c r="E113" s="214">
        <f>IF('3 Part Data'!E59="",E87+E100,'3 Part Data'!E59)</f>
        <v/>
      </c>
      <c r="F113" s="214">
        <f>IF('3 Part Data'!F59="",F87+F100,'3 Part Data'!F59)</f>
        <v/>
      </c>
      <c r="G113" s="214">
        <f>IF('3 Part Data'!G59="",G87+G100,'3 Part Data'!G59)</f>
        <v/>
      </c>
      <c r="H113" s="214">
        <f>IF('3 Part Data'!H59="",H87+H100,'3 Part Data'!H59)</f>
        <v/>
      </c>
      <c r="I113" s="214">
        <f>IF('3 Part Data'!I59="",I87+I100,'3 Part Data'!I59)</f>
        <v/>
      </c>
      <c r="J113" s="214">
        <f>IF('3 Part Data'!J59="",J87+J100,'3 Part Data'!J59)</f>
        <v/>
      </c>
      <c r="K113" s="214">
        <f>IF('3 Part Data'!K59="",K87+K100,'3 Part Data'!K59)</f>
        <v/>
      </c>
      <c r="L113" s="214">
        <f>IF('3 Part Data'!L59="",L87+L100,'3 Part Data'!L59)</f>
        <v/>
      </c>
      <c r="M113" s="214">
        <f>IF('3 Part Data'!M59="",M87+M100,'3 Part Data'!M59)</f>
        <v/>
      </c>
      <c r="N113" s="214">
        <f>IF('3 Part Data'!N59="",N87+N100,'3 Part Data'!N59)</f>
        <v/>
      </c>
      <c r="O113" s="214">
        <f>IF('3 Part Data'!O59="",O87+O100,'3 Part Data'!O59)</f>
        <v/>
      </c>
      <c r="P113" s="214">
        <f>IF('3 Part Data'!P59="",P87+P100,'3 Part Data'!P59)</f>
        <v/>
      </c>
      <c r="Q113" s="214">
        <f>IF('3 Part Data'!Q59="",Q87+Q100,'3 Part Data'!Q59)</f>
        <v/>
      </c>
      <c r="R113" s="158">
        <f>IF('3 Part Data'!R59="",R87+R100,'3 Part Data'!R59)</f>
        <v/>
      </c>
      <c r="S113" s="4" t="n"/>
    </row>
    <row r="114" ht="14.25" customHeight="1" s="267">
      <c r="A114" s="4" t="inlineStr">
        <is>
          <t>Rear Wing</t>
        </is>
      </c>
      <c r="B114" s="231">
        <f>IF('3 Part Data'!B60="",B88+B101,'3 Part Data'!B60)</f>
        <v/>
      </c>
      <c r="C114" s="214">
        <f>IF('3 Part Data'!C60="",C88+C101,'3 Part Data'!C60)</f>
        <v/>
      </c>
      <c r="D114" s="214">
        <f>IF('3 Part Data'!D60="",D88+D101,'3 Part Data'!D60)</f>
        <v/>
      </c>
      <c r="E114" s="214">
        <f>IF('3 Part Data'!E60="",E88+E101,'3 Part Data'!E60)</f>
        <v/>
      </c>
      <c r="F114" s="214">
        <f>IF('3 Part Data'!F60="",F88+F101,'3 Part Data'!F60)</f>
        <v/>
      </c>
      <c r="G114" s="214">
        <f>IF('3 Part Data'!G60="",G88+G101,'3 Part Data'!G60)</f>
        <v/>
      </c>
      <c r="H114" s="214">
        <f>IF('3 Part Data'!H60="",H88+H101,'3 Part Data'!H60)</f>
        <v/>
      </c>
      <c r="I114" s="214">
        <f>IF('3 Part Data'!I60="",I88+I101,'3 Part Data'!I60)</f>
        <v/>
      </c>
      <c r="J114" s="214">
        <f>IF('3 Part Data'!J60="",J88+J101,'3 Part Data'!J60)</f>
        <v/>
      </c>
      <c r="K114" s="214">
        <f>IF('3 Part Data'!K60="",K88+K101,'3 Part Data'!K60)</f>
        <v/>
      </c>
      <c r="L114" s="214">
        <f>IF('3 Part Data'!L60="",L88+L101,'3 Part Data'!L60)</f>
        <v/>
      </c>
      <c r="M114" s="214">
        <f>IF('3 Part Data'!M60="",M88+M101,'3 Part Data'!M60)</f>
        <v/>
      </c>
      <c r="N114" s="214">
        <f>IF('3 Part Data'!N60="",N88+N101,'3 Part Data'!N60)</f>
        <v/>
      </c>
      <c r="O114" s="214">
        <f>IF('3 Part Data'!O60="",O88+O101,'3 Part Data'!O60)</f>
        <v/>
      </c>
      <c r="P114" s="214">
        <f>IF('3 Part Data'!P60="",P88+P101,'3 Part Data'!P60)</f>
        <v/>
      </c>
      <c r="Q114" s="214">
        <f>IF('3 Part Data'!Q60="",Q88+Q101,'3 Part Data'!Q60)</f>
        <v/>
      </c>
      <c r="R114" s="158">
        <f>IF('3 Part Data'!R60="",R88+R101,'3 Part Data'!R60)</f>
        <v/>
      </c>
      <c r="S114" s="4" t="n"/>
    </row>
    <row r="115" ht="14.25" customHeight="1" s="267">
      <c r="A115" s="4" t="inlineStr">
        <is>
          <t>Underbody</t>
        </is>
      </c>
      <c r="B115" s="231">
        <f>IF('3 Part Data'!B61="",B89+B102,'3 Part Data'!B61)</f>
        <v/>
      </c>
      <c r="C115" s="214">
        <f>IF('3 Part Data'!C61="",C89+C102,'3 Part Data'!C61)</f>
        <v/>
      </c>
      <c r="D115" s="214">
        <f>IF('3 Part Data'!D61="",D89+D102,'3 Part Data'!D61)</f>
        <v/>
      </c>
      <c r="E115" s="214">
        <f>IF('3 Part Data'!E61="",E89+E102,'3 Part Data'!E61)</f>
        <v/>
      </c>
      <c r="F115" s="214">
        <f>IF('3 Part Data'!F61="",F89+F102,'3 Part Data'!F61)</f>
        <v/>
      </c>
      <c r="G115" s="214">
        <f>IF('3 Part Data'!G61="",G89+G102,'3 Part Data'!G61)</f>
        <v/>
      </c>
      <c r="H115" s="214">
        <f>IF('3 Part Data'!H61="",H89+H102,'3 Part Data'!H61)</f>
        <v/>
      </c>
      <c r="I115" s="214">
        <f>IF('3 Part Data'!I61="",I89+I102,'3 Part Data'!I61)</f>
        <v/>
      </c>
      <c r="J115" s="214">
        <f>IF('3 Part Data'!J61="",J89+J102,'3 Part Data'!J61)</f>
        <v/>
      </c>
      <c r="K115" s="214">
        <f>IF('3 Part Data'!K61="",K89+K102,'3 Part Data'!K61)</f>
        <v/>
      </c>
      <c r="L115" s="214">
        <f>IF('3 Part Data'!L61="",L89+L102,'3 Part Data'!L61)</f>
        <v/>
      </c>
      <c r="M115" s="214">
        <f>IF('3 Part Data'!M61="",M89+M102,'3 Part Data'!M61)</f>
        <v/>
      </c>
      <c r="N115" s="214">
        <f>IF('3 Part Data'!N61="",N89+N102,'3 Part Data'!N61)</f>
        <v/>
      </c>
      <c r="O115" s="214">
        <f>IF('3 Part Data'!O61="",O89+O102,'3 Part Data'!O61)</f>
        <v/>
      </c>
      <c r="P115" s="214">
        <f>IF('3 Part Data'!P61="",P89+P102,'3 Part Data'!P61)</f>
        <v/>
      </c>
      <c r="Q115" s="214">
        <f>IF('3 Part Data'!Q61="",Q89+Q102,'3 Part Data'!Q61)</f>
        <v/>
      </c>
      <c r="R115" s="158">
        <f>IF('3 Part Data'!R61="",R89+R102,'3 Part Data'!R61)</f>
        <v/>
      </c>
      <c r="S115" s="4" t="n"/>
    </row>
    <row r="116" ht="14.25" customHeight="1" s="267">
      <c r="A116" s="4" t="inlineStr">
        <is>
          <t>Sidepods</t>
        </is>
      </c>
      <c r="B116" s="231">
        <f>IF('3 Part Data'!B62="",B90+B103,'3 Part Data'!B62)</f>
        <v/>
      </c>
      <c r="C116" s="214">
        <f>IF('3 Part Data'!C62="",C90+C103,'3 Part Data'!C62)</f>
        <v/>
      </c>
      <c r="D116" s="214">
        <f>IF('3 Part Data'!D62="",D90+D103,'3 Part Data'!D62)</f>
        <v/>
      </c>
      <c r="E116" s="214">
        <f>IF('3 Part Data'!E62="",E90+E103,'3 Part Data'!E62)</f>
        <v/>
      </c>
      <c r="F116" s="214">
        <f>IF('3 Part Data'!F62="",F90+F103,'3 Part Data'!F62)</f>
        <v/>
      </c>
      <c r="G116" s="214">
        <f>IF('3 Part Data'!G62="",G90+G103,'3 Part Data'!G62)</f>
        <v/>
      </c>
      <c r="H116" s="214">
        <f>IF('3 Part Data'!H62="",H90+H103,'3 Part Data'!H62)</f>
        <v/>
      </c>
      <c r="I116" s="214">
        <f>IF('3 Part Data'!I62="",I90+I103,'3 Part Data'!I62)</f>
        <v/>
      </c>
      <c r="J116" s="214">
        <f>IF('3 Part Data'!J62="",J90+J103,'3 Part Data'!J62)</f>
        <v/>
      </c>
      <c r="K116" s="214">
        <f>IF('3 Part Data'!K62="",K90+K103,'3 Part Data'!K62)</f>
        <v/>
      </c>
      <c r="L116" s="214">
        <f>IF('3 Part Data'!L62="",L90+L103,'3 Part Data'!L62)</f>
        <v/>
      </c>
      <c r="M116" s="214">
        <f>IF('3 Part Data'!M62="",M90+M103,'3 Part Data'!M62)</f>
        <v/>
      </c>
      <c r="N116" s="214">
        <f>IF('3 Part Data'!N62="",N90+N103,'3 Part Data'!N62)</f>
        <v/>
      </c>
      <c r="O116" s="214">
        <f>IF('3 Part Data'!O62="",O90+O103,'3 Part Data'!O62)</f>
        <v/>
      </c>
      <c r="P116" s="214">
        <f>IF('3 Part Data'!P62="",P90+P103,'3 Part Data'!P62)</f>
        <v/>
      </c>
      <c r="Q116" s="214">
        <f>IF('3 Part Data'!Q62="",Q90+Q103,'3 Part Data'!Q62)</f>
        <v/>
      </c>
      <c r="R116" s="158">
        <f>IF('3 Part Data'!R62="",R90+R103,'3 Part Data'!R62)</f>
        <v/>
      </c>
      <c r="S116" s="4" t="n"/>
    </row>
    <row r="117" ht="14.25" customHeight="1" s="267">
      <c r="A117" s="4" t="inlineStr">
        <is>
          <t>Cooling</t>
        </is>
      </c>
      <c r="B117" s="231">
        <f>IF('3 Part Data'!B63="",B91+B104,'3 Part Data'!B63)</f>
        <v/>
      </c>
      <c r="C117" s="214">
        <f>IF('3 Part Data'!C63="",C91+C104,'3 Part Data'!C63)</f>
        <v/>
      </c>
      <c r="D117" s="214">
        <f>IF('3 Part Data'!D63="",D91+D104,'3 Part Data'!D63)</f>
        <v/>
      </c>
      <c r="E117" s="214">
        <f>IF('3 Part Data'!E63="",E91+E104,'3 Part Data'!E63)</f>
        <v/>
      </c>
      <c r="F117" s="214">
        <f>IF('3 Part Data'!F63="",F91+F104,'3 Part Data'!F63)</f>
        <v/>
      </c>
      <c r="G117" s="214">
        <f>IF('3 Part Data'!G63="",G91+G104,'3 Part Data'!G63)</f>
        <v/>
      </c>
      <c r="H117" s="214">
        <f>IF('3 Part Data'!H63="",H91+H104,'3 Part Data'!H63)</f>
        <v/>
      </c>
      <c r="I117" s="214">
        <f>IF('3 Part Data'!I63="",I91+I104,'3 Part Data'!I63)</f>
        <v/>
      </c>
      <c r="J117" s="214">
        <f>IF('3 Part Data'!J63="",J91+J104,'3 Part Data'!J63)</f>
        <v/>
      </c>
      <c r="K117" s="214">
        <f>IF('3 Part Data'!K63="",K91+K104,'3 Part Data'!K63)</f>
        <v/>
      </c>
      <c r="L117" s="214">
        <f>IF('3 Part Data'!L63="",L91+L104,'3 Part Data'!L63)</f>
        <v/>
      </c>
      <c r="M117" s="214">
        <f>IF('3 Part Data'!M63="",M91+M104,'3 Part Data'!M63)</f>
        <v/>
      </c>
      <c r="N117" s="214">
        <f>IF('3 Part Data'!N63="",N91+N104,'3 Part Data'!N63)</f>
        <v/>
      </c>
      <c r="O117" s="214">
        <f>IF('3 Part Data'!O63="",O91+O104,'3 Part Data'!O63)</f>
        <v/>
      </c>
      <c r="P117" s="214">
        <f>IF('3 Part Data'!P63="",P91+P104,'3 Part Data'!P63)</f>
        <v/>
      </c>
      <c r="Q117" s="214">
        <f>IF('3 Part Data'!Q63="",Q91+Q104,'3 Part Data'!Q63)</f>
        <v/>
      </c>
      <c r="R117" s="158">
        <f>IF('3 Part Data'!R63="",R91+R104,'3 Part Data'!R63)</f>
        <v/>
      </c>
      <c r="S117" s="4" t="n"/>
    </row>
    <row r="118" ht="14.25" customHeight="1" s="267">
      <c r="A118" s="4" t="inlineStr">
        <is>
          <t>Gearbox</t>
        </is>
      </c>
      <c r="B118" s="231">
        <f>IF('3 Part Data'!B64="",B92+B105,'3 Part Data'!B64)</f>
        <v/>
      </c>
      <c r="C118" s="214">
        <f>IF('3 Part Data'!C64="",C92+C105,'3 Part Data'!C64)</f>
        <v/>
      </c>
      <c r="D118" s="214">
        <f>IF('3 Part Data'!D64="",D92+D105,'3 Part Data'!D64)</f>
        <v/>
      </c>
      <c r="E118" s="214">
        <f>IF('3 Part Data'!E64="",E92+E105,'3 Part Data'!E64)</f>
        <v/>
      </c>
      <c r="F118" s="214">
        <f>IF('3 Part Data'!F64="",F92+F105,'3 Part Data'!F64)</f>
        <v/>
      </c>
      <c r="G118" s="214">
        <f>IF('3 Part Data'!G64="",G92+G105,'3 Part Data'!G64)</f>
        <v/>
      </c>
      <c r="H118" s="214">
        <f>IF('3 Part Data'!H64="",H92+H105,'3 Part Data'!H64)</f>
        <v/>
      </c>
      <c r="I118" s="214">
        <f>IF('3 Part Data'!I64="",I92+I105,'3 Part Data'!I64)</f>
        <v/>
      </c>
      <c r="J118" s="214">
        <f>IF('3 Part Data'!J64="",J92+J105,'3 Part Data'!J64)</f>
        <v/>
      </c>
      <c r="K118" s="214">
        <f>IF('3 Part Data'!K64="",K92+K105,'3 Part Data'!K64)</f>
        <v/>
      </c>
      <c r="L118" s="214">
        <f>IF('3 Part Data'!L64="",L92+L105,'3 Part Data'!L64)</f>
        <v/>
      </c>
      <c r="M118" s="214">
        <f>IF('3 Part Data'!M64="",M92+M105,'3 Part Data'!M64)</f>
        <v/>
      </c>
      <c r="N118" s="214">
        <f>IF('3 Part Data'!N64="",N92+N105,'3 Part Data'!N64)</f>
        <v/>
      </c>
      <c r="O118" s="214">
        <f>IF('3 Part Data'!O64="",O92+O105,'3 Part Data'!O64)</f>
        <v/>
      </c>
      <c r="P118" s="214">
        <f>IF('3 Part Data'!P64="",P92+P105,'3 Part Data'!P64)</f>
        <v/>
      </c>
      <c r="Q118" s="214">
        <f>IF('3 Part Data'!Q64="",Q92+Q105,'3 Part Data'!Q64)</f>
        <v/>
      </c>
      <c r="R118" s="158">
        <f>IF('3 Part Data'!R64="",R92+R105,'3 Part Data'!R64)</f>
        <v/>
      </c>
      <c r="S118" s="4" t="n"/>
    </row>
    <row r="119" ht="14.25" customHeight="1" s="267">
      <c r="A119" s="4" t="inlineStr">
        <is>
          <t>Brakes</t>
        </is>
      </c>
      <c r="B119" s="231">
        <f>IF('3 Part Data'!B65="",B93+B106,'3 Part Data'!B65)</f>
        <v/>
      </c>
      <c r="C119" s="214">
        <f>IF('3 Part Data'!C65="",C93+C106,'3 Part Data'!C65)</f>
        <v/>
      </c>
      <c r="D119" s="214">
        <f>IF('3 Part Data'!D65="",D93+D106,'3 Part Data'!D65)</f>
        <v/>
      </c>
      <c r="E119" s="214">
        <f>IF('3 Part Data'!E65="",E93+E106,'3 Part Data'!E65)</f>
        <v/>
      </c>
      <c r="F119" s="214">
        <f>IF('3 Part Data'!F65="",F93+F106,'3 Part Data'!F65)</f>
        <v/>
      </c>
      <c r="G119" s="214">
        <f>IF('3 Part Data'!G65="",G93+G106,'3 Part Data'!G65)</f>
        <v/>
      </c>
      <c r="H119" s="214">
        <f>IF('3 Part Data'!H65="",H93+H106,'3 Part Data'!H65)</f>
        <v/>
      </c>
      <c r="I119" s="214">
        <f>IF('3 Part Data'!I65="",I93+I106,'3 Part Data'!I65)</f>
        <v/>
      </c>
      <c r="J119" s="214">
        <f>IF('3 Part Data'!J65="",J93+J106,'3 Part Data'!J65)</f>
        <v/>
      </c>
      <c r="K119" s="214">
        <f>IF('3 Part Data'!K65="",K93+K106,'3 Part Data'!K65)</f>
        <v/>
      </c>
      <c r="L119" s="214">
        <f>IF('3 Part Data'!L65="",L93+L106,'3 Part Data'!L65)</f>
        <v/>
      </c>
      <c r="M119" s="214">
        <f>IF('3 Part Data'!M65="",M93+M106,'3 Part Data'!M65)</f>
        <v/>
      </c>
      <c r="N119" s="214">
        <f>IF('3 Part Data'!N65="",N93+N106,'3 Part Data'!N65)</f>
        <v/>
      </c>
      <c r="O119" s="214">
        <f>IF('3 Part Data'!O65="",O93+O106,'3 Part Data'!O65)</f>
        <v/>
      </c>
      <c r="P119" s="214">
        <f>IF('3 Part Data'!P65="",P93+P106,'3 Part Data'!P65)</f>
        <v/>
      </c>
      <c r="Q119" s="214">
        <f>IF('3 Part Data'!Q65="",Q93+Q106,'3 Part Data'!Q65)</f>
        <v/>
      </c>
      <c r="R119" s="158">
        <f>IF('3 Part Data'!R65="",R93+R106,'3 Part Data'!R65)</f>
        <v/>
      </c>
      <c r="S119" s="4" t="n"/>
    </row>
    <row r="120" ht="14.25" customHeight="1" s="267">
      <c r="A120" s="4" t="inlineStr">
        <is>
          <t>Suspension</t>
        </is>
      </c>
      <c r="B120" s="231">
        <f>IF('3 Part Data'!B66="",B94+B107,'3 Part Data'!B66)</f>
        <v/>
      </c>
      <c r="C120" s="214">
        <f>IF('3 Part Data'!C66="",C94+C107,'3 Part Data'!C66)</f>
        <v/>
      </c>
      <c r="D120" s="214">
        <f>IF('3 Part Data'!D66="",D94+D107,'3 Part Data'!D66)</f>
        <v/>
      </c>
      <c r="E120" s="214">
        <f>IF('3 Part Data'!E66="",E94+E107,'3 Part Data'!E66)</f>
        <v/>
      </c>
      <c r="F120" s="214">
        <f>IF('3 Part Data'!F66="",F94+F107,'3 Part Data'!F66)</f>
        <v/>
      </c>
      <c r="G120" s="214">
        <f>IF('3 Part Data'!G66="",G94+G107,'3 Part Data'!G66)</f>
        <v/>
      </c>
      <c r="H120" s="214">
        <f>IF('3 Part Data'!H66="",H94+H107,'3 Part Data'!H66)</f>
        <v/>
      </c>
      <c r="I120" s="214">
        <f>IF('3 Part Data'!I66="",I94+I107,'3 Part Data'!I66)</f>
        <v/>
      </c>
      <c r="J120" s="214">
        <f>IF('3 Part Data'!J66="",J94+J107,'3 Part Data'!J66)</f>
        <v/>
      </c>
      <c r="K120" s="214">
        <f>IF('3 Part Data'!K66="",K94+K107,'3 Part Data'!K66)</f>
        <v/>
      </c>
      <c r="L120" s="214">
        <f>IF('3 Part Data'!L66="",L94+L107,'3 Part Data'!L66)</f>
        <v/>
      </c>
      <c r="M120" s="214">
        <f>IF('3 Part Data'!M66="",M94+M107,'3 Part Data'!M66)</f>
        <v/>
      </c>
      <c r="N120" s="214">
        <f>IF('3 Part Data'!N66="",N94+N107,'3 Part Data'!N66)</f>
        <v/>
      </c>
      <c r="O120" s="214">
        <f>IF('3 Part Data'!O66="",O94+O107,'3 Part Data'!O66)</f>
        <v/>
      </c>
      <c r="P120" s="214">
        <f>IF('3 Part Data'!P66="",P94+P107,'3 Part Data'!P66)</f>
        <v/>
      </c>
      <c r="Q120" s="214">
        <f>IF('3 Part Data'!Q66="",Q94+Q107,'3 Part Data'!Q66)</f>
        <v/>
      </c>
      <c r="R120" s="158">
        <f>IF('3 Part Data'!R66="",R94+R107,'3 Part Data'!R66)</f>
        <v/>
      </c>
      <c r="S120" s="4" t="n"/>
    </row>
    <row r="121" ht="14.25" customHeight="1" s="267">
      <c r="A121" s="4" t="inlineStr">
        <is>
          <t>Electronics</t>
        </is>
      </c>
      <c r="B121" s="232">
        <f>IF('3 Part Data'!B67="",B95+B108,'3 Part Data'!B67)</f>
        <v/>
      </c>
      <c r="C121" s="218">
        <f>IF('3 Part Data'!C67="",C95+C108,'3 Part Data'!C67)</f>
        <v/>
      </c>
      <c r="D121" s="218">
        <f>IF('3 Part Data'!D67="",D95+D108,'3 Part Data'!D67)</f>
        <v/>
      </c>
      <c r="E121" s="218">
        <f>IF('3 Part Data'!E67="",E95+E108,'3 Part Data'!E67)</f>
        <v/>
      </c>
      <c r="F121" s="218">
        <f>IF('3 Part Data'!F67="",F95+F108,'3 Part Data'!F67)</f>
        <v/>
      </c>
      <c r="G121" s="218">
        <f>IF('3 Part Data'!G67="",G95+G108,'3 Part Data'!G67)</f>
        <v/>
      </c>
      <c r="H121" s="218">
        <f>IF('3 Part Data'!H67="",H95+H108,'3 Part Data'!H67)</f>
        <v/>
      </c>
      <c r="I121" s="218">
        <f>IF('3 Part Data'!I67="",I95+I108,'3 Part Data'!I67)</f>
        <v/>
      </c>
      <c r="J121" s="218">
        <f>IF('3 Part Data'!J67="",J95+J108,'3 Part Data'!J67)</f>
        <v/>
      </c>
      <c r="K121" s="218">
        <f>IF('3 Part Data'!K67="",K95+K108,'3 Part Data'!K67)</f>
        <v/>
      </c>
      <c r="L121" s="218">
        <f>IF('3 Part Data'!L67="",L95+L108,'3 Part Data'!L67)</f>
        <v/>
      </c>
      <c r="M121" s="218">
        <f>IF('3 Part Data'!M67="",M95+M108,'3 Part Data'!M67)</f>
        <v/>
      </c>
      <c r="N121" s="218">
        <f>IF('3 Part Data'!N67="",N95+N108,'3 Part Data'!N67)</f>
        <v/>
      </c>
      <c r="O121" s="218">
        <f>IF('3 Part Data'!O67="",O95+O108,'3 Part Data'!O67)</f>
        <v/>
      </c>
      <c r="P121" s="218">
        <f>IF('3 Part Data'!P67="",P95+P108,'3 Part Data'!P67)</f>
        <v/>
      </c>
      <c r="Q121" s="218">
        <f>IF('3 Part Data'!Q67="",Q95+Q108,'3 Part Data'!Q67)</f>
        <v/>
      </c>
      <c r="R121" s="163">
        <f>IF('3 Part Data'!R67="",R95+R108,'3 Part Data'!R67)</f>
        <v/>
      </c>
      <c r="S121" s="4" t="n"/>
    </row>
    <row r="122" ht="14.25" customHeight="1" s="267">
      <c r="A122" s="4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4" t="n"/>
    </row>
    <row r="123" ht="14.25" customHeight="1" s="267">
      <c r="A123" s="25" t="inlineStr">
        <is>
          <t>Race wear</t>
        </is>
      </c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4" t="n"/>
    </row>
    <row r="124" ht="14.25" customHeight="1" s="267">
      <c r="A124" s="4" t="inlineStr">
        <is>
          <t>Chassis</t>
        </is>
      </c>
      <c r="B124" s="229">
        <f>IF('4 Season Planner'!B$9="Start crash",0,'14 Race Wear Calculator'!B92/100)</f>
        <v/>
      </c>
      <c r="C124" s="230">
        <f>IF('4 Season Planner'!C$9="Start crash",0,'14 Race Wear Calculator'!C92/100)</f>
        <v/>
      </c>
      <c r="D124" s="230">
        <f>IF('4 Season Planner'!D$9="Start crash",0,'14 Race Wear Calculator'!D92/100)</f>
        <v/>
      </c>
      <c r="E124" s="230">
        <f>IF('4 Season Planner'!E$9="Start crash",0,'14 Race Wear Calculator'!E92/100)</f>
        <v/>
      </c>
      <c r="F124" s="230">
        <f>IF('4 Season Planner'!F$9="Start crash",0,'14 Race Wear Calculator'!F92/100)</f>
        <v/>
      </c>
      <c r="G124" s="230">
        <f>IF('4 Season Planner'!G$9="Start crash",0,'14 Race Wear Calculator'!G92/100)</f>
        <v/>
      </c>
      <c r="H124" s="230">
        <f>IF('4 Season Planner'!H$9="Start crash",0,'14 Race Wear Calculator'!H92/100)</f>
        <v/>
      </c>
      <c r="I124" s="230">
        <f>IF('4 Season Planner'!I$9="Start crash",0,'14 Race Wear Calculator'!I92/100)</f>
        <v/>
      </c>
      <c r="J124" s="230">
        <f>IF('4 Season Planner'!J$9="Start crash",0,'14 Race Wear Calculator'!J92/100)</f>
        <v/>
      </c>
      <c r="K124" s="230">
        <f>IF('4 Season Planner'!K$9="Start crash",0,'14 Race Wear Calculator'!K92/100)</f>
        <v/>
      </c>
      <c r="L124" s="230">
        <f>IF('4 Season Planner'!L$9="Start crash",0,'14 Race Wear Calculator'!L92/100)</f>
        <v/>
      </c>
      <c r="M124" s="230">
        <f>IF('4 Season Planner'!M$9="Start crash",0,'14 Race Wear Calculator'!M92/100)</f>
        <v/>
      </c>
      <c r="N124" s="230">
        <f>IF('4 Season Planner'!N$9="Start crash",0,'14 Race Wear Calculator'!N92/100)</f>
        <v/>
      </c>
      <c r="O124" s="230">
        <f>IF('4 Season Planner'!O$9="Start crash",0,'14 Race Wear Calculator'!O92/100)</f>
        <v/>
      </c>
      <c r="P124" s="230">
        <f>IF('4 Season Planner'!P$9="Start crash",0,'14 Race Wear Calculator'!P92/100)</f>
        <v/>
      </c>
      <c r="Q124" s="230">
        <f>IF('4 Season Planner'!Q$9="Start crash",0,'14 Race Wear Calculator'!Q92/100)</f>
        <v/>
      </c>
      <c r="R124" s="154">
        <f>IF('4 Season Planner'!R$9="Start crash",0,'14 Race Wear Calculator'!R92/100)</f>
        <v/>
      </c>
      <c r="S124" s="4" t="n"/>
    </row>
    <row r="125" ht="14.25" customHeight="1" s="267">
      <c r="A125" s="4" t="inlineStr">
        <is>
          <t>Engine</t>
        </is>
      </c>
      <c r="B125" s="231">
        <f>IF('4 Season Planner'!B$9="Start crash",0,'14 Race Wear Calculator'!B93/100)</f>
        <v/>
      </c>
      <c r="C125" s="214">
        <f>IF('4 Season Planner'!C$9="Start crash",0,'14 Race Wear Calculator'!C93/100)</f>
        <v/>
      </c>
      <c r="D125" s="214">
        <f>IF('4 Season Planner'!D$9="Start crash",0,'14 Race Wear Calculator'!D93/100)</f>
        <v/>
      </c>
      <c r="E125" s="214">
        <f>IF('4 Season Planner'!E$9="Start crash",0,'14 Race Wear Calculator'!E93/100)</f>
        <v/>
      </c>
      <c r="F125" s="214">
        <f>IF('4 Season Planner'!F$9="Start crash",0,'14 Race Wear Calculator'!F93/100)</f>
        <v/>
      </c>
      <c r="G125" s="214">
        <f>IF('4 Season Planner'!G$9="Start crash",0,'14 Race Wear Calculator'!G93/100)</f>
        <v/>
      </c>
      <c r="H125" s="214">
        <f>IF('4 Season Planner'!H$9="Start crash",0,'14 Race Wear Calculator'!H93/100)</f>
        <v/>
      </c>
      <c r="I125" s="214">
        <f>IF('4 Season Planner'!I$9="Start crash",0,'14 Race Wear Calculator'!I93/100)</f>
        <v/>
      </c>
      <c r="J125" s="214">
        <f>IF('4 Season Planner'!J$9="Start crash",0,'14 Race Wear Calculator'!J93/100)</f>
        <v/>
      </c>
      <c r="K125" s="214">
        <f>IF('4 Season Planner'!K$9="Start crash",0,'14 Race Wear Calculator'!K93/100)</f>
        <v/>
      </c>
      <c r="L125" s="214">
        <f>IF('4 Season Planner'!L$9="Start crash",0,'14 Race Wear Calculator'!L93/100)</f>
        <v/>
      </c>
      <c r="M125" s="214">
        <f>IF('4 Season Planner'!M$9="Start crash",0,'14 Race Wear Calculator'!M93/100)</f>
        <v/>
      </c>
      <c r="N125" s="214">
        <f>IF('4 Season Planner'!N$9="Start crash",0,'14 Race Wear Calculator'!N93/100)</f>
        <v/>
      </c>
      <c r="O125" s="214">
        <f>IF('4 Season Planner'!O$9="Start crash",0,'14 Race Wear Calculator'!O93/100)</f>
        <v/>
      </c>
      <c r="P125" s="214">
        <f>IF('4 Season Planner'!P$9="Start crash",0,'14 Race Wear Calculator'!P93/100)</f>
        <v/>
      </c>
      <c r="Q125" s="214">
        <f>IF('4 Season Planner'!Q$9="Start crash",0,'14 Race Wear Calculator'!Q93/100)</f>
        <v/>
      </c>
      <c r="R125" s="158">
        <f>IF('4 Season Planner'!R$9="Start crash",0,'14 Race Wear Calculator'!R93/100)</f>
        <v/>
      </c>
      <c r="S125" s="4" t="n"/>
    </row>
    <row r="126" ht="14.25" customHeight="1" s="267">
      <c r="A126" s="4" t="inlineStr">
        <is>
          <t>Front Wing</t>
        </is>
      </c>
      <c r="B126" s="231">
        <f>IF('4 Season Planner'!B$9="Start crash",0,'14 Race Wear Calculator'!B94/100)</f>
        <v/>
      </c>
      <c r="C126" s="214">
        <f>IF('4 Season Planner'!C$9="Start crash",0,'14 Race Wear Calculator'!C94/100)</f>
        <v/>
      </c>
      <c r="D126" s="214">
        <f>IF('4 Season Planner'!D$9="Start crash",0,'14 Race Wear Calculator'!D94/100)</f>
        <v/>
      </c>
      <c r="E126" s="214">
        <f>IF('4 Season Planner'!E$9="Start crash",0,'14 Race Wear Calculator'!E94/100)</f>
        <v/>
      </c>
      <c r="F126" s="214">
        <f>IF('4 Season Planner'!F$9="Start crash",0,'14 Race Wear Calculator'!F94/100)</f>
        <v/>
      </c>
      <c r="G126" s="214">
        <f>IF('4 Season Planner'!G$9="Start crash",0,'14 Race Wear Calculator'!G94/100)</f>
        <v/>
      </c>
      <c r="H126" s="214">
        <f>IF('4 Season Planner'!H$9="Start crash",0,'14 Race Wear Calculator'!H94/100)</f>
        <v/>
      </c>
      <c r="I126" s="214">
        <f>IF('4 Season Planner'!I$9="Start crash",0,'14 Race Wear Calculator'!I94/100)</f>
        <v/>
      </c>
      <c r="J126" s="214">
        <f>IF('4 Season Planner'!J$9="Start crash",0,'14 Race Wear Calculator'!J94/100)</f>
        <v/>
      </c>
      <c r="K126" s="214">
        <f>IF('4 Season Planner'!K$9="Start crash",0,'14 Race Wear Calculator'!K94/100)</f>
        <v/>
      </c>
      <c r="L126" s="214">
        <f>IF('4 Season Planner'!L$9="Start crash",0,'14 Race Wear Calculator'!L94/100)</f>
        <v/>
      </c>
      <c r="M126" s="214">
        <f>IF('4 Season Planner'!M$9="Start crash",0,'14 Race Wear Calculator'!M94/100)</f>
        <v/>
      </c>
      <c r="N126" s="214">
        <f>IF('4 Season Planner'!N$9="Start crash",0,'14 Race Wear Calculator'!N94/100)</f>
        <v/>
      </c>
      <c r="O126" s="214">
        <f>IF('4 Season Planner'!O$9="Start crash",0,'14 Race Wear Calculator'!O94/100)</f>
        <v/>
      </c>
      <c r="P126" s="214">
        <f>IF('4 Season Planner'!P$9="Start crash",0,'14 Race Wear Calculator'!P94/100)</f>
        <v/>
      </c>
      <c r="Q126" s="214">
        <f>IF('4 Season Planner'!Q$9="Start crash",0,'14 Race Wear Calculator'!Q94/100)</f>
        <v/>
      </c>
      <c r="R126" s="158">
        <f>IF('4 Season Planner'!R$9="Start crash",0,'14 Race Wear Calculator'!R94/100)</f>
        <v/>
      </c>
      <c r="S126" s="4" t="n"/>
    </row>
    <row r="127" ht="14.25" customHeight="1" s="267">
      <c r="A127" s="4" t="inlineStr">
        <is>
          <t>Rear Wing</t>
        </is>
      </c>
      <c r="B127" s="231">
        <f>IF('4 Season Planner'!B$9="Start crash",0,'14 Race Wear Calculator'!B95/100)</f>
        <v/>
      </c>
      <c r="C127" s="214">
        <f>IF('4 Season Planner'!C$9="Start crash",0,'14 Race Wear Calculator'!C95/100)</f>
        <v/>
      </c>
      <c r="D127" s="214">
        <f>IF('4 Season Planner'!D$9="Start crash",0,'14 Race Wear Calculator'!D95/100)</f>
        <v/>
      </c>
      <c r="E127" s="214">
        <f>IF('4 Season Planner'!E$9="Start crash",0,'14 Race Wear Calculator'!E95/100)</f>
        <v/>
      </c>
      <c r="F127" s="214">
        <f>IF('4 Season Planner'!F$9="Start crash",0,'14 Race Wear Calculator'!F95/100)</f>
        <v/>
      </c>
      <c r="G127" s="214">
        <f>IF('4 Season Planner'!G$9="Start crash",0,'14 Race Wear Calculator'!G95/100)</f>
        <v/>
      </c>
      <c r="H127" s="214">
        <f>IF('4 Season Planner'!H$9="Start crash",0,'14 Race Wear Calculator'!H95/100)</f>
        <v/>
      </c>
      <c r="I127" s="214">
        <f>IF('4 Season Planner'!I$9="Start crash",0,'14 Race Wear Calculator'!I95/100)</f>
        <v/>
      </c>
      <c r="J127" s="214">
        <f>IF('4 Season Planner'!J$9="Start crash",0,'14 Race Wear Calculator'!J95/100)</f>
        <v/>
      </c>
      <c r="K127" s="214">
        <f>IF('4 Season Planner'!K$9="Start crash",0,'14 Race Wear Calculator'!K95/100)</f>
        <v/>
      </c>
      <c r="L127" s="214">
        <f>IF('4 Season Planner'!L$9="Start crash",0,'14 Race Wear Calculator'!L95/100)</f>
        <v/>
      </c>
      <c r="M127" s="214">
        <f>IF('4 Season Planner'!M$9="Start crash",0,'14 Race Wear Calculator'!M95/100)</f>
        <v/>
      </c>
      <c r="N127" s="214">
        <f>IF('4 Season Planner'!N$9="Start crash",0,'14 Race Wear Calculator'!N95/100)</f>
        <v/>
      </c>
      <c r="O127" s="214">
        <f>IF('4 Season Planner'!O$9="Start crash",0,'14 Race Wear Calculator'!O95/100)</f>
        <v/>
      </c>
      <c r="P127" s="214">
        <f>IF('4 Season Planner'!P$9="Start crash",0,'14 Race Wear Calculator'!P95/100)</f>
        <v/>
      </c>
      <c r="Q127" s="214">
        <f>IF('4 Season Planner'!Q$9="Start crash",0,'14 Race Wear Calculator'!Q95/100)</f>
        <v/>
      </c>
      <c r="R127" s="158">
        <f>IF('4 Season Planner'!R$9="Start crash",0,'14 Race Wear Calculator'!R95/100)</f>
        <v/>
      </c>
      <c r="S127" s="4" t="n"/>
    </row>
    <row r="128" ht="14.25" customHeight="1" s="267">
      <c r="A128" s="4" t="inlineStr">
        <is>
          <t>Underbody</t>
        </is>
      </c>
      <c r="B128" s="231">
        <f>IF('4 Season Planner'!B$9="Start crash",0,'14 Race Wear Calculator'!B96/100)</f>
        <v/>
      </c>
      <c r="C128" s="214">
        <f>IF('4 Season Planner'!C$9="Start crash",0,'14 Race Wear Calculator'!C96/100)</f>
        <v/>
      </c>
      <c r="D128" s="214">
        <f>IF('4 Season Planner'!D$9="Start crash",0,'14 Race Wear Calculator'!D96/100)</f>
        <v/>
      </c>
      <c r="E128" s="214">
        <f>IF('4 Season Planner'!E$9="Start crash",0,'14 Race Wear Calculator'!E96/100)</f>
        <v/>
      </c>
      <c r="F128" s="214">
        <f>IF('4 Season Planner'!F$9="Start crash",0,'14 Race Wear Calculator'!F96/100)</f>
        <v/>
      </c>
      <c r="G128" s="214">
        <f>IF('4 Season Planner'!G$9="Start crash",0,'14 Race Wear Calculator'!G96/100)</f>
        <v/>
      </c>
      <c r="H128" s="214">
        <f>IF('4 Season Planner'!H$9="Start crash",0,'14 Race Wear Calculator'!H96/100)</f>
        <v/>
      </c>
      <c r="I128" s="214">
        <f>IF('4 Season Planner'!I$9="Start crash",0,'14 Race Wear Calculator'!I96/100)</f>
        <v/>
      </c>
      <c r="J128" s="214">
        <f>IF('4 Season Planner'!J$9="Start crash",0,'14 Race Wear Calculator'!J96/100)</f>
        <v/>
      </c>
      <c r="K128" s="214">
        <f>IF('4 Season Planner'!K$9="Start crash",0,'14 Race Wear Calculator'!K96/100)</f>
        <v/>
      </c>
      <c r="L128" s="214">
        <f>IF('4 Season Planner'!L$9="Start crash",0,'14 Race Wear Calculator'!L96/100)</f>
        <v/>
      </c>
      <c r="M128" s="214">
        <f>IF('4 Season Planner'!M$9="Start crash",0,'14 Race Wear Calculator'!M96/100)</f>
        <v/>
      </c>
      <c r="N128" s="214">
        <f>IF('4 Season Planner'!N$9="Start crash",0,'14 Race Wear Calculator'!N96/100)</f>
        <v/>
      </c>
      <c r="O128" s="214">
        <f>IF('4 Season Planner'!O$9="Start crash",0,'14 Race Wear Calculator'!O96/100)</f>
        <v/>
      </c>
      <c r="P128" s="214">
        <f>IF('4 Season Planner'!P$9="Start crash",0,'14 Race Wear Calculator'!P96/100)</f>
        <v/>
      </c>
      <c r="Q128" s="214">
        <f>IF('4 Season Planner'!Q$9="Start crash",0,'14 Race Wear Calculator'!Q96/100)</f>
        <v/>
      </c>
      <c r="R128" s="158">
        <f>IF('4 Season Planner'!R$9="Start crash",0,'14 Race Wear Calculator'!R96/100)</f>
        <v/>
      </c>
      <c r="S128" s="4" t="n"/>
    </row>
    <row r="129" ht="14.25" customHeight="1" s="267">
      <c r="A129" s="4" t="inlineStr">
        <is>
          <t>Sidepods</t>
        </is>
      </c>
      <c r="B129" s="231">
        <f>IF('4 Season Planner'!B$9="Start crash",0,'14 Race Wear Calculator'!B97/100)</f>
        <v/>
      </c>
      <c r="C129" s="214">
        <f>IF('4 Season Planner'!C$9="Start crash",0,'14 Race Wear Calculator'!C97/100)</f>
        <v/>
      </c>
      <c r="D129" s="214">
        <f>IF('4 Season Planner'!D$9="Start crash",0,'14 Race Wear Calculator'!D97/100)</f>
        <v/>
      </c>
      <c r="E129" s="214">
        <f>IF('4 Season Planner'!E$9="Start crash",0,'14 Race Wear Calculator'!E97/100)</f>
        <v/>
      </c>
      <c r="F129" s="214">
        <f>IF('4 Season Planner'!F$9="Start crash",0,'14 Race Wear Calculator'!F97/100)</f>
        <v/>
      </c>
      <c r="G129" s="214">
        <f>IF('4 Season Planner'!G$9="Start crash",0,'14 Race Wear Calculator'!G97/100)</f>
        <v/>
      </c>
      <c r="H129" s="214">
        <f>IF('4 Season Planner'!H$9="Start crash",0,'14 Race Wear Calculator'!H97/100)</f>
        <v/>
      </c>
      <c r="I129" s="214">
        <f>IF('4 Season Planner'!I$9="Start crash",0,'14 Race Wear Calculator'!I97/100)</f>
        <v/>
      </c>
      <c r="J129" s="214">
        <f>IF('4 Season Planner'!J$9="Start crash",0,'14 Race Wear Calculator'!J97/100)</f>
        <v/>
      </c>
      <c r="K129" s="214">
        <f>IF('4 Season Planner'!K$9="Start crash",0,'14 Race Wear Calculator'!K97/100)</f>
        <v/>
      </c>
      <c r="L129" s="214">
        <f>IF('4 Season Planner'!L$9="Start crash",0,'14 Race Wear Calculator'!L97/100)</f>
        <v/>
      </c>
      <c r="M129" s="214">
        <f>IF('4 Season Planner'!M$9="Start crash",0,'14 Race Wear Calculator'!M97/100)</f>
        <v/>
      </c>
      <c r="N129" s="214">
        <f>IF('4 Season Planner'!N$9="Start crash",0,'14 Race Wear Calculator'!N97/100)</f>
        <v/>
      </c>
      <c r="O129" s="214">
        <f>IF('4 Season Planner'!O$9="Start crash",0,'14 Race Wear Calculator'!O97/100)</f>
        <v/>
      </c>
      <c r="P129" s="214">
        <f>IF('4 Season Planner'!P$9="Start crash",0,'14 Race Wear Calculator'!P97/100)</f>
        <v/>
      </c>
      <c r="Q129" s="214">
        <f>IF('4 Season Planner'!Q$9="Start crash",0,'14 Race Wear Calculator'!Q97/100)</f>
        <v/>
      </c>
      <c r="R129" s="158">
        <f>IF('4 Season Planner'!R$9="Start crash",0,'14 Race Wear Calculator'!R97/100)</f>
        <v/>
      </c>
      <c r="S129" s="4" t="n"/>
    </row>
    <row r="130" ht="14.25" customHeight="1" s="267">
      <c r="A130" s="4" t="inlineStr">
        <is>
          <t>Cooling</t>
        </is>
      </c>
      <c r="B130" s="231">
        <f>IF('4 Season Planner'!B$9="Start crash",0,'14 Race Wear Calculator'!B98/100)</f>
        <v/>
      </c>
      <c r="C130" s="214">
        <f>IF('4 Season Planner'!C$9="Start crash",0,'14 Race Wear Calculator'!C98/100)</f>
        <v/>
      </c>
      <c r="D130" s="214">
        <f>IF('4 Season Planner'!D$9="Start crash",0,'14 Race Wear Calculator'!D98/100)</f>
        <v/>
      </c>
      <c r="E130" s="214">
        <f>IF('4 Season Planner'!E$9="Start crash",0,'14 Race Wear Calculator'!E98/100)</f>
        <v/>
      </c>
      <c r="F130" s="214">
        <f>IF('4 Season Planner'!F$9="Start crash",0,'14 Race Wear Calculator'!F98/100)</f>
        <v/>
      </c>
      <c r="G130" s="214">
        <f>IF('4 Season Planner'!G$9="Start crash",0,'14 Race Wear Calculator'!G98/100)</f>
        <v/>
      </c>
      <c r="H130" s="214">
        <f>IF('4 Season Planner'!H$9="Start crash",0,'14 Race Wear Calculator'!H98/100)</f>
        <v/>
      </c>
      <c r="I130" s="214">
        <f>IF('4 Season Planner'!I$9="Start crash",0,'14 Race Wear Calculator'!I98/100)</f>
        <v/>
      </c>
      <c r="J130" s="214">
        <f>IF('4 Season Planner'!J$9="Start crash",0,'14 Race Wear Calculator'!J98/100)</f>
        <v/>
      </c>
      <c r="K130" s="214">
        <f>IF('4 Season Planner'!K$9="Start crash",0,'14 Race Wear Calculator'!K98/100)</f>
        <v/>
      </c>
      <c r="L130" s="214">
        <f>IF('4 Season Planner'!L$9="Start crash",0,'14 Race Wear Calculator'!L98/100)</f>
        <v/>
      </c>
      <c r="M130" s="214">
        <f>IF('4 Season Planner'!M$9="Start crash",0,'14 Race Wear Calculator'!M98/100)</f>
        <v/>
      </c>
      <c r="N130" s="214">
        <f>IF('4 Season Planner'!N$9="Start crash",0,'14 Race Wear Calculator'!N98/100)</f>
        <v/>
      </c>
      <c r="O130" s="214">
        <f>IF('4 Season Planner'!O$9="Start crash",0,'14 Race Wear Calculator'!O98/100)</f>
        <v/>
      </c>
      <c r="P130" s="214">
        <f>IF('4 Season Planner'!P$9="Start crash",0,'14 Race Wear Calculator'!P98/100)</f>
        <v/>
      </c>
      <c r="Q130" s="214">
        <f>IF('4 Season Planner'!Q$9="Start crash",0,'14 Race Wear Calculator'!Q98/100)</f>
        <v/>
      </c>
      <c r="R130" s="158">
        <f>IF('4 Season Planner'!R$9="Start crash",0,'14 Race Wear Calculator'!R98/100)</f>
        <v/>
      </c>
      <c r="S130" s="4" t="n"/>
    </row>
    <row r="131" ht="14.25" customHeight="1" s="267">
      <c r="A131" s="4" t="inlineStr">
        <is>
          <t>Gearbox</t>
        </is>
      </c>
      <c r="B131" s="231">
        <f>IF('4 Season Planner'!B$9="Start crash",0,'14 Race Wear Calculator'!B99/100)</f>
        <v/>
      </c>
      <c r="C131" s="214">
        <f>IF('4 Season Planner'!C$9="Start crash",0,'14 Race Wear Calculator'!C99/100)</f>
        <v/>
      </c>
      <c r="D131" s="214">
        <f>IF('4 Season Planner'!D$9="Start crash",0,'14 Race Wear Calculator'!D99/100)</f>
        <v/>
      </c>
      <c r="E131" s="214">
        <f>IF('4 Season Planner'!E$9="Start crash",0,'14 Race Wear Calculator'!E99/100)</f>
        <v/>
      </c>
      <c r="F131" s="214">
        <f>IF('4 Season Planner'!F$9="Start crash",0,'14 Race Wear Calculator'!F99/100)</f>
        <v/>
      </c>
      <c r="G131" s="214">
        <f>IF('4 Season Planner'!G$9="Start crash",0,'14 Race Wear Calculator'!G99/100)</f>
        <v/>
      </c>
      <c r="H131" s="214">
        <f>IF('4 Season Planner'!H$9="Start crash",0,'14 Race Wear Calculator'!H99/100)</f>
        <v/>
      </c>
      <c r="I131" s="214">
        <f>IF('4 Season Planner'!I$9="Start crash",0,'14 Race Wear Calculator'!I99/100)</f>
        <v/>
      </c>
      <c r="J131" s="214">
        <f>IF('4 Season Planner'!J$9="Start crash",0,'14 Race Wear Calculator'!J99/100)</f>
        <v/>
      </c>
      <c r="K131" s="214">
        <f>IF('4 Season Planner'!K$9="Start crash",0,'14 Race Wear Calculator'!K99/100)</f>
        <v/>
      </c>
      <c r="L131" s="214">
        <f>IF('4 Season Planner'!L$9="Start crash",0,'14 Race Wear Calculator'!L99/100)</f>
        <v/>
      </c>
      <c r="M131" s="214">
        <f>IF('4 Season Planner'!M$9="Start crash",0,'14 Race Wear Calculator'!M99/100)</f>
        <v/>
      </c>
      <c r="N131" s="214">
        <f>IF('4 Season Planner'!N$9="Start crash",0,'14 Race Wear Calculator'!N99/100)</f>
        <v/>
      </c>
      <c r="O131" s="214">
        <f>IF('4 Season Planner'!O$9="Start crash",0,'14 Race Wear Calculator'!O99/100)</f>
        <v/>
      </c>
      <c r="P131" s="214">
        <f>IF('4 Season Planner'!P$9="Start crash",0,'14 Race Wear Calculator'!P99/100)</f>
        <v/>
      </c>
      <c r="Q131" s="214">
        <f>IF('4 Season Planner'!Q$9="Start crash",0,'14 Race Wear Calculator'!Q99/100)</f>
        <v/>
      </c>
      <c r="R131" s="158">
        <f>IF('4 Season Planner'!R$9="Start crash",0,'14 Race Wear Calculator'!R99/100)</f>
        <v/>
      </c>
      <c r="S131" s="4" t="n"/>
    </row>
    <row r="132" ht="14.25" customHeight="1" s="267">
      <c r="A132" s="4" t="inlineStr">
        <is>
          <t>Brakes</t>
        </is>
      </c>
      <c r="B132" s="231">
        <f>IF('4 Season Planner'!B$9="Start crash",0,'14 Race Wear Calculator'!B100/100)</f>
        <v/>
      </c>
      <c r="C132" s="214">
        <f>IF('4 Season Planner'!C$9="Start crash",0,'14 Race Wear Calculator'!C100/100)</f>
        <v/>
      </c>
      <c r="D132" s="214">
        <f>IF('4 Season Planner'!D$9="Start crash",0,'14 Race Wear Calculator'!D100/100)</f>
        <v/>
      </c>
      <c r="E132" s="214">
        <f>IF('4 Season Planner'!E$9="Start crash",0,'14 Race Wear Calculator'!E100/100)</f>
        <v/>
      </c>
      <c r="F132" s="214">
        <f>IF('4 Season Planner'!F$9="Start crash",0,'14 Race Wear Calculator'!F100/100)</f>
        <v/>
      </c>
      <c r="G132" s="214">
        <f>IF('4 Season Planner'!G$9="Start crash",0,'14 Race Wear Calculator'!G100/100)</f>
        <v/>
      </c>
      <c r="H132" s="214">
        <f>IF('4 Season Planner'!H$9="Start crash",0,'14 Race Wear Calculator'!H100/100)</f>
        <v/>
      </c>
      <c r="I132" s="214">
        <f>IF('4 Season Planner'!I$9="Start crash",0,'14 Race Wear Calculator'!I100/100)</f>
        <v/>
      </c>
      <c r="J132" s="214">
        <f>IF('4 Season Planner'!J$9="Start crash",0,'14 Race Wear Calculator'!J100/100)</f>
        <v/>
      </c>
      <c r="K132" s="214">
        <f>IF('4 Season Planner'!K$9="Start crash",0,'14 Race Wear Calculator'!K100/100)</f>
        <v/>
      </c>
      <c r="L132" s="214">
        <f>IF('4 Season Planner'!L$9="Start crash",0,'14 Race Wear Calculator'!L100/100)</f>
        <v/>
      </c>
      <c r="M132" s="214">
        <f>IF('4 Season Planner'!M$9="Start crash",0,'14 Race Wear Calculator'!M100/100)</f>
        <v/>
      </c>
      <c r="N132" s="214">
        <f>IF('4 Season Planner'!N$9="Start crash",0,'14 Race Wear Calculator'!N100/100)</f>
        <v/>
      </c>
      <c r="O132" s="214">
        <f>IF('4 Season Planner'!O$9="Start crash",0,'14 Race Wear Calculator'!O100/100)</f>
        <v/>
      </c>
      <c r="P132" s="214">
        <f>IF('4 Season Planner'!P$9="Start crash",0,'14 Race Wear Calculator'!P100/100)</f>
        <v/>
      </c>
      <c r="Q132" s="214">
        <f>IF('4 Season Planner'!Q$9="Start crash",0,'14 Race Wear Calculator'!Q100/100)</f>
        <v/>
      </c>
      <c r="R132" s="158">
        <f>IF('4 Season Planner'!R$9="Start crash",0,'14 Race Wear Calculator'!R100/100)</f>
        <v/>
      </c>
      <c r="S132" s="4" t="n"/>
    </row>
    <row r="133" ht="14.25" customHeight="1" s="267">
      <c r="A133" s="4" t="inlineStr">
        <is>
          <t>Suspension</t>
        </is>
      </c>
      <c r="B133" s="231">
        <f>IF('4 Season Planner'!B$9="Start crash",0,'14 Race Wear Calculator'!B101/100)</f>
        <v/>
      </c>
      <c r="C133" s="214">
        <f>IF('4 Season Planner'!C$9="Start crash",0,'14 Race Wear Calculator'!C101/100)</f>
        <v/>
      </c>
      <c r="D133" s="214">
        <f>IF('4 Season Planner'!D$9="Start crash",0,'14 Race Wear Calculator'!D101/100)</f>
        <v/>
      </c>
      <c r="E133" s="214">
        <f>IF('4 Season Planner'!E$9="Start crash",0,'14 Race Wear Calculator'!E101/100)</f>
        <v/>
      </c>
      <c r="F133" s="214">
        <f>IF('4 Season Planner'!F$9="Start crash",0,'14 Race Wear Calculator'!F101/100)</f>
        <v/>
      </c>
      <c r="G133" s="214">
        <f>IF('4 Season Planner'!G$9="Start crash",0,'14 Race Wear Calculator'!G101/100)</f>
        <v/>
      </c>
      <c r="H133" s="214">
        <f>IF('4 Season Planner'!H$9="Start crash",0,'14 Race Wear Calculator'!H101/100)</f>
        <v/>
      </c>
      <c r="I133" s="214">
        <f>IF('4 Season Planner'!I$9="Start crash",0,'14 Race Wear Calculator'!I101/100)</f>
        <v/>
      </c>
      <c r="J133" s="214">
        <f>IF('4 Season Planner'!J$9="Start crash",0,'14 Race Wear Calculator'!J101/100)</f>
        <v/>
      </c>
      <c r="K133" s="214">
        <f>IF('4 Season Planner'!K$9="Start crash",0,'14 Race Wear Calculator'!K101/100)</f>
        <v/>
      </c>
      <c r="L133" s="214">
        <f>IF('4 Season Planner'!L$9="Start crash",0,'14 Race Wear Calculator'!L101/100)</f>
        <v/>
      </c>
      <c r="M133" s="214">
        <f>IF('4 Season Planner'!M$9="Start crash",0,'14 Race Wear Calculator'!M101/100)</f>
        <v/>
      </c>
      <c r="N133" s="214">
        <f>IF('4 Season Planner'!N$9="Start crash",0,'14 Race Wear Calculator'!N101/100)</f>
        <v/>
      </c>
      <c r="O133" s="214">
        <f>IF('4 Season Planner'!O$9="Start crash",0,'14 Race Wear Calculator'!O101/100)</f>
        <v/>
      </c>
      <c r="P133" s="214">
        <f>IF('4 Season Planner'!P$9="Start crash",0,'14 Race Wear Calculator'!P101/100)</f>
        <v/>
      </c>
      <c r="Q133" s="214">
        <f>IF('4 Season Planner'!Q$9="Start crash",0,'14 Race Wear Calculator'!Q101/100)</f>
        <v/>
      </c>
      <c r="R133" s="158">
        <f>IF('4 Season Planner'!R$9="Start crash",0,'14 Race Wear Calculator'!R101/100)</f>
        <v/>
      </c>
      <c r="S133" s="4" t="n"/>
    </row>
    <row r="134" ht="14.25" customHeight="1" s="267">
      <c r="A134" s="4" t="inlineStr">
        <is>
          <t>Electronics</t>
        </is>
      </c>
      <c r="B134" s="232">
        <f>IF('4 Season Planner'!B$9="Start crash",0,'14 Race Wear Calculator'!B102/100)</f>
        <v/>
      </c>
      <c r="C134" s="218">
        <f>IF('4 Season Planner'!C$9="Start crash",0,'14 Race Wear Calculator'!C102/100)</f>
        <v/>
      </c>
      <c r="D134" s="218">
        <f>IF('4 Season Planner'!D$9="Start crash",0,'14 Race Wear Calculator'!D102/100)</f>
        <v/>
      </c>
      <c r="E134" s="218">
        <f>IF('4 Season Planner'!E$9="Start crash",0,'14 Race Wear Calculator'!E102/100)</f>
        <v/>
      </c>
      <c r="F134" s="218">
        <f>IF('4 Season Planner'!F$9="Start crash",0,'14 Race Wear Calculator'!F102/100)</f>
        <v/>
      </c>
      <c r="G134" s="218">
        <f>IF('4 Season Planner'!G$9="Start crash",0,'14 Race Wear Calculator'!G102/100)</f>
        <v/>
      </c>
      <c r="H134" s="218">
        <f>IF('4 Season Planner'!H$9="Start crash",0,'14 Race Wear Calculator'!H102/100)</f>
        <v/>
      </c>
      <c r="I134" s="218">
        <f>IF('4 Season Planner'!I$9="Start crash",0,'14 Race Wear Calculator'!I102/100)</f>
        <v/>
      </c>
      <c r="J134" s="218">
        <f>IF('4 Season Planner'!J$9="Start crash",0,'14 Race Wear Calculator'!J102/100)</f>
        <v/>
      </c>
      <c r="K134" s="218">
        <f>IF('4 Season Planner'!K$9="Start crash",0,'14 Race Wear Calculator'!K102/100)</f>
        <v/>
      </c>
      <c r="L134" s="218">
        <f>IF('4 Season Planner'!L$9="Start crash",0,'14 Race Wear Calculator'!L102/100)</f>
        <v/>
      </c>
      <c r="M134" s="218">
        <f>IF('4 Season Planner'!M$9="Start crash",0,'14 Race Wear Calculator'!M102/100)</f>
        <v/>
      </c>
      <c r="N134" s="218">
        <f>IF('4 Season Planner'!N$9="Start crash",0,'14 Race Wear Calculator'!N102/100)</f>
        <v/>
      </c>
      <c r="O134" s="218">
        <f>IF('4 Season Planner'!O$9="Start crash",0,'14 Race Wear Calculator'!O102/100)</f>
        <v/>
      </c>
      <c r="P134" s="218">
        <f>IF('4 Season Planner'!P$9="Start crash",0,'14 Race Wear Calculator'!P102/100)</f>
        <v/>
      </c>
      <c r="Q134" s="218">
        <f>IF('4 Season Planner'!Q$9="Start crash",0,'14 Race Wear Calculator'!Q102/100)</f>
        <v/>
      </c>
      <c r="R134" s="163">
        <f>IF('4 Season Planner'!R$9="Start crash",0,'14 Race Wear Calculator'!R102/100)</f>
        <v/>
      </c>
      <c r="S134" s="4" t="n"/>
    </row>
    <row r="135" ht="14.25" customHeight="1" s="267">
      <c r="A135" s="4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4" t="n"/>
    </row>
    <row r="136" ht="14.25" customHeight="1" s="267">
      <c r="A136" s="25" t="inlineStr">
        <is>
          <t>Wear after the race</t>
        </is>
      </c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4" t="n"/>
    </row>
    <row r="137" ht="14.25" customHeight="1" s="267">
      <c r="A137" s="4" t="inlineStr">
        <is>
          <t>Chassis</t>
        </is>
      </c>
      <c r="B137" s="229">
        <f>IF('3 Part Data'!C18="",B111+B124,'3 Part Data'!C18)</f>
        <v/>
      </c>
      <c r="C137" s="230">
        <f>IF('3 Part Data'!D18="",C111+C124,'3 Part Data'!D18)</f>
        <v/>
      </c>
      <c r="D137" s="230">
        <f>IF('3 Part Data'!E18="",D111+D124,'3 Part Data'!E18)</f>
        <v/>
      </c>
      <c r="E137" s="230">
        <f>IF('3 Part Data'!F18="",E111+E124,'3 Part Data'!F18)</f>
        <v/>
      </c>
      <c r="F137" s="230">
        <f>IF('3 Part Data'!G18="",F111+F124,'3 Part Data'!G18)</f>
        <v/>
      </c>
      <c r="G137" s="230">
        <f>IF('3 Part Data'!H18="",G111+G124,'3 Part Data'!H18)</f>
        <v/>
      </c>
      <c r="H137" s="230">
        <f>IF('3 Part Data'!I18="",H111+H124,'3 Part Data'!I18)</f>
        <v/>
      </c>
      <c r="I137" s="230">
        <f>IF('3 Part Data'!J18="",I111+I124,'3 Part Data'!J18)</f>
        <v/>
      </c>
      <c r="J137" s="230">
        <f>IF('3 Part Data'!K18="",J111+J124,'3 Part Data'!K18)</f>
        <v/>
      </c>
      <c r="K137" s="230">
        <f>IF('3 Part Data'!L18="",K111+K124,'3 Part Data'!L18)</f>
        <v/>
      </c>
      <c r="L137" s="230">
        <f>IF('3 Part Data'!M18="",L111+L124,'3 Part Data'!M18)</f>
        <v/>
      </c>
      <c r="M137" s="230">
        <f>IF('3 Part Data'!N18="",M111+M124,'3 Part Data'!N18)</f>
        <v/>
      </c>
      <c r="N137" s="230">
        <f>IF('3 Part Data'!O18="",N111+N124,'3 Part Data'!O18)</f>
        <v/>
      </c>
      <c r="O137" s="230">
        <f>IF('3 Part Data'!P18="",O111+O124,'3 Part Data'!P18)</f>
        <v/>
      </c>
      <c r="P137" s="230">
        <f>IF('3 Part Data'!Q18="",P111+P124,'3 Part Data'!Q18)</f>
        <v/>
      </c>
      <c r="Q137" s="230">
        <f>IF('3 Part Data'!R18="",Q111+Q124,'3 Part Data'!R18)</f>
        <v/>
      </c>
      <c r="R137" s="154">
        <f>IF('3 Part Data'!S18="",R111+R124,'3 Part Data'!S18)</f>
        <v/>
      </c>
      <c r="S137" s="4" t="n"/>
    </row>
    <row r="138" ht="14.25" customHeight="1" s="267">
      <c r="A138" s="4" t="inlineStr">
        <is>
          <t>Engine</t>
        </is>
      </c>
      <c r="B138" s="231">
        <f>IF('3 Part Data'!C19="",B112+B125,'3 Part Data'!C19)</f>
        <v/>
      </c>
      <c r="C138" s="214">
        <f>IF('3 Part Data'!D19="",C112+C125,'3 Part Data'!D19)</f>
        <v/>
      </c>
      <c r="D138" s="214">
        <f>IF('3 Part Data'!E19="",D112+D125,'3 Part Data'!E19)</f>
        <v/>
      </c>
      <c r="E138" s="214">
        <f>IF('3 Part Data'!F19="",E112+E125,'3 Part Data'!F19)</f>
        <v/>
      </c>
      <c r="F138" s="214">
        <f>IF('3 Part Data'!G19="",F112+F125,'3 Part Data'!G19)</f>
        <v/>
      </c>
      <c r="G138" s="214">
        <f>IF('3 Part Data'!H19="",G112+G125,'3 Part Data'!H19)</f>
        <v/>
      </c>
      <c r="H138" s="214">
        <f>IF('3 Part Data'!I19="",H112+H125,'3 Part Data'!I19)</f>
        <v/>
      </c>
      <c r="I138" s="214">
        <f>IF('3 Part Data'!J19="",I112+I125,'3 Part Data'!J19)</f>
        <v/>
      </c>
      <c r="J138" s="214">
        <f>IF('3 Part Data'!K19="",J112+J125,'3 Part Data'!K19)</f>
        <v/>
      </c>
      <c r="K138" s="214">
        <f>IF('3 Part Data'!L19="",K112+K125,'3 Part Data'!L19)</f>
        <v/>
      </c>
      <c r="L138" s="214">
        <f>IF('3 Part Data'!M19="",L112+L125,'3 Part Data'!M19)</f>
        <v/>
      </c>
      <c r="M138" s="214">
        <f>IF('3 Part Data'!N19="",M112+M125,'3 Part Data'!N19)</f>
        <v/>
      </c>
      <c r="N138" s="214">
        <f>IF('3 Part Data'!O19="",N112+N125,'3 Part Data'!O19)</f>
        <v/>
      </c>
      <c r="O138" s="214">
        <f>IF('3 Part Data'!P19="",O112+O125,'3 Part Data'!P19)</f>
        <v/>
      </c>
      <c r="P138" s="214">
        <f>IF('3 Part Data'!Q19="",P112+P125,'3 Part Data'!Q19)</f>
        <v/>
      </c>
      <c r="Q138" s="214">
        <f>IF('3 Part Data'!R19="",Q112+Q125,'3 Part Data'!R19)</f>
        <v/>
      </c>
      <c r="R138" s="158">
        <f>IF('3 Part Data'!S19="",R112+R125,'3 Part Data'!S19)</f>
        <v/>
      </c>
      <c r="S138" s="4" t="n"/>
    </row>
    <row r="139" ht="14.25" customHeight="1" s="267">
      <c r="A139" s="4" t="inlineStr">
        <is>
          <t>Front Wing</t>
        </is>
      </c>
      <c r="B139" s="231">
        <f>IF('3 Part Data'!C20="",B113+B126,'3 Part Data'!C20)</f>
        <v/>
      </c>
      <c r="C139" s="214">
        <f>IF('3 Part Data'!D20="",C113+C126,'3 Part Data'!D20)</f>
        <v/>
      </c>
      <c r="D139" s="214">
        <f>IF('3 Part Data'!E20="",D113+D126,'3 Part Data'!E20)</f>
        <v/>
      </c>
      <c r="E139" s="214">
        <f>IF('3 Part Data'!F20="",E113+E126,'3 Part Data'!F20)</f>
        <v/>
      </c>
      <c r="F139" s="214">
        <f>IF('3 Part Data'!G20="",F113+F126,'3 Part Data'!G20)</f>
        <v/>
      </c>
      <c r="G139" s="214">
        <f>IF('3 Part Data'!H20="",G113+G126,'3 Part Data'!H20)</f>
        <v/>
      </c>
      <c r="H139" s="214">
        <f>IF('3 Part Data'!I20="",H113+H126,'3 Part Data'!I20)</f>
        <v/>
      </c>
      <c r="I139" s="214">
        <f>IF('3 Part Data'!J20="",I113+I126,'3 Part Data'!J20)</f>
        <v/>
      </c>
      <c r="J139" s="214">
        <f>IF('3 Part Data'!K20="",J113+J126,'3 Part Data'!K20)</f>
        <v/>
      </c>
      <c r="K139" s="214">
        <f>IF('3 Part Data'!L20="",K113+K126,'3 Part Data'!L20)</f>
        <v/>
      </c>
      <c r="L139" s="214">
        <f>IF('3 Part Data'!M20="",L113+L126,'3 Part Data'!M20)</f>
        <v/>
      </c>
      <c r="M139" s="214">
        <f>IF('3 Part Data'!N20="",M113+M126,'3 Part Data'!N20)</f>
        <v/>
      </c>
      <c r="N139" s="214">
        <f>IF('3 Part Data'!O20="",N113+N126,'3 Part Data'!O20)</f>
        <v/>
      </c>
      <c r="O139" s="214">
        <f>IF('3 Part Data'!P20="",O113+O126,'3 Part Data'!P20)</f>
        <v/>
      </c>
      <c r="P139" s="214">
        <f>IF('3 Part Data'!Q20="",P113+P126,'3 Part Data'!Q20)</f>
        <v/>
      </c>
      <c r="Q139" s="214">
        <f>IF('3 Part Data'!R20="",Q113+Q126,'3 Part Data'!R20)</f>
        <v/>
      </c>
      <c r="R139" s="158">
        <f>IF('3 Part Data'!S20="",R113+R126,'3 Part Data'!S20)</f>
        <v/>
      </c>
      <c r="S139" s="4" t="n"/>
    </row>
    <row r="140" ht="14.25" customHeight="1" s="267">
      <c r="A140" s="4" t="inlineStr">
        <is>
          <t>Rear Wing</t>
        </is>
      </c>
      <c r="B140" s="231">
        <f>IF('3 Part Data'!C21="",B114+B127,'3 Part Data'!C21)</f>
        <v/>
      </c>
      <c r="C140" s="214">
        <f>IF('3 Part Data'!D21="",C114+C127,'3 Part Data'!D21)</f>
        <v/>
      </c>
      <c r="D140" s="214">
        <f>IF('3 Part Data'!E21="",D114+D127,'3 Part Data'!E21)</f>
        <v/>
      </c>
      <c r="E140" s="214">
        <f>IF('3 Part Data'!F21="",E114+E127,'3 Part Data'!F21)</f>
        <v/>
      </c>
      <c r="F140" s="214">
        <f>IF('3 Part Data'!G21="",F114+F127,'3 Part Data'!G21)</f>
        <v/>
      </c>
      <c r="G140" s="214">
        <f>IF('3 Part Data'!H21="",G114+G127,'3 Part Data'!H21)</f>
        <v/>
      </c>
      <c r="H140" s="214">
        <f>IF('3 Part Data'!I21="",H114+H127,'3 Part Data'!I21)</f>
        <v/>
      </c>
      <c r="I140" s="214">
        <f>IF('3 Part Data'!J21="",I114+I127,'3 Part Data'!J21)</f>
        <v/>
      </c>
      <c r="J140" s="214">
        <f>IF('3 Part Data'!K21="",J114+J127,'3 Part Data'!K21)</f>
        <v/>
      </c>
      <c r="K140" s="214">
        <f>IF('3 Part Data'!L21="",K114+K127,'3 Part Data'!L21)</f>
        <v/>
      </c>
      <c r="L140" s="214">
        <f>IF('3 Part Data'!M21="",L114+L127,'3 Part Data'!M21)</f>
        <v/>
      </c>
      <c r="M140" s="214">
        <f>IF('3 Part Data'!N21="",M114+M127,'3 Part Data'!N21)</f>
        <v/>
      </c>
      <c r="N140" s="214">
        <f>IF('3 Part Data'!O21="",N114+N127,'3 Part Data'!O21)</f>
        <v/>
      </c>
      <c r="O140" s="214">
        <f>IF('3 Part Data'!P21="",O114+O127,'3 Part Data'!P21)</f>
        <v/>
      </c>
      <c r="P140" s="214">
        <f>IF('3 Part Data'!Q21="",P114+P127,'3 Part Data'!Q21)</f>
        <v/>
      </c>
      <c r="Q140" s="214">
        <f>IF('3 Part Data'!R21="",Q114+Q127,'3 Part Data'!R21)</f>
        <v/>
      </c>
      <c r="R140" s="158">
        <f>IF('3 Part Data'!S21="",R114+R127,'3 Part Data'!S21)</f>
        <v/>
      </c>
      <c r="S140" s="4" t="n"/>
    </row>
    <row r="141" ht="14.25" customHeight="1" s="267">
      <c r="A141" s="4" t="inlineStr">
        <is>
          <t>Underbody</t>
        </is>
      </c>
      <c r="B141" s="231">
        <f>IF('3 Part Data'!C22="",B115+B128,'3 Part Data'!C22)</f>
        <v/>
      </c>
      <c r="C141" s="214">
        <f>IF('3 Part Data'!D22="",C115+C128,'3 Part Data'!D22)</f>
        <v/>
      </c>
      <c r="D141" s="214">
        <f>IF('3 Part Data'!E22="",D115+D128,'3 Part Data'!E22)</f>
        <v/>
      </c>
      <c r="E141" s="214">
        <f>IF('3 Part Data'!F22="",E115+E128,'3 Part Data'!F22)</f>
        <v/>
      </c>
      <c r="F141" s="214">
        <f>IF('3 Part Data'!G22="",F115+F128,'3 Part Data'!G22)</f>
        <v/>
      </c>
      <c r="G141" s="214">
        <f>IF('3 Part Data'!H22="",G115+G128,'3 Part Data'!H22)</f>
        <v/>
      </c>
      <c r="H141" s="214">
        <f>IF('3 Part Data'!I22="",H115+H128,'3 Part Data'!I22)</f>
        <v/>
      </c>
      <c r="I141" s="214">
        <f>IF('3 Part Data'!J22="",I115+I128,'3 Part Data'!J22)</f>
        <v/>
      </c>
      <c r="J141" s="214">
        <f>IF('3 Part Data'!K22="",J115+J128,'3 Part Data'!K22)</f>
        <v/>
      </c>
      <c r="K141" s="214">
        <f>IF('3 Part Data'!L22="",K115+K128,'3 Part Data'!L22)</f>
        <v/>
      </c>
      <c r="L141" s="214">
        <f>IF('3 Part Data'!M22="",L115+L128,'3 Part Data'!M22)</f>
        <v/>
      </c>
      <c r="M141" s="214">
        <f>IF('3 Part Data'!N22="",M115+M128,'3 Part Data'!N22)</f>
        <v/>
      </c>
      <c r="N141" s="214">
        <f>IF('3 Part Data'!O22="",N115+N128,'3 Part Data'!O22)</f>
        <v/>
      </c>
      <c r="O141" s="214">
        <f>IF('3 Part Data'!P22="",O115+O128,'3 Part Data'!P22)</f>
        <v/>
      </c>
      <c r="P141" s="214">
        <f>IF('3 Part Data'!Q22="",P115+P128,'3 Part Data'!Q22)</f>
        <v/>
      </c>
      <c r="Q141" s="214">
        <f>IF('3 Part Data'!R22="",Q115+Q128,'3 Part Data'!R22)</f>
        <v/>
      </c>
      <c r="R141" s="158">
        <f>IF('3 Part Data'!S22="",R115+R128,'3 Part Data'!S22)</f>
        <v/>
      </c>
      <c r="S141" s="4" t="n"/>
    </row>
    <row r="142" ht="14.25" customHeight="1" s="267">
      <c r="A142" s="4" t="inlineStr">
        <is>
          <t>Sidepods</t>
        </is>
      </c>
      <c r="B142" s="231">
        <f>IF('3 Part Data'!C23="",B116+B129,'3 Part Data'!C23)</f>
        <v/>
      </c>
      <c r="C142" s="214">
        <f>IF('3 Part Data'!D23="",C116+C129,'3 Part Data'!D23)</f>
        <v/>
      </c>
      <c r="D142" s="214">
        <f>IF('3 Part Data'!E23="",D116+D129,'3 Part Data'!E23)</f>
        <v/>
      </c>
      <c r="E142" s="214">
        <f>IF('3 Part Data'!F23="",E116+E129,'3 Part Data'!F23)</f>
        <v/>
      </c>
      <c r="F142" s="214">
        <f>IF('3 Part Data'!G23="",F116+F129,'3 Part Data'!G23)</f>
        <v/>
      </c>
      <c r="G142" s="214">
        <f>IF('3 Part Data'!H23="",G116+G129,'3 Part Data'!H23)</f>
        <v/>
      </c>
      <c r="H142" s="214">
        <f>IF('3 Part Data'!I23="",H116+H129,'3 Part Data'!I23)</f>
        <v/>
      </c>
      <c r="I142" s="214">
        <f>IF('3 Part Data'!J23="",I116+I129,'3 Part Data'!J23)</f>
        <v/>
      </c>
      <c r="J142" s="214">
        <f>IF('3 Part Data'!K23="",J116+J129,'3 Part Data'!K23)</f>
        <v/>
      </c>
      <c r="K142" s="214">
        <f>IF('3 Part Data'!L23="",K116+K129,'3 Part Data'!L23)</f>
        <v/>
      </c>
      <c r="L142" s="214">
        <f>IF('3 Part Data'!M23="",L116+L129,'3 Part Data'!M23)</f>
        <v/>
      </c>
      <c r="M142" s="214">
        <f>IF('3 Part Data'!N23="",M116+M129,'3 Part Data'!N23)</f>
        <v/>
      </c>
      <c r="N142" s="214">
        <f>IF('3 Part Data'!O23="",N116+N129,'3 Part Data'!O23)</f>
        <v/>
      </c>
      <c r="O142" s="214">
        <f>IF('3 Part Data'!P23="",O116+O129,'3 Part Data'!P23)</f>
        <v/>
      </c>
      <c r="P142" s="214">
        <f>IF('3 Part Data'!Q23="",P116+P129,'3 Part Data'!Q23)</f>
        <v/>
      </c>
      <c r="Q142" s="214">
        <f>IF('3 Part Data'!R23="",Q116+Q129,'3 Part Data'!R23)</f>
        <v/>
      </c>
      <c r="R142" s="158">
        <f>IF('3 Part Data'!S23="",R116+R129,'3 Part Data'!S23)</f>
        <v/>
      </c>
      <c r="S142" s="4" t="n"/>
    </row>
    <row r="143" ht="14.25" customHeight="1" s="267">
      <c r="A143" s="4" t="inlineStr">
        <is>
          <t>Cooling</t>
        </is>
      </c>
      <c r="B143" s="231">
        <f>IF('3 Part Data'!C24="",B117+B130,'3 Part Data'!C24)</f>
        <v/>
      </c>
      <c r="C143" s="214">
        <f>IF('3 Part Data'!D24="",C117+C130,'3 Part Data'!D24)</f>
        <v/>
      </c>
      <c r="D143" s="214">
        <f>IF('3 Part Data'!E24="",D117+D130,'3 Part Data'!E24)</f>
        <v/>
      </c>
      <c r="E143" s="214">
        <f>IF('3 Part Data'!F24="",E117+E130,'3 Part Data'!F24)</f>
        <v/>
      </c>
      <c r="F143" s="214">
        <f>IF('3 Part Data'!G24="",F117+F130,'3 Part Data'!G24)</f>
        <v/>
      </c>
      <c r="G143" s="214">
        <f>IF('3 Part Data'!H24="",G117+G130,'3 Part Data'!H24)</f>
        <v/>
      </c>
      <c r="H143" s="214">
        <f>IF('3 Part Data'!I24="",H117+H130,'3 Part Data'!I24)</f>
        <v/>
      </c>
      <c r="I143" s="214">
        <f>IF('3 Part Data'!J24="",I117+I130,'3 Part Data'!J24)</f>
        <v/>
      </c>
      <c r="J143" s="214">
        <f>IF('3 Part Data'!K24="",J117+J130,'3 Part Data'!K24)</f>
        <v/>
      </c>
      <c r="K143" s="214">
        <f>IF('3 Part Data'!L24="",K117+K130,'3 Part Data'!L24)</f>
        <v/>
      </c>
      <c r="L143" s="214">
        <f>IF('3 Part Data'!M24="",L117+L130,'3 Part Data'!M24)</f>
        <v/>
      </c>
      <c r="M143" s="214">
        <f>IF('3 Part Data'!N24="",M117+M130,'3 Part Data'!N24)</f>
        <v/>
      </c>
      <c r="N143" s="214">
        <f>IF('3 Part Data'!O24="",N117+N130,'3 Part Data'!O24)</f>
        <v/>
      </c>
      <c r="O143" s="214">
        <f>IF('3 Part Data'!P24="",O117+O130,'3 Part Data'!P24)</f>
        <v/>
      </c>
      <c r="P143" s="214">
        <f>IF('3 Part Data'!Q24="",P117+P130,'3 Part Data'!Q24)</f>
        <v/>
      </c>
      <c r="Q143" s="214">
        <f>IF('3 Part Data'!R24="",Q117+Q130,'3 Part Data'!R24)</f>
        <v/>
      </c>
      <c r="R143" s="158">
        <f>IF('3 Part Data'!S24="",R117+R130,'3 Part Data'!S24)</f>
        <v/>
      </c>
      <c r="S143" s="4" t="n"/>
    </row>
    <row r="144" ht="14.25" customHeight="1" s="267">
      <c r="A144" s="4" t="inlineStr">
        <is>
          <t>Gearbox</t>
        </is>
      </c>
      <c r="B144" s="231">
        <f>IF('3 Part Data'!C25="",B118+B131,'3 Part Data'!C25)</f>
        <v/>
      </c>
      <c r="C144" s="214">
        <f>IF('3 Part Data'!D25="",C118+C131,'3 Part Data'!D25)</f>
        <v/>
      </c>
      <c r="D144" s="214">
        <f>IF('3 Part Data'!E25="",D118+D131,'3 Part Data'!E25)</f>
        <v/>
      </c>
      <c r="E144" s="214">
        <f>IF('3 Part Data'!F25="",E118+E131,'3 Part Data'!F25)</f>
        <v/>
      </c>
      <c r="F144" s="214">
        <f>IF('3 Part Data'!G25="",F118+F131,'3 Part Data'!G25)</f>
        <v/>
      </c>
      <c r="G144" s="214">
        <f>IF('3 Part Data'!H25="",G118+G131,'3 Part Data'!H25)</f>
        <v/>
      </c>
      <c r="H144" s="214">
        <f>IF('3 Part Data'!I25="",H118+H131,'3 Part Data'!I25)</f>
        <v/>
      </c>
      <c r="I144" s="214">
        <f>IF('3 Part Data'!J25="",I118+I131,'3 Part Data'!J25)</f>
        <v/>
      </c>
      <c r="J144" s="214">
        <f>IF('3 Part Data'!K25="",J118+J131,'3 Part Data'!K25)</f>
        <v/>
      </c>
      <c r="K144" s="214">
        <f>IF('3 Part Data'!L25="",K118+K131,'3 Part Data'!L25)</f>
        <v/>
      </c>
      <c r="L144" s="214">
        <f>IF('3 Part Data'!M25="",L118+L131,'3 Part Data'!M25)</f>
        <v/>
      </c>
      <c r="M144" s="214">
        <f>IF('3 Part Data'!N25="",M118+M131,'3 Part Data'!N25)</f>
        <v/>
      </c>
      <c r="N144" s="214">
        <f>IF('3 Part Data'!O25="",N118+N131,'3 Part Data'!O25)</f>
        <v/>
      </c>
      <c r="O144" s="214">
        <f>IF('3 Part Data'!P25="",O118+O131,'3 Part Data'!P25)</f>
        <v/>
      </c>
      <c r="P144" s="214">
        <f>IF('3 Part Data'!Q25="",P118+P131,'3 Part Data'!Q25)</f>
        <v/>
      </c>
      <c r="Q144" s="214">
        <f>IF('3 Part Data'!R25="",Q118+Q131,'3 Part Data'!R25)</f>
        <v/>
      </c>
      <c r="R144" s="158">
        <f>IF('3 Part Data'!S25="",R118+R131,'3 Part Data'!S25)</f>
        <v/>
      </c>
      <c r="S144" s="4" t="n"/>
    </row>
    <row r="145" ht="14.25" customHeight="1" s="267">
      <c r="A145" s="4" t="inlineStr">
        <is>
          <t>Brakes</t>
        </is>
      </c>
      <c r="B145" s="231">
        <f>IF('3 Part Data'!C26="",B119+B132,'3 Part Data'!C26)</f>
        <v/>
      </c>
      <c r="C145" s="214">
        <f>IF('3 Part Data'!D26="",C119+C132,'3 Part Data'!D26)</f>
        <v/>
      </c>
      <c r="D145" s="214">
        <f>IF('3 Part Data'!E26="",D119+D132,'3 Part Data'!E26)</f>
        <v/>
      </c>
      <c r="E145" s="214">
        <f>IF('3 Part Data'!F26="",E119+E132,'3 Part Data'!F26)</f>
        <v/>
      </c>
      <c r="F145" s="214">
        <f>IF('3 Part Data'!G26="",F119+F132,'3 Part Data'!G26)</f>
        <v/>
      </c>
      <c r="G145" s="214">
        <f>IF('3 Part Data'!H26="",G119+G132,'3 Part Data'!H26)</f>
        <v/>
      </c>
      <c r="H145" s="214">
        <f>IF('3 Part Data'!I26="",H119+H132,'3 Part Data'!I26)</f>
        <v/>
      </c>
      <c r="I145" s="214">
        <f>IF('3 Part Data'!J26="",I119+I132,'3 Part Data'!J26)</f>
        <v/>
      </c>
      <c r="J145" s="214">
        <f>IF('3 Part Data'!K26="",J119+J132,'3 Part Data'!K26)</f>
        <v/>
      </c>
      <c r="K145" s="214">
        <f>IF('3 Part Data'!L26="",K119+K132,'3 Part Data'!L26)</f>
        <v/>
      </c>
      <c r="L145" s="214">
        <f>IF('3 Part Data'!M26="",L119+L132,'3 Part Data'!M26)</f>
        <v/>
      </c>
      <c r="M145" s="214">
        <f>IF('3 Part Data'!N26="",M119+M132,'3 Part Data'!N26)</f>
        <v/>
      </c>
      <c r="N145" s="214">
        <f>IF('3 Part Data'!O26="",N119+N132,'3 Part Data'!O26)</f>
        <v/>
      </c>
      <c r="O145" s="214">
        <f>IF('3 Part Data'!P26="",O119+O132,'3 Part Data'!P26)</f>
        <v/>
      </c>
      <c r="P145" s="214">
        <f>IF('3 Part Data'!Q26="",P119+P132,'3 Part Data'!Q26)</f>
        <v/>
      </c>
      <c r="Q145" s="214">
        <f>IF('3 Part Data'!R26="",Q119+Q132,'3 Part Data'!R26)</f>
        <v/>
      </c>
      <c r="R145" s="158">
        <f>IF('3 Part Data'!S26="",R119+R132,'3 Part Data'!S26)</f>
        <v/>
      </c>
      <c r="S145" s="4" t="n"/>
    </row>
    <row r="146" ht="14.25" customHeight="1" s="267">
      <c r="A146" s="4" t="inlineStr">
        <is>
          <t>Suspension</t>
        </is>
      </c>
      <c r="B146" s="231">
        <f>IF('3 Part Data'!C27="",B120+B133,'3 Part Data'!C27)</f>
        <v/>
      </c>
      <c r="C146" s="214">
        <f>IF('3 Part Data'!D27="",C120+C133,'3 Part Data'!D27)</f>
        <v/>
      </c>
      <c r="D146" s="214">
        <f>IF('3 Part Data'!E27="",D120+D133,'3 Part Data'!E27)</f>
        <v/>
      </c>
      <c r="E146" s="214">
        <f>IF('3 Part Data'!F27="",E120+E133,'3 Part Data'!F27)</f>
        <v/>
      </c>
      <c r="F146" s="214">
        <f>IF('3 Part Data'!G27="",F120+F133,'3 Part Data'!G27)</f>
        <v/>
      </c>
      <c r="G146" s="214">
        <f>IF('3 Part Data'!H27="",G120+G133,'3 Part Data'!H27)</f>
        <v/>
      </c>
      <c r="H146" s="214">
        <f>IF('3 Part Data'!I27="",H120+H133,'3 Part Data'!I27)</f>
        <v/>
      </c>
      <c r="I146" s="214">
        <f>IF('3 Part Data'!J27="",I120+I133,'3 Part Data'!J27)</f>
        <v/>
      </c>
      <c r="J146" s="214">
        <f>IF('3 Part Data'!K27="",J120+J133,'3 Part Data'!K27)</f>
        <v/>
      </c>
      <c r="K146" s="214">
        <f>IF('3 Part Data'!L27="",K120+K133,'3 Part Data'!L27)</f>
        <v/>
      </c>
      <c r="L146" s="214">
        <f>IF('3 Part Data'!M27="",L120+L133,'3 Part Data'!M27)</f>
        <v/>
      </c>
      <c r="M146" s="214">
        <f>IF('3 Part Data'!N27="",M120+M133,'3 Part Data'!N27)</f>
        <v/>
      </c>
      <c r="N146" s="214">
        <f>IF('3 Part Data'!O27="",N120+N133,'3 Part Data'!O27)</f>
        <v/>
      </c>
      <c r="O146" s="214">
        <f>IF('3 Part Data'!P27="",O120+O133,'3 Part Data'!P27)</f>
        <v/>
      </c>
      <c r="P146" s="214">
        <f>IF('3 Part Data'!Q27="",P120+P133,'3 Part Data'!Q27)</f>
        <v/>
      </c>
      <c r="Q146" s="214">
        <f>IF('3 Part Data'!R27="",Q120+Q133,'3 Part Data'!R27)</f>
        <v/>
      </c>
      <c r="R146" s="158">
        <f>IF('3 Part Data'!S27="",R120+R133,'3 Part Data'!S27)</f>
        <v/>
      </c>
      <c r="S146" s="4" t="n"/>
    </row>
    <row r="147" ht="14.25" customHeight="1" s="267">
      <c r="A147" s="4" t="inlineStr">
        <is>
          <t>Electronics</t>
        </is>
      </c>
      <c r="B147" s="232">
        <f>IF('3 Part Data'!C28="",B121+B134,'3 Part Data'!C28)</f>
        <v/>
      </c>
      <c r="C147" s="218">
        <f>IF('3 Part Data'!D28="",C121+C134,'3 Part Data'!D28)</f>
        <v/>
      </c>
      <c r="D147" s="218">
        <f>IF('3 Part Data'!E28="",D121+D134,'3 Part Data'!E28)</f>
        <v/>
      </c>
      <c r="E147" s="218">
        <f>IF('3 Part Data'!F28="",E121+E134,'3 Part Data'!F28)</f>
        <v/>
      </c>
      <c r="F147" s="218">
        <f>IF('3 Part Data'!G28="",F121+F134,'3 Part Data'!G28)</f>
        <v/>
      </c>
      <c r="G147" s="218">
        <f>IF('3 Part Data'!H28="",G121+G134,'3 Part Data'!H28)</f>
        <v/>
      </c>
      <c r="H147" s="218">
        <f>IF('3 Part Data'!I28="",H121+H134,'3 Part Data'!I28)</f>
        <v/>
      </c>
      <c r="I147" s="218">
        <f>IF('3 Part Data'!J28="",I121+I134,'3 Part Data'!J28)</f>
        <v/>
      </c>
      <c r="J147" s="218">
        <f>IF('3 Part Data'!K28="",J121+J134,'3 Part Data'!K28)</f>
        <v/>
      </c>
      <c r="K147" s="218">
        <f>IF('3 Part Data'!L28="",K121+K134,'3 Part Data'!L28)</f>
        <v/>
      </c>
      <c r="L147" s="218">
        <f>IF('3 Part Data'!M28="",L121+L134,'3 Part Data'!M28)</f>
        <v/>
      </c>
      <c r="M147" s="218">
        <f>IF('3 Part Data'!N28="",M121+M134,'3 Part Data'!N28)</f>
        <v/>
      </c>
      <c r="N147" s="218">
        <f>IF('3 Part Data'!O28="",N121+N134,'3 Part Data'!O28)</f>
        <v/>
      </c>
      <c r="O147" s="218">
        <f>IF('3 Part Data'!P28="",O121+O134,'3 Part Data'!P28)</f>
        <v/>
      </c>
      <c r="P147" s="218">
        <f>IF('3 Part Data'!Q28="",P121+P134,'3 Part Data'!Q28)</f>
        <v/>
      </c>
      <c r="Q147" s="218">
        <f>IF('3 Part Data'!R28="",Q121+Q134,'3 Part Data'!R28)</f>
        <v/>
      </c>
      <c r="R147" s="163">
        <f>IF('3 Part Data'!S28="",R121+R134,'3 Part Data'!S28)</f>
        <v/>
      </c>
      <c r="S147" s="4" t="n"/>
    </row>
    <row r="148" ht="14.25" customHeight="1" s="267">
      <c r="A148" s="4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4" t="n"/>
    </row>
    <row r="149" ht="14.25" customHeight="1" s="267">
      <c r="A149" s="4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4" t="n"/>
    </row>
  </sheetData>
  <pageMargins left="0.75" right="0.75" top="1" bottom="1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" customHeight="1"/>
  <cols>
    <col width="15.5" customWidth="1" style="267" min="1" max="1"/>
    <col width="12.1640625" customWidth="1" style="267" min="2" max="26"/>
    <col width="9.1640625" customWidth="1" style="267" min="27" max="27"/>
  </cols>
  <sheetData>
    <row r="1" ht="14.25" customHeight="1" s="267">
      <c r="A1" s="25" t="n"/>
      <c r="B1" s="6" t="n"/>
      <c r="C1" s="6" t="n"/>
      <c r="D1" s="6" t="n"/>
      <c r="E1" s="6" t="inlineStr">
        <is>
          <t>Race</t>
        </is>
      </c>
      <c r="F1" s="6" t="n"/>
      <c r="G1" s="6" t="inlineStr">
        <is>
          <t>Lap</t>
        </is>
      </c>
      <c r="H1" s="6" t="inlineStr">
        <is>
          <t>Average</t>
        </is>
      </c>
      <c r="I1" s="6" t="n"/>
      <c r="J1" s="6" t="inlineStr">
        <is>
          <t>Pit Lane</t>
        </is>
      </c>
      <c r="K1" s="6" t="n"/>
      <c r="L1" s="6" t="n"/>
      <c r="M1" s="6" t="n"/>
      <c r="N1" s="6" t="inlineStr">
        <is>
          <t>Fuel</t>
        </is>
      </c>
      <c r="O1" s="6" t="n"/>
      <c r="P1" s="4" t="n"/>
      <c r="Q1" s="6" t="inlineStr">
        <is>
          <t>Tyre Wear</t>
        </is>
      </c>
      <c r="R1" s="6" t="inlineStr">
        <is>
          <t>Tyre Diff</t>
        </is>
      </c>
      <c r="S1" s="6" t="inlineStr">
        <is>
          <t>Fuel</t>
        </is>
      </c>
      <c r="T1" s="6" t="inlineStr">
        <is>
          <t>Fuel</t>
        </is>
      </c>
      <c r="U1" s="6" t="inlineStr">
        <is>
          <t>Rain Fuel</t>
        </is>
      </c>
      <c r="V1" s="6" t="inlineStr">
        <is>
          <t>Wing</t>
        </is>
      </c>
      <c r="W1" s="6" t="inlineStr">
        <is>
          <t>Engine</t>
        </is>
      </c>
      <c r="X1" s="6" t="inlineStr">
        <is>
          <t>Brakes</t>
        </is>
      </c>
      <c r="Y1" s="6" t="inlineStr">
        <is>
          <t>Gearbox</t>
        </is>
      </c>
      <c r="Z1" s="6" t="inlineStr">
        <is>
          <t>Suspension</t>
        </is>
      </c>
      <c r="AA1" s="233" t="n"/>
    </row>
    <row r="2" ht="14.25" customHeight="1" s="267">
      <c r="A2" s="25" t="inlineStr">
        <is>
          <t>Circuit Name</t>
        </is>
      </c>
      <c r="B2" s="6" t="inlineStr">
        <is>
          <t>Power</t>
        </is>
      </c>
      <c r="C2" s="6" t="inlineStr">
        <is>
          <t>Handling</t>
        </is>
      </c>
      <c r="D2" s="6" t="inlineStr">
        <is>
          <t>Acceleration</t>
        </is>
      </c>
      <c r="E2" s="6" t="inlineStr">
        <is>
          <t>distance</t>
        </is>
      </c>
      <c r="F2" s="6" t="inlineStr">
        <is>
          <t>Laps</t>
        </is>
      </c>
      <c r="G2" s="6" t="inlineStr">
        <is>
          <t>distance</t>
        </is>
      </c>
      <c r="H2" s="6" t="inlineStr">
        <is>
          <t>speed</t>
        </is>
      </c>
      <c r="I2" s="6" t="inlineStr">
        <is>
          <t>Corners</t>
        </is>
      </c>
      <c r="J2" s="6" t="inlineStr">
        <is>
          <t>Length</t>
        </is>
      </c>
      <c r="K2" s="6" t="inlineStr">
        <is>
          <t>Downforce</t>
        </is>
      </c>
      <c r="L2" s="6" t="inlineStr">
        <is>
          <t>Overtaking</t>
        </is>
      </c>
      <c r="M2" s="6" t="inlineStr">
        <is>
          <t>Suspension</t>
        </is>
      </c>
      <c r="N2" s="6" t="inlineStr">
        <is>
          <t>Consumption</t>
        </is>
      </c>
      <c r="O2" s="6" t="inlineStr">
        <is>
          <t>Tyre Wear</t>
        </is>
      </c>
      <c r="P2" s="6" t="inlineStr">
        <is>
          <t>Grip level</t>
        </is>
      </c>
      <c r="Q2" s="6" t="inlineStr">
        <is>
          <t>Constant</t>
        </is>
      </c>
      <c r="R2" s="6" t="inlineStr">
        <is>
          <t>at 25 degrees</t>
        </is>
      </c>
      <c r="S2" s="6" t="inlineStr">
        <is>
          <t>Constant</t>
        </is>
      </c>
      <c r="T2" s="6" t="inlineStr">
        <is>
          <t>Constant 2</t>
        </is>
      </c>
      <c r="U2" s="6" t="inlineStr">
        <is>
          <t>Multiplier</t>
        </is>
      </c>
      <c r="V2" s="6" t="inlineStr">
        <is>
          <t>Constant</t>
        </is>
      </c>
      <c r="W2" s="6" t="inlineStr">
        <is>
          <t>Constant</t>
        </is>
      </c>
      <c r="X2" s="6" t="inlineStr">
        <is>
          <t>Constant</t>
        </is>
      </c>
      <c r="Y2" s="6" t="inlineStr">
        <is>
          <t>Constant</t>
        </is>
      </c>
      <c r="Z2" s="6" t="inlineStr">
        <is>
          <t>Constant</t>
        </is>
      </c>
      <c r="AA2" s="233" t="n"/>
    </row>
    <row r="3" ht="14.25" customHeight="1" s="267">
      <c r="A3" s="4" t="inlineStr">
        <is>
          <t>A1-Ring</t>
        </is>
      </c>
      <c r="B3" s="3" t="n">
        <v>13</v>
      </c>
      <c r="C3" s="3" t="n">
        <v>8</v>
      </c>
      <c r="D3" s="3" t="n">
        <v>9</v>
      </c>
      <c r="E3" s="3" t="n">
        <v>307.1</v>
      </c>
      <c r="F3" s="3" t="n">
        <v>71</v>
      </c>
      <c r="G3" s="3" t="n">
        <v>4.325</v>
      </c>
      <c r="H3" s="3" t="n">
        <v>225.68</v>
      </c>
      <c r="I3" s="3" t="n">
        <v>9</v>
      </c>
      <c r="J3" s="3" t="n">
        <v>21</v>
      </c>
      <c r="K3" s="3" t="inlineStr">
        <is>
          <t>Low</t>
        </is>
      </c>
      <c r="L3" s="3" t="inlineStr">
        <is>
          <t>Easy</t>
        </is>
      </c>
      <c r="M3" s="3" t="inlineStr">
        <is>
          <t>Medium</t>
        </is>
      </c>
      <c r="N3" s="3" t="inlineStr">
        <is>
          <t>High</t>
        </is>
      </c>
      <c r="O3" s="3" t="inlineStr">
        <is>
          <t>Medium</t>
        </is>
      </c>
      <c r="P3" s="3" t="inlineStr">
        <is>
          <t>Low</t>
        </is>
      </c>
      <c r="Q3" s="15">
        <f>R3/G3/I3*305.404360189573</f>
        <v/>
      </c>
      <c r="R3" s="16" t="n">
        <v>0.18325</v>
      </c>
      <c r="S3" s="16" t="n">
        <v>1.09728333</v>
      </c>
      <c r="T3" s="4" t="n">
        <v>0.861882764004989</v>
      </c>
      <c r="U3" s="4" t="n">
        <v>0.87</v>
      </c>
      <c r="V3" s="4" t="n">
        <v>256.4</v>
      </c>
      <c r="W3" s="4" t="n">
        <v>715</v>
      </c>
      <c r="X3" s="4" t="n">
        <v>676.5</v>
      </c>
      <c r="Y3" s="4" t="n">
        <v>790</v>
      </c>
      <c r="Z3" s="4" t="n">
        <v>510.19</v>
      </c>
      <c r="AA3" s="160" t="n">
        <v>-212</v>
      </c>
    </row>
    <row r="4" ht="14.25" customHeight="1" s="267">
      <c r="A4" s="4" t="inlineStr">
        <is>
          <t>Adelaide</t>
        </is>
      </c>
      <c r="B4" s="3" t="n">
        <v>8</v>
      </c>
      <c r="C4" s="3" t="n">
        <v>9</v>
      </c>
      <c r="D4" s="3" t="n">
        <v>10</v>
      </c>
      <c r="E4" s="3" t="n">
        <v>298.6</v>
      </c>
      <c r="F4" s="3" t="n">
        <v>79</v>
      </c>
      <c r="G4" s="3" t="n">
        <v>3.78</v>
      </c>
      <c r="H4" s="3" t="n">
        <v>190.87</v>
      </c>
      <c r="I4" s="3" t="n">
        <v>12</v>
      </c>
      <c r="J4" s="3" t="n">
        <v>19.5</v>
      </c>
      <c r="K4" s="3" t="inlineStr">
        <is>
          <t>Medium</t>
        </is>
      </c>
      <c r="L4" s="3" t="inlineStr">
        <is>
          <t>Hard</t>
        </is>
      </c>
      <c r="M4" s="3" t="inlineStr">
        <is>
          <t>Medium</t>
        </is>
      </c>
      <c r="N4" s="3" t="inlineStr">
        <is>
          <t>Low</t>
        </is>
      </c>
      <c r="O4" s="3" t="inlineStr">
        <is>
          <t>Medium</t>
        </is>
      </c>
      <c r="P4" s="3" t="inlineStr">
        <is>
          <t>Low</t>
        </is>
      </c>
      <c r="Q4" s="15">
        <f>R4/G4/I4*305.404360189573</f>
        <v/>
      </c>
      <c r="R4" s="16" t="n">
        <v>0.201</v>
      </c>
      <c r="S4" s="16" t="n">
        <v>1.247892857</v>
      </c>
      <c r="T4" s="4" t="n">
        <v>0.7852854118899263</v>
      </c>
      <c r="U4" s="4" t="n">
        <v>0.8032664585206066</v>
      </c>
      <c r="V4" s="4" t="n">
        <v>641.6799999999999</v>
      </c>
      <c r="W4" s="4" t="n">
        <v>497.5</v>
      </c>
      <c r="X4" s="4" t="n">
        <v>356.5</v>
      </c>
      <c r="Y4" s="4" t="n">
        <v>550</v>
      </c>
      <c r="Z4" s="4" t="n">
        <v>650.1900000000001</v>
      </c>
      <c r="AA4" s="160" t="n">
        <v>82</v>
      </c>
    </row>
    <row r="5" ht="14.25" customHeight="1" s="267">
      <c r="A5" s="4" t="inlineStr">
        <is>
          <t>Ahvenisto</t>
        </is>
      </c>
      <c r="B5" s="3" t="n">
        <v>5</v>
      </c>
      <c r="C5" s="3" t="n">
        <v>10</v>
      </c>
      <c r="D5" s="3" t="n">
        <v>7</v>
      </c>
      <c r="E5" s="3" t="n">
        <v>243.2</v>
      </c>
      <c r="F5" s="3" t="n">
        <v>80</v>
      </c>
      <c r="G5" s="3" t="n">
        <v>3.04</v>
      </c>
      <c r="H5" s="3" t="inlineStr">
        <is>
          <t>?</t>
        </is>
      </c>
      <c r="I5" s="3" t="n">
        <v>10</v>
      </c>
      <c r="J5" s="3" t="n">
        <v>11.5</v>
      </c>
      <c r="K5" s="3" t="inlineStr">
        <is>
          <t>High</t>
        </is>
      </c>
      <c r="L5" s="3" t="inlineStr">
        <is>
          <t>Normal</t>
        </is>
      </c>
      <c r="M5" s="3" t="inlineStr">
        <is>
          <t>Soft</t>
        </is>
      </c>
      <c r="N5" s="3" t="inlineStr">
        <is>
          <t>Medium</t>
        </is>
      </c>
      <c r="O5" s="3" t="inlineStr">
        <is>
          <t>High</t>
        </is>
      </c>
      <c r="P5" s="3" t="inlineStr">
        <is>
          <t>Normal</t>
        </is>
      </c>
      <c r="Q5" s="15">
        <f>R5/G5/I5*305.404360189573</f>
        <v/>
      </c>
      <c r="R5" s="16" t="n">
        <v>0.1572916666666667</v>
      </c>
      <c r="S5" s="16" t="n">
        <v>1.165</v>
      </c>
      <c r="T5" s="4" t="n">
        <v>0.8267678487149953</v>
      </c>
      <c r="U5" s="4" t="n">
        <v>0.8</v>
      </c>
      <c r="V5" s="4" t="n">
        <v>1009.14</v>
      </c>
      <c r="W5" s="4" t="n">
        <v>468</v>
      </c>
      <c r="X5" s="4" t="n">
        <v>698.5</v>
      </c>
      <c r="Y5" s="4" t="n">
        <v>764</v>
      </c>
      <c r="Z5" s="4" t="n">
        <v>242.19</v>
      </c>
      <c r="AA5" s="160" t="n">
        <v>-167</v>
      </c>
    </row>
    <row r="6" ht="14.25" customHeight="1" s="267">
      <c r="A6" s="4" t="inlineStr">
        <is>
          <t>Anderstorp</t>
        </is>
      </c>
      <c r="B6" s="3" t="n">
        <v>9</v>
      </c>
      <c r="C6" s="3" t="n">
        <v>11</v>
      </c>
      <c r="D6" s="3" t="n">
        <v>9</v>
      </c>
      <c r="E6" s="3" t="n">
        <v>281.8</v>
      </c>
      <c r="F6" s="3" t="n">
        <v>70</v>
      </c>
      <c r="G6" s="3" t="n">
        <v>4.026</v>
      </c>
      <c r="H6" s="3" t="n">
        <v>201.99</v>
      </c>
      <c r="I6" s="3" t="n">
        <v>10</v>
      </c>
      <c r="J6" s="3" t="n">
        <v>13.5</v>
      </c>
      <c r="K6" s="3" t="inlineStr">
        <is>
          <t>Low</t>
        </is>
      </c>
      <c r="L6" s="3" t="inlineStr">
        <is>
          <t>Very Hard</t>
        </is>
      </c>
      <c r="M6" s="3" t="inlineStr">
        <is>
          <t>Soft</t>
        </is>
      </c>
      <c r="N6" s="3" t="inlineStr">
        <is>
          <t>High</t>
        </is>
      </c>
      <c r="O6" s="3" t="inlineStr">
        <is>
          <t>Medium</t>
        </is>
      </c>
      <c r="P6" s="3" t="inlineStr">
        <is>
          <t>Low</t>
        </is>
      </c>
      <c r="Q6" s="15">
        <f>R6/G6/I6*305.404360189573</f>
        <v/>
      </c>
      <c r="R6" s="16" t="n">
        <v>0.187</v>
      </c>
      <c r="S6" s="16" t="n">
        <v>1.085515625</v>
      </c>
      <c r="T6" s="4" t="n">
        <v>0.8696889628929168</v>
      </c>
      <c r="U6" s="4" t="n">
        <v>0.79</v>
      </c>
      <c r="V6" s="4" t="n">
        <v>250.91</v>
      </c>
      <c r="W6" s="4" t="n">
        <v>700</v>
      </c>
      <c r="X6" s="4" t="n">
        <v>766.5</v>
      </c>
      <c r="Y6" s="4" t="n">
        <v>610</v>
      </c>
      <c r="Z6" s="4" t="n">
        <v>110.19</v>
      </c>
      <c r="AA6" s="160" t="n">
        <v>-40</v>
      </c>
    </row>
    <row r="7" ht="14.25" customHeight="1" s="267">
      <c r="A7" s="4" t="inlineStr">
        <is>
          <t>Austin</t>
        </is>
      </c>
      <c r="B7" s="3" t="n">
        <v>11</v>
      </c>
      <c r="C7" s="3" t="n">
        <v>18</v>
      </c>
      <c r="D7" s="3" t="n">
        <v>10</v>
      </c>
      <c r="E7" s="3" t="n">
        <v>308.9</v>
      </c>
      <c r="F7" s="3" t="n">
        <v>56</v>
      </c>
      <c r="G7" s="3" t="n">
        <v>5.516</v>
      </c>
      <c r="H7" s="3" t="inlineStr">
        <is>
          <t>?</t>
        </is>
      </c>
      <c r="I7" s="3" t="n">
        <v>20</v>
      </c>
      <c r="J7" s="3" t="n">
        <v>17.5</v>
      </c>
      <c r="K7" s="3" t="inlineStr">
        <is>
          <t>Medium</t>
        </is>
      </c>
      <c r="L7" s="3" t="inlineStr">
        <is>
          <t>Easy</t>
        </is>
      </c>
      <c r="M7" s="3" t="inlineStr">
        <is>
          <t>Hard</t>
        </is>
      </c>
      <c r="N7" s="3" t="inlineStr">
        <is>
          <t>Medium</t>
        </is>
      </c>
      <c r="O7" s="3" t="inlineStr">
        <is>
          <t>Medium</t>
        </is>
      </c>
      <c r="P7" s="3" t="inlineStr">
        <is>
          <t>High</t>
        </is>
      </c>
      <c r="Q7" s="15">
        <f>R7/G7/I7*305.404360189573</f>
        <v/>
      </c>
      <c r="R7" s="16" t="n">
        <v>0.515</v>
      </c>
      <c r="S7" s="16" t="n">
        <v>1.1373</v>
      </c>
      <c r="T7" s="4" t="n">
        <v>0.8406371422073652</v>
      </c>
      <c r="U7" s="4" t="n">
        <v>0.83</v>
      </c>
      <c r="V7" s="4" t="n">
        <v>534.79</v>
      </c>
      <c r="W7" s="4" t="n">
        <v>607</v>
      </c>
      <c r="X7" s="4" t="n">
        <v>607</v>
      </c>
      <c r="Y7" s="4" t="n">
        <v>643.78</v>
      </c>
      <c r="Z7" s="4" t="n">
        <v>784.58</v>
      </c>
      <c r="AA7" s="160" t="n">
        <v>-185</v>
      </c>
    </row>
    <row r="8" ht="14.25" customHeight="1" s="267">
      <c r="A8" s="4" t="inlineStr">
        <is>
          <t>Avus</t>
        </is>
      </c>
      <c r="B8" s="3" t="n">
        <v>22</v>
      </c>
      <c r="C8" s="3" t="n">
        <v>3</v>
      </c>
      <c r="D8" s="3" t="n">
        <v>9</v>
      </c>
      <c r="E8" s="3" t="n">
        <v>312.3</v>
      </c>
      <c r="F8" s="3" t="n">
        <v>64</v>
      </c>
      <c r="G8" s="3" t="n">
        <v>4.88</v>
      </c>
      <c r="H8" s="3" t="inlineStr">
        <is>
          <t>?</t>
        </is>
      </c>
      <c r="I8" s="3" t="n">
        <v>4</v>
      </c>
      <c r="J8" s="3" t="n">
        <v>23</v>
      </c>
      <c r="K8" s="3" t="inlineStr">
        <is>
          <t>Low</t>
        </is>
      </c>
      <c r="L8" s="3" t="inlineStr">
        <is>
          <t>Easy</t>
        </is>
      </c>
      <c r="M8" s="3" t="inlineStr">
        <is>
          <t>Hard</t>
        </is>
      </c>
      <c r="N8" s="3" t="inlineStr">
        <is>
          <t>Very High</t>
        </is>
      </c>
      <c r="O8" s="3" t="inlineStr">
        <is>
          <t>Low</t>
        </is>
      </c>
      <c r="P8" s="3" t="inlineStr">
        <is>
          <t>Normal</t>
        </is>
      </c>
      <c r="Q8" s="15" t="n">
        <v>0.066</v>
      </c>
      <c r="R8" s="16" t="n">
        <v>0.96</v>
      </c>
      <c r="S8" s="16" t="n">
        <v>1.07</v>
      </c>
      <c r="T8" s="4" t="n">
        <v>0.8726</v>
      </c>
      <c r="U8" s="4" t="n">
        <v>0.754636957</v>
      </c>
      <c r="V8" s="4" t="n">
        <v>295</v>
      </c>
      <c r="W8" s="4" t="n">
        <v>644</v>
      </c>
      <c r="X8" s="4" t="n">
        <v>411</v>
      </c>
      <c r="Y8" s="4" t="n">
        <v>388</v>
      </c>
      <c r="Z8" s="4" t="n">
        <v>760</v>
      </c>
      <c r="AA8" s="160" t="n">
        <v>-92</v>
      </c>
    </row>
    <row r="9" ht="14.25" customHeight="1" s="267">
      <c r="A9" s="4" t="inlineStr">
        <is>
          <t>Baku City</t>
        </is>
      </c>
      <c r="B9" s="3" t="n">
        <v>18</v>
      </c>
      <c r="C9" s="3" t="n">
        <v>8</v>
      </c>
      <c r="D9" s="3" t="n">
        <v>16</v>
      </c>
      <c r="E9" s="3" t="n">
        <v>306.3</v>
      </c>
      <c r="F9" s="3" t="n">
        <v>51</v>
      </c>
      <c r="G9" s="3" t="n">
        <v>6.006</v>
      </c>
      <c r="H9" s="3" t="inlineStr">
        <is>
          <t>?</t>
        </is>
      </c>
      <c r="I9" s="3" t="n">
        <v>20</v>
      </c>
      <c r="J9" s="3" t="n">
        <v>17</v>
      </c>
      <c r="K9" s="3" t="inlineStr">
        <is>
          <t>Medium</t>
        </is>
      </c>
      <c r="L9" s="3" t="inlineStr">
        <is>
          <t>Normal</t>
        </is>
      </c>
      <c r="M9" s="3" t="inlineStr">
        <is>
          <t>Medium</t>
        </is>
      </c>
      <c r="N9" s="3" t="inlineStr">
        <is>
          <t>High</t>
        </is>
      </c>
      <c r="O9" s="3" t="inlineStr">
        <is>
          <t>Very High</t>
        </is>
      </c>
      <c r="P9" s="3" t="inlineStr">
        <is>
          <t>Low</t>
        </is>
      </c>
      <c r="Q9" s="15">
        <f>R9/G9/I9*305.404360189573</f>
        <v/>
      </c>
      <c r="R9" s="16" t="n">
        <v>0.68</v>
      </c>
      <c r="S9" s="16" t="n">
        <v>1.09</v>
      </c>
      <c r="T9" s="4" t="n">
        <v>0.86885</v>
      </c>
      <c r="U9" s="4" t="n"/>
      <c r="V9" s="4" t="n">
        <v>355</v>
      </c>
      <c r="W9" s="4" t="n">
        <v>614</v>
      </c>
      <c r="X9" s="4" t="n">
        <v>611</v>
      </c>
      <c r="Y9" s="4" t="n">
        <v>703</v>
      </c>
      <c r="Z9" s="4" t="n">
        <v>801</v>
      </c>
      <c r="AA9" s="160" t="n">
        <v>-63</v>
      </c>
    </row>
    <row r="10" ht="14.25" customHeight="1" s="267">
      <c r="A10" s="4" t="inlineStr">
        <is>
          <t>Barcelona</t>
        </is>
      </c>
      <c r="B10" s="3" t="n">
        <v>11</v>
      </c>
      <c r="C10" s="3" t="n">
        <v>13</v>
      </c>
      <c r="D10" s="3" t="n">
        <v>8</v>
      </c>
      <c r="E10" s="3" t="n">
        <v>307.3</v>
      </c>
      <c r="F10" s="3" t="n">
        <v>65</v>
      </c>
      <c r="G10" s="3" t="n">
        <v>4.728</v>
      </c>
      <c r="H10" s="3" t="n">
        <v>217.02</v>
      </c>
      <c r="I10" s="3" t="n">
        <v>16</v>
      </c>
      <c r="J10" s="3" t="n">
        <v>21</v>
      </c>
      <c r="K10" s="3" t="inlineStr">
        <is>
          <t>Medium</t>
        </is>
      </c>
      <c r="L10" s="3" t="inlineStr">
        <is>
          <t>Hard</t>
        </is>
      </c>
      <c r="M10" s="3" t="inlineStr">
        <is>
          <t>Soft</t>
        </is>
      </c>
      <c r="N10" s="3" t="inlineStr">
        <is>
          <t>High</t>
        </is>
      </c>
      <c r="O10" s="3" t="inlineStr">
        <is>
          <t>Medium</t>
        </is>
      </c>
      <c r="P10" s="3" t="inlineStr">
        <is>
          <t>Low</t>
        </is>
      </c>
      <c r="Q10" s="15">
        <f>R10/G10/I10*305.404360189573</f>
        <v/>
      </c>
      <c r="R10" s="16" t="n">
        <v>0.3216666666666662</v>
      </c>
      <c r="S10" s="16" t="n">
        <v>1.12925</v>
      </c>
      <c r="T10" s="4" t="n">
        <v>0.8476644033709848</v>
      </c>
      <c r="U10" s="4" t="n">
        <v>0.65</v>
      </c>
      <c r="V10" s="4" t="n">
        <v>462.07</v>
      </c>
      <c r="W10" s="4" t="n">
        <v>674</v>
      </c>
      <c r="X10" s="4" t="n">
        <v>502.5</v>
      </c>
      <c r="Y10" s="4" t="n">
        <v>675</v>
      </c>
      <c r="Z10" s="4" t="n">
        <v>316.19</v>
      </c>
      <c r="AA10" s="160" t="n">
        <v>-128</v>
      </c>
    </row>
    <row r="11" ht="14.25" customHeight="1" s="267">
      <c r="A11" s="4" t="inlineStr">
        <is>
          <t>Brands Hatch</t>
        </is>
      </c>
      <c r="B11" s="3" t="n">
        <v>10</v>
      </c>
      <c r="C11" s="3" t="n">
        <v>12</v>
      </c>
      <c r="D11" s="3" t="n">
        <v>8</v>
      </c>
      <c r="E11" s="3" t="n">
        <v>315.5</v>
      </c>
      <c r="F11" s="3" t="n">
        <v>75</v>
      </c>
      <c r="G11" s="3" t="n">
        <v>4.207</v>
      </c>
      <c r="H11" s="3" t="n">
        <v>211.02</v>
      </c>
      <c r="I11" s="3" t="n">
        <v>12</v>
      </c>
      <c r="J11" s="3" t="n">
        <v>25.5</v>
      </c>
      <c r="K11" s="3" t="inlineStr">
        <is>
          <t>Medium</t>
        </is>
      </c>
      <c r="L11" s="3" t="inlineStr">
        <is>
          <t>Normal</t>
        </is>
      </c>
      <c r="M11" s="3" t="inlineStr">
        <is>
          <t>Medium</t>
        </is>
      </c>
      <c r="N11" s="3" t="inlineStr">
        <is>
          <t>Low</t>
        </is>
      </c>
      <c r="O11" s="3" t="inlineStr">
        <is>
          <t>Low</t>
        </is>
      </c>
      <c r="P11" s="3" t="inlineStr">
        <is>
          <t>Normal</t>
        </is>
      </c>
      <c r="Q11" s="15">
        <f>R11/G11/I11*305.404360189573</f>
        <v/>
      </c>
      <c r="R11" s="16" t="n">
        <v>0.19375</v>
      </c>
      <c r="S11" s="16" t="n">
        <v>1.20848</v>
      </c>
      <c r="T11" s="4" t="n">
        <v>0.8075175608466906</v>
      </c>
      <c r="U11" s="4" t="n">
        <v>0.7331802077860526</v>
      </c>
      <c r="V11" s="4" t="n">
        <v>485.37</v>
      </c>
      <c r="W11" s="4" t="n">
        <v>648</v>
      </c>
      <c r="X11" s="4" t="n">
        <v>386.5</v>
      </c>
      <c r="Y11" s="4" t="n">
        <v>710</v>
      </c>
      <c r="Z11" s="4" t="n">
        <v>640.1900000000001</v>
      </c>
      <c r="AA11" s="160" t="n">
        <v>-67</v>
      </c>
    </row>
    <row r="12" ht="14.25" customHeight="1" s="267">
      <c r="A12" s="4" t="inlineStr">
        <is>
          <t>Brasilia</t>
        </is>
      </c>
      <c r="B12" s="3" t="n">
        <v>16</v>
      </c>
      <c r="C12" s="3" t="n">
        <v>15</v>
      </c>
      <c r="D12" s="3" t="n">
        <v>7</v>
      </c>
      <c r="E12" s="3" t="n">
        <v>301.1</v>
      </c>
      <c r="F12" s="3" t="n">
        <v>55</v>
      </c>
      <c r="G12" s="3" t="n">
        <v>5.475</v>
      </c>
      <c r="H12" s="3" t="n">
        <v>204.44</v>
      </c>
      <c r="I12" s="3" t="n">
        <v>12</v>
      </c>
      <c r="J12" s="3" t="n">
        <v>13.5</v>
      </c>
      <c r="K12" s="3" t="inlineStr">
        <is>
          <t>Medium</t>
        </is>
      </c>
      <c r="L12" s="3" t="inlineStr">
        <is>
          <t>Hard</t>
        </is>
      </c>
      <c r="M12" s="3" t="inlineStr">
        <is>
          <t>Hard</t>
        </is>
      </c>
      <c r="N12" s="3" t="inlineStr">
        <is>
          <t>High</t>
        </is>
      </c>
      <c r="O12" s="3" t="inlineStr">
        <is>
          <t>Medium</t>
        </is>
      </c>
      <c r="P12" s="3" t="inlineStr">
        <is>
          <t>Normal</t>
        </is>
      </c>
      <c r="Q12" s="15">
        <f>R12/G12/I12*305.404360189573</f>
        <v/>
      </c>
      <c r="R12" s="16" t="n">
        <v>0.3</v>
      </c>
      <c r="S12" s="16" t="n">
        <v>1.07405</v>
      </c>
      <c r="T12" s="4" t="n">
        <v>0.8689182918321068</v>
      </c>
      <c r="U12" s="4" t="n">
        <v>0.6696429410357402</v>
      </c>
      <c r="V12" s="4" t="n">
        <v>588.21</v>
      </c>
      <c r="W12" s="4" t="n">
        <v>408</v>
      </c>
      <c r="X12" s="4" t="n">
        <v>696.5</v>
      </c>
      <c r="Y12" s="4" t="n">
        <v>850</v>
      </c>
      <c r="Z12" s="4" t="n">
        <v>780.1900000000001</v>
      </c>
      <c r="AA12" s="160" t="n">
        <v>185</v>
      </c>
    </row>
    <row r="13" ht="14.25" customHeight="1" s="267">
      <c r="A13" s="4" t="inlineStr">
        <is>
          <t>Bremgarten</t>
        </is>
      </c>
      <c r="B13" s="3" t="n">
        <v>8</v>
      </c>
      <c r="C13" s="3" t="n">
        <v>26</v>
      </c>
      <c r="D13" s="3" t="n">
        <v>17</v>
      </c>
      <c r="E13" s="3" t="n">
        <v>305.8</v>
      </c>
      <c r="F13" s="3" t="n">
        <v>42</v>
      </c>
      <c r="G13" s="3" t="n">
        <v>7.281</v>
      </c>
      <c r="H13" s="3" t="inlineStr">
        <is>
          <t>?</t>
        </is>
      </c>
      <c r="I13" s="3" t="n">
        <v>16</v>
      </c>
      <c r="J13" s="3" t="n">
        <v>17</v>
      </c>
      <c r="K13" s="3" t="inlineStr">
        <is>
          <t>Medium</t>
        </is>
      </c>
      <c r="L13" s="3" t="inlineStr">
        <is>
          <t>Normal</t>
        </is>
      </c>
      <c r="M13" s="3" t="inlineStr">
        <is>
          <t>Medium</t>
        </is>
      </c>
      <c r="N13" s="3" t="inlineStr">
        <is>
          <t>Medium</t>
        </is>
      </c>
      <c r="O13" s="3" t="inlineStr">
        <is>
          <t>Medium</t>
        </is>
      </c>
      <c r="P13" s="3" t="inlineStr">
        <is>
          <t>Low</t>
        </is>
      </c>
      <c r="Q13" s="15">
        <f>R13/G13/I13*305.404360189573</f>
        <v/>
      </c>
      <c r="R13" s="16" t="n">
        <v>0.468</v>
      </c>
      <c r="S13" s="16" t="n">
        <v>1.132</v>
      </c>
      <c r="T13" s="4" t="n">
        <v>0.8407</v>
      </c>
      <c r="U13" s="4" t="n">
        <v>1</v>
      </c>
      <c r="V13" s="4" t="n">
        <v>717</v>
      </c>
      <c r="W13" s="4" t="n">
        <v>592</v>
      </c>
      <c r="X13" s="4" t="n">
        <v>589</v>
      </c>
      <c r="Y13" s="4" t="n">
        <v>696</v>
      </c>
      <c r="Z13" s="4" t="n">
        <v>540</v>
      </c>
      <c r="AA13" s="160" t="n">
        <v>-33</v>
      </c>
    </row>
    <row r="14" ht="14.25" customHeight="1" s="267">
      <c r="A14" s="4" t="inlineStr">
        <is>
          <t>Brno</t>
        </is>
      </c>
      <c r="B14" s="3" t="n">
        <v>12</v>
      </c>
      <c r="C14" s="3" t="n">
        <v>12</v>
      </c>
      <c r="D14" s="3" t="n">
        <v>14</v>
      </c>
      <c r="E14" s="3" t="n">
        <v>308</v>
      </c>
      <c r="F14" s="3" t="n">
        <v>57</v>
      </c>
      <c r="G14" s="3" t="n">
        <v>5.404</v>
      </c>
      <c r="H14" s="3" t="n">
        <v>202.03</v>
      </c>
      <c r="I14" s="3" t="n">
        <v>15</v>
      </c>
      <c r="J14" s="3" t="n">
        <v>14</v>
      </c>
      <c r="K14" s="3" t="inlineStr">
        <is>
          <t>Medium</t>
        </is>
      </c>
      <c r="L14" s="3" t="inlineStr">
        <is>
          <t>Easy</t>
        </is>
      </c>
      <c r="M14" s="3" t="inlineStr">
        <is>
          <t>Medium</t>
        </is>
      </c>
      <c r="N14" s="3" t="inlineStr">
        <is>
          <t>Medium</t>
        </is>
      </c>
      <c r="O14" s="3" t="inlineStr">
        <is>
          <t>High</t>
        </is>
      </c>
      <c r="P14" s="3" t="inlineStr">
        <is>
          <t>Normal</t>
        </is>
      </c>
      <c r="Q14" s="15">
        <f>R14/G14/I14*305.404360189573</f>
        <v/>
      </c>
      <c r="R14" s="16" t="n">
        <v>0.4214285714285713</v>
      </c>
      <c r="S14" s="16" t="n">
        <v>1.201</v>
      </c>
      <c r="T14" s="4" t="n">
        <v>0.8158359247135926</v>
      </c>
      <c r="U14" s="4" t="n">
        <v>0.8324887092823426</v>
      </c>
      <c r="V14" s="4" t="n">
        <v>493.6</v>
      </c>
      <c r="W14" s="4" t="n">
        <v>515</v>
      </c>
      <c r="X14" s="4" t="n">
        <v>378.5</v>
      </c>
      <c r="Y14" s="4" t="n">
        <v>555</v>
      </c>
      <c r="Z14" s="4" t="n">
        <v>490.19</v>
      </c>
      <c r="AA14" s="160" t="n">
        <v>102</v>
      </c>
    </row>
    <row r="15" ht="14.25" customHeight="1" s="267">
      <c r="A15" s="4" t="inlineStr">
        <is>
          <t>Bucharest Ring</t>
        </is>
      </c>
      <c r="B15" s="3" t="n">
        <v>8</v>
      </c>
      <c r="C15" s="3" t="n">
        <v>6</v>
      </c>
      <c r="D15" s="3" t="n">
        <v>8</v>
      </c>
      <c r="E15" s="3" t="n">
        <v>245.7</v>
      </c>
      <c r="F15" s="3" t="n">
        <v>80</v>
      </c>
      <c r="G15" s="3" t="n">
        <v>3.071</v>
      </c>
      <c r="H15" s="3" t="inlineStr">
        <is>
          <t>?</t>
        </is>
      </c>
      <c r="I15" s="3" t="n">
        <v>14</v>
      </c>
      <c r="J15" s="3" t="n">
        <v>24</v>
      </c>
      <c r="K15" s="3" t="inlineStr">
        <is>
          <t>Low</t>
        </is>
      </c>
      <c r="L15" s="3" t="inlineStr">
        <is>
          <t>Easy</t>
        </is>
      </c>
      <c r="M15" s="3" t="inlineStr">
        <is>
          <t>Hard</t>
        </is>
      </c>
      <c r="N15" s="3" t="inlineStr">
        <is>
          <t>Very High</t>
        </is>
      </c>
      <c r="O15" s="3" t="inlineStr">
        <is>
          <t>Low</t>
        </is>
      </c>
      <c r="P15" s="3" t="inlineStr">
        <is>
          <t>Normal</t>
        </is>
      </c>
      <c r="Q15" s="15">
        <f>R15/G15/I15*305.404360189573</f>
        <v/>
      </c>
      <c r="R15" s="16" t="n">
        <v>0.1613636363636363</v>
      </c>
      <c r="S15" s="16" t="n">
        <v>1.052</v>
      </c>
      <c r="T15" s="4" t="n">
        <v>0.8885078911895489</v>
      </c>
      <c r="U15" s="4" t="n">
        <v>0.8102687718766995</v>
      </c>
      <c r="V15" s="4" t="n">
        <v>278.34</v>
      </c>
      <c r="W15" s="4" t="n">
        <v>656</v>
      </c>
      <c r="X15" s="4" t="n">
        <v>710.5</v>
      </c>
      <c r="Y15" s="4" t="n">
        <v>595</v>
      </c>
      <c r="Z15" s="4" t="n">
        <v>746.1900000000001</v>
      </c>
      <c r="AA15" s="160" t="n">
        <v>-45</v>
      </c>
    </row>
    <row r="16" ht="14.25" customHeight="1" s="267">
      <c r="A16" s="4" t="inlineStr">
        <is>
          <t>Buenos Aires</t>
        </is>
      </c>
      <c r="B16" s="3" t="n">
        <v>12</v>
      </c>
      <c r="C16" s="3" t="n">
        <v>11</v>
      </c>
      <c r="D16" s="3" t="n">
        <v>9</v>
      </c>
      <c r="E16" s="3" t="n">
        <v>306.6</v>
      </c>
      <c r="F16" s="3" t="n">
        <v>72</v>
      </c>
      <c r="G16" s="3" t="n">
        <v>4.258</v>
      </c>
      <c r="H16" s="3" t="n">
        <v>184.89</v>
      </c>
      <c r="I16" s="3" t="n">
        <v>16</v>
      </c>
      <c r="J16" s="3" t="n">
        <v>19.5</v>
      </c>
      <c r="K16" s="3" t="inlineStr">
        <is>
          <t>High</t>
        </is>
      </c>
      <c r="L16" s="3" t="inlineStr">
        <is>
          <t>Very Hard</t>
        </is>
      </c>
      <c r="M16" s="3" t="inlineStr">
        <is>
          <t>Hard</t>
        </is>
      </c>
      <c r="N16" s="3" t="inlineStr">
        <is>
          <t>Very Low</t>
        </is>
      </c>
      <c r="O16" s="3" t="inlineStr">
        <is>
          <t>High</t>
        </is>
      </c>
      <c r="P16" s="3" t="inlineStr">
        <is>
          <t>Normal</t>
        </is>
      </c>
      <c r="Q16" s="15">
        <f>R16/G16/I16*305.404360189573</f>
        <v/>
      </c>
      <c r="R16" s="16" t="n">
        <v>0.353125</v>
      </c>
      <c r="S16" s="16" t="n">
        <v>1.30297619</v>
      </c>
      <c r="T16" s="4" t="n">
        <v>0.7672265249699518</v>
      </c>
      <c r="U16" s="4" t="n">
        <v>0.6786943401085256</v>
      </c>
      <c r="V16" s="4" t="n">
        <v>910.42</v>
      </c>
      <c r="W16" s="4" t="n">
        <v>516</v>
      </c>
      <c r="X16" s="4" t="n">
        <v>270.5</v>
      </c>
      <c r="Y16" s="4" t="n">
        <v>655</v>
      </c>
      <c r="Z16" s="4" t="n">
        <v>706.1900000000001</v>
      </c>
      <c r="AA16" s="160" t="n">
        <v>-80</v>
      </c>
    </row>
    <row r="17" ht="14.25" customHeight="1" s="267">
      <c r="A17" s="4" t="inlineStr">
        <is>
          <t>Estoril</t>
        </is>
      </c>
      <c r="B17" s="3" t="n">
        <v>11</v>
      </c>
      <c r="C17" s="3" t="n">
        <v>8</v>
      </c>
      <c r="D17" s="3" t="n">
        <v>14</v>
      </c>
      <c r="E17" s="3" t="n">
        <v>305.2</v>
      </c>
      <c r="F17" s="3" t="n">
        <v>70</v>
      </c>
      <c r="G17" s="3" t="n">
        <v>4.36</v>
      </c>
      <c r="H17" s="3" t="n">
        <v>215.82</v>
      </c>
      <c r="I17" s="3" t="n">
        <v>13</v>
      </c>
      <c r="J17" s="3" t="n">
        <v>22.5</v>
      </c>
      <c r="K17" s="3" t="inlineStr">
        <is>
          <t>Medium</t>
        </is>
      </c>
      <c r="L17" s="3" t="inlineStr">
        <is>
          <t>Normal</t>
        </is>
      </c>
      <c r="M17" s="3" t="inlineStr">
        <is>
          <t>Medium</t>
        </is>
      </c>
      <c r="N17" s="3" t="inlineStr">
        <is>
          <t>Medium</t>
        </is>
      </c>
      <c r="O17" s="3" t="inlineStr">
        <is>
          <t>Medium</t>
        </is>
      </c>
      <c r="P17" s="3" t="inlineStr">
        <is>
          <t>Low</t>
        </is>
      </c>
      <c r="Q17" s="15">
        <f>R17/G17/I17*305.404360189573</f>
        <v/>
      </c>
      <c r="R17" s="16" t="n">
        <v>0.2526315789473684</v>
      </c>
      <c r="S17" s="16" t="n">
        <v>1.195352941</v>
      </c>
      <c r="T17" s="4" t="n">
        <v>0.814246823820351</v>
      </c>
      <c r="U17" s="4" t="n">
        <v>0.8100000000000001</v>
      </c>
      <c r="V17" s="4" t="n">
        <v>438.76</v>
      </c>
      <c r="W17" s="4" t="n">
        <v>651</v>
      </c>
      <c r="X17" s="4" t="n">
        <v>300.5</v>
      </c>
      <c r="Y17" s="4" t="n">
        <v>704</v>
      </c>
      <c r="Z17" s="4" t="n">
        <v>574.1900000000001</v>
      </c>
      <c r="AA17" s="160" t="n">
        <v>82</v>
      </c>
    </row>
    <row r="18" ht="14.25" customHeight="1" s="267">
      <c r="A18" s="4" t="inlineStr">
        <is>
          <t>Fiorano</t>
        </is>
      </c>
      <c r="B18" s="3" t="n">
        <v>8</v>
      </c>
      <c r="C18" s="3" t="n">
        <v>6</v>
      </c>
      <c r="D18" s="3" t="n">
        <v>7</v>
      </c>
      <c r="E18" s="3" t="n">
        <v>238.6</v>
      </c>
      <c r="F18" s="3" t="n">
        <v>79</v>
      </c>
      <c r="G18" s="3" t="n">
        <v>3.02</v>
      </c>
      <c r="H18" s="3" t="n">
        <v>183.36</v>
      </c>
      <c r="I18" s="3" t="n">
        <v>14</v>
      </c>
      <c r="J18" s="3" t="n">
        <v>16.5</v>
      </c>
      <c r="K18" s="3" t="inlineStr">
        <is>
          <t>Medium</t>
        </is>
      </c>
      <c r="L18" s="3" t="inlineStr">
        <is>
          <t>Normal</t>
        </is>
      </c>
      <c r="M18" s="3" t="inlineStr">
        <is>
          <t>Hard</t>
        </is>
      </c>
      <c r="N18" s="3" t="inlineStr">
        <is>
          <t>Very High</t>
        </is>
      </c>
      <c r="O18" s="3" t="inlineStr">
        <is>
          <t>High</t>
        </is>
      </c>
      <c r="P18" s="3" t="inlineStr">
        <is>
          <t>Low</t>
        </is>
      </c>
      <c r="Q18" s="15">
        <f>R18/G18/I18*305.404360189573</f>
        <v/>
      </c>
      <c r="R18" s="16" t="n">
        <v>0.2151162790697676</v>
      </c>
      <c r="S18" s="16" t="n">
        <v>1.010833333</v>
      </c>
      <c r="T18" s="4" t="n">
        <v>0.9092973937695912</v>
      </c>
      <c r="U18" s="4" t="n">
        <v>0.8694524109571974</v>
      </c>
      <c r="V18" s="4" t="n">
        <v>459.32</v>
      </c>
      <c r="W18" s="4" t="n">
        <v>622</v>
      </c>
      <c r="X18" s="4" t="n">
        <v>302.5</v>
      </c>
      <c r="Y18" s="4" t="n">
        <v>375</v>
      </c>
      <c r="Z18" s="4" t="n">
        <v>868.1900000000001</v>
      </c>
      <c r="AA18" s="160" t="n">
        <v>2</v>
      </c>
    </row>
    <row r="19" ht="14.25" customHeight="1" s="267">
      <c r="A19" s="4" t="inlineStr">
        <is>
          <t>Fuji</t>
        </is>
      </c>
      <c r="B19" s="3" t="n">
        <v>13</v>
      </c>
      <c r="C19" s="3" t="n">
        <v>11</v>
      </c>
      <c r="D19" s="3" t="n">
        <v>8</v>
      </c>
      <c r="E19" s="3" t="n">
        <v>305.4</v>
      </c>
      <c r="F19" s="3" t="n">
        <v>67</v>
      </c>
      <c r="G19" s="3" t="n">
        <v>4.558</v>
      </c>
      <c r="H19" s="3" t="n">
        <v>191.3</v>
      </c>
      <c r="I19" s="3" t="n">
        <v>16</v>
      </c>
      <c r="J19" s="3" t="n">
        <v>18.5</v>
      </c>
      <c r="K19" s="3" t="inlineStr">
        <is>
          <t>Low</t>
        </is>
      </c>
      <c r="L19" s="3" t="inlineStr">
        <is>
          <t>Easy</t>
        </is>
      </c>
      <c r="M19" s="3" t="inlineStr">
        <is>
          <t>Medium</t>
        </is>
      </c>
      <c r="N19" s="3" t="inlineStr">
        <is>
          <t>Medium</t>
        </is>
      </c>
      <c r="O19" s="3" t="inlineStr">
        <is>
          <t>Medium</t>
        </is>
      </c>
      <c r="P19" s="3" t="inlineStr">
        <is>
          <t>Normal</t>
        </is>
      </c>
      <c r="Q19" s="15">
        <f>R19/G19/I19*305.404360189573</f>
        <v/>
      </c>
      <c r="R19" s="16" t="n">
        <v>0.3410714285714285</v>
      </c>
      <c r="S19" s="16" t="n">
        <v>1.182722222</v>
      </c>
      <c r="T19" s="4" t="n">
        <v>0.824318</v>
      </c>
      <c r="U19" s="4" t="n">
        <v>0.6833483223022858</v>
      </c>
      <c r="V19" s="4" t="n">
        <v>274.22</v>
      </c>
      <c r="W19" s="4" t="n">
        <v>591</v>
      </c>
      <c r="X19" s="4" t="n">
        <v>634.5</v>
      </c>
      <c r="Y19" s="4" t="n">
        <v>689</v>
      </c>
      <c r="Z19" s="4" t="n">
        <v>502.19</v>
      </c>
      <c r="AA19" s="160" t="n">
        <v>-158</v>
      </c>
    </row>
    <row r="20" ht="14.25" customHeight="1" s="267">
      <c r="A20" s="4" t="inlineStr">
        <is>
          <t>Grobnik</t>
        </is>
      </c>
      <c r="B20" s="3" t="n">
        <v>8</v>
      </c>
      <c r="C20" s="3" t="n">
        <v>15</v>
      </c>
      <c r="D20" s="3" t="n">
        <v>7</v>
      </c>
      <c r="E20" s="3" t="n">
        <v>308.4</v>
      </c>
      <c r="F20" s="3" t="n">
        <v>74</v>
      </c>
      <c r="G20" s="3" t="n">
        <v>4.168</v>
      </c>
      <c r="H20" s="3" t="inlineStr">
        <is>
          <t>?</t>
        </is>
      </c>
      <c r="I20" s="3" t="n">
        <v>15</v>
      </c>
      <c r="J20" s="3" t="n">
        <v>13</v>
      </c>
      <c r="K20" s="3" t="inlineStr">
        <is>
          <t>Medium</t>
        </is>
      </c>
      <c r="L20" s="3" t="inlineStr">
        <is>
          <t>Hard</t>
        </is>
      </c>
      <c r="M20" s="3" t="inlineStr">
        <is>
          <t>Medium</t>
        </is>
      </c>
      <c r="N20" s="3" t="inlineStr">
        <is>
          <t>Low</t>
        </is>
      </c>
      <c r="O20" s="3" t="inlineStr">
        <is>
          <t>Medium</t>
        </is>
      </c>
      <c r="P20" s="3" t="inlineStr">
        <is>
          <t>Normal</t>
        </is>
      </c>
      <c r="Q20" s="15">
        <f>R20/G20/I20*305.404360189573</f>
        <v/>
      </c>
      <c r="R20" s="16" t="n">
        <v>0.349</v>
      </c>
      <c r="S20" s="16" t="n">
        <v>1.19</v>
      </c>
      <c r="T20" s="4" t="n"/>
      <c r="U20" s="4" t="n"/>
      <c r="V20" s="4" t="n">
        <v>648</v>
      </c>
      <c r="W20" s="4" t="n">
        <v>389</v>
      </c>
      <c r="X20" s="4" t="n">
        <v>525</v>
      </c>
      <c r="Y20" s="4" t="n">
        <v>772</v>
      </c>
      <c r="Z20" s="4" t="n">
        <v>502</v>
      </c>
      <c r="AA20" s="160" t="n">
        <v>-30</v>
      </c>
    </row>
    <row r="21" ht="14.25" customHeight="1" s="267">
      <c r="A21" s="4" t="inlineStr">
        <is>
          <t>Hockenheim</t>
        </is>
      </c>
      <c r="B21" s="3" t="n">
        <v>12</v>
      </c>
      <c r="C21" s="3" t="n">
        <v>9</v>
      </c>
      <c r="D21" s="3" t="n">
        <v>11</v>
      </c>
      <c r="E21" s="3" t="n">
        <v>306.4</v>
      </c>
      <c r="F21" s="3" t="n">
        <v>67</v>
      </c>
      <c r="G21" s="3" t="n">
        <v>4.573</v>
      </c>
      <c r="H21" s="3" t="n">
        <v>238.22</v>
      </c>
      <c r="I21" s="3" t="n">
        <v>12</v>
      </c>
      <c r="J21" s="3" t="n">
        <v>16.5</v>
      </c>
      <c r="K21" s="3" t="inlineStr">
        <is>
          <t>Medium</t>
        </is>
      </c>
      <c r="L21" s="3" t="inlineStr">
        <is>
          <t>Normal</t>
        </is>
      </c>
      <c r="M21" s="3" t="inlineStr">
        <is>
          <t>Soft</t>
        </is>
      </c>
      <c r="N21" s="3" t="inlineStr">
        <is>
          <t>High</t>
        </is>
      </c>
      <c r="O21" s="3" t="inlineStr">
        <is>
          <t>Medium</t>
        </is>
      </c>
      <c r="P21" s="3" t="inlineStr">
        <is>
          <t>High</t>
        </is>
      </c>
      <c r="Q21" s="15">
        <f>R21/G21/I21*305.404360189573</f>
        <v/>
      </c>
      <c r="R21" s="16" t="n">
        <v>0.2588235294117647</v>
      </c>
      <c r="S21" s="16" t="n">
        <v>1.117465517</v>
      </c>
      <c r="T21" s="4" t="n">
        <v>0.8486033811357958</v>
      </c>
      <c r="U21" s="4" t="n">
        <v>0.8061902192619447</v>
      </c>
      <c r="V21" s="4" t="n">
        <v>453.84</v>
      </c>
      <c r="W21" s="4" t="n">
        <v>648</v>
      </c>
      <c r="X21" s="4" t="n">
        <v>326.5</v>
      </c>
      <c r="Y21" s="4" t="n">
        <v>790</v>
      </c>
      <c r="Z21" s="4" t="n">
        <v>290.19</v>
      </c>
      <c r="AA21" s="160" t="n">
        <v>448</v>
      </c>
    </row>
    <row r="22" ht="14.25" customHeight="1" s="267">
      <c r="A22" s="4" t="inlineStr">
        <is>
          <t>Hungaroring</t>
        </is>
      </c>
      <c r="B22" s="3" t="n">
        <v>7</v>
      </c>
      <c r="C22" s="3" t="n">
        <v>10</v>
      </c>
      <c r="D22" s="3" t="n">
        <v>13</v>
      </c>
      <c r="E22" s="3" t="n">
        <v>305.5</v>
      </c>
      <c r="F22" s="3" t="n">
        <v>77</v>
      </c>
      <c r="G22" s="3" t="n">
        <v>3.968</v>
      </c>
      <c r="H22" s="3" t="n">
        <v>190.61</v>
      </c>
      <c r="I22" s="3" t="n">
        <v>14</v>
      </c>
      <c r="J22" s="3" t="n">
        <v>16.5</v>
      </c>
      <c r="K22" s="3" t="inlineStr">
        <is>
          <t>High</t>
        </is>
      </c>
      <c r="L22" s="3" t="inlineStr">
        <is>
          <t>Very Hard</t>
        </is>
      </c>
      <c r="M22" s="3" t="inlineStr">
        <is>
          <t>Medium</t>
        </is>
      </c>
      <c r="N22" s="3" t="inlineStr">
        <is>
          <t>Very Low</t>
        </is>
      </c>
      <c r="O22" s="3" t="inlineStr">
        <is>
          <t>Very Low</t>
        </is>
      </c>
      <c r="P22" s="3" t="inlineStr">
        <is>
          <t>Very High</t>
        </is>
      </c>
      <c r="Q22" s="15">
        <f>R22/G22/I22*305.404360189573</f>
        <v/>
      </c>
      <c r="R22" s="16" t="n">
        <v>0.1818965517241379</v>
      </c>
      <c r="S22" s="16" t="n">
        <v>1.352229167</v>
      </c>
      <c r="T22" s="4" t="n">
        <v>0.747295179041</v>
      </c>
      <c r="U22" s="4" t="n">
        <v>0.7407272529910109</v>
      </c>
      <c r="V22" s="4" t="n">
        <v>859.6900000000001</v>
      </c>
      <c r="W22" s="4" t="n">
        <v>441</v>
      </c>
      <c r="X22" s="4" t="n">
        <v>572.5</v>
      </c>
      <c r="Y22" s="4" t="n">
        <v>435</v>
      </c>
      <c r="Z22" s="4" t="n">
        <v>416.19</v>
      </c>
      <c r="AA22" s="160" t="n">
        <v>248</v>
      </c>
    </row>
    <row r="23" ht="14.25" customHeight="1" s="267">
      <c r="A23" s="4" t="inlineStr">
        <is>
          <t>Imola</t>
        </is>
      </c>
      <c r="B23" s="3" t="n">
        <v>12</v>
      </c>
      <c r="C23" s="3" t="n">
        <v>13</v>
      </c>
      <c r="D23" s="3" t="n">
        <v>9</v>
      </c>
      <c r="E23" s="3" t="n">
        <v>305.6</v>
      </c>
      <c r="F23" s="3" t="n">
        <v>62</v>
      </c>
      <c r="G23" s="3" t="n">
        <v>4.929</v>
      </c>
      <c r="H23" s="3" t="n">
        <v>215.41</v>
      </c>
      <c r="I23" s="3" t="n">
        <v>16</v>
      </c>
      <c r="J23" s="3" t="n">
        <v>12</v>
      </c>
      <c r="K23" s="3" t="inlineStr">
        <is>
          <t>Medium</t>
        </is>
      </c>
      <c r="L23" s="3" t="inlineStr">
        <is>
          <t>Hard</t>
        </is>
      </c>
      <c r="M23" s="3" t="inlineStr">
        <is>
          <t>Medium</t>
        </is>
      </c>
      <c r="N23" s="3" t="inlineStr">
        <is>
          <t>Medium</t>
        </is>
      </c>
      <c r="O23" s="3" t="inlineStr">
        <is>
          <t>Medium</t>
        </is>
      </c>
      <c r="P23" s="3" t="inlineStr">
        <is>
          <t>Low</t>
        </is>
      </c>
      <c r="Q23" s="15">
        <f>R23/G23/I23*305.404360189573</f>
        <v/>
      </c>
      <c r="R23" s="16" t="n">
        <v>0.325</v>
      </c>
      <c r="S23" s="16" t="n">
        <v>1.14525</v>
      </c>
      <c r="T23" s="4" t="n">
        <v>0.8335417573525929</v>
      </c>
      <c r="U23" s="4" t="n">
        <v>0.68</v>
      </c>
      <c r="V23" s="4" t="n">
        <v>464.81</v>
      </c>
      <c r="W23" s="4" t="n">
        <v>599</v>
      </c>
      <c r="X23" s="4" t="n">
        <v>670.5</v>
      </c>
      <c r="Y23" s="4" t="n">
        <v>615</v>
      </c>
      <c r="Z23" s="4" t="n">
        <v>456.19</v>
      </c>
      <c r="AA23" s="160" t="n">
        <v>92</v>
      </c>
    </row>
    <row r="24" ht="14.25" customHeight="1" s="267">
      <c r="A24" s="4" t="inlineStr">
        <is>
          <t>Indianapolis</t>
        </is>
      </c>
      <c r="B24" s="3" t="n">
        <v>10</v>
      </c>
      <c r="C24" s="3" t="n">
        <v>9</v>
      </c>
      <c r="D24" s="3" t="n">
        <v>11</v>
      </c>
      <c r="E24" s="3" t="n">
        <v>306.6</v>
      </c>
      <c r="F24" s="3" t="n">
        <v>73</v>
      </c>
      <c r="G24" s="3" t="n">
        <v>4.2</v>
      </c>
      <c r="H24" s="3" t="n">
        <v>208.34</v>
      </c>
      <c r="I24" s="3" t="n">
        <v>13</v>
      </c>
      <c r="J24" s="3" t="n">
        <v>25.5</v>
      </c>
      <c r="K24" s="3" t="inlineStr">
        <is>
          <t>Low</t>
        </is>
      </c>
      <c r="L24" s="3" t="inlineStr">
        <is>
          <t>Easy</t>
        </is>
      </c>
      <c r="M24" s="3" t="inlineStr">
        <is>
          <t>Medium</t>
        </is>
      </c>
      <c r="N24" s="3" t="inlineStr">
        <is>
          <t>High</t>
        </is>
      </c>
      <c r="O24" s="3" t="inlineStr">
        <is>
          <t>Medium</t>
        </is>
      </c>
      <c r="P24" s="3" t="inlineStr">
        <is>
          <t>High</t>
        </is>
      </c>
      <c r="Q24" s="15">
        <f>R24/G24/I24*305.404360189573</f>
        <v/>
      </c>
      <c r="R24" s="16" t="n">
        <v>0.245</v>
      </c>
      <c r="S24" s="16" t="n">
        <v>1.095772727</v>
      </c>
      <c r="T24" s="4" t="n">
        <v>0.865017</v>
      </c>
      <c r="U24" s="4" t="n">
        <v>1</v>
      </c>
      <c r="V24" s="4" t="n">
        <v>215.27</v>
      </c>
      <c r="W24" s="4" t="n">
        <v>706</v>
      </c>
      <c r="X24" s="4" t="n">
        <v>466.5</v>
      </c>
      <c r="Y24" s="4" t="n">
        <v>649</v>
      </c>
      <c r="Z24" s="4" t="n">
        <v>520.1900000000001</v>
      </c>
      <c r="AA24" s="160" t="n">
        <v>165</v>
      </c>
    </row>
    <row r="25" ht="14.25" customHeight="1" s="267">
      <c r="A25" s="4" t="inlineStr">
        <is>
          <t>Indianapolis Oval</t>
        </is>
      </c>
      <c r="B25" s="3" t="n">
        <v>17</v>
      </c>
      <c r="C25" s="3" t="n">
        <v>9</v>
      </c>
      <c r="D25" s="3" t="n">
        <v>2</v>
      </c>
      <c r="E25" s="3" t="n">
        <v>804.4</v>
      </c>
      <c r="F25" s="3" t="n">
        <v>200</v>
      </c>
      <c r="G25" s="3" t="n">
        <v>4.022</v>
      </c>
      <c r="H25" s="3" t="inlineStr">
        <is>
          <t>?</t>
        </is>
      </c>
      <c r="I25" s="3" t="n">
        <v>4</v>
      </c>
      <c r="J25" s="3" t="n">
        <v>45</v>
      </c>
      <c r="K25" s="3" t="inlineStr">
        <is>
          <t>Low</t>
        </is>
      </c>
      <c r="L25" s="3" t="inlineStr">
        <is>
          <t>Very Easy</t>
        </is>
      </c>
      <c r="M25" s="3" t="inlineStr">
        <is>
          <t>Soft</t>
        </is>
      </c>
      <c r="N25" s="3" t="inlineStr">
        <is>
          <t>Very High</t>
        </is>
      </c>
      <c r="O25" s="3" t="inlineStr">
        <is>
          <t>Low</t>
        </is>
      </c>
      <c r="P25" s="3" t="inlineStr">
        <is>
          <t>Low</t>
        </is>
      </c>
      <c r="Q25" s="15">
        <f>R25/G25/I25*305.404360189573</f>
        <v/>
      </c>
      <c r="R25" s="16" t="n">
        <v>0.063</v>
      </c>
      <c r="S25" s="16" t="n">
        <v>1.058</v>
      </c>
      <c r="T25" s="4" t="n">
        <v>0.8800953398863468</v>
      </c>
      <c r="U25" s="4" t="n">
        <v>0.8</v>
      </c>
      <c r="V25" s="4" t="n">
        <v>-26</v>
      </c>
      <c r="W25" s="4" t="n">
        <v>626</v>
      </c>
      <c r="X25" s="4" t="n">
        <v>112</v>
      </c>
      <c r="Y25" s="4" t="n">
        <v>830</v>
      </c>
      <c r="Z25" s="4" t="n">
        <v>221</v>
      </c>
      <c r="AA25" s="160" t="n">
        <v>20</v>
      </c>
    </row>
    <row r="26" ht="14.25" customHeight="1" s="267">
      <c r="A26" s="4" t="inlineStr">
        <is>
          <t>Interlagos</t>
        </is>
      </c>
      <c r="B26" s="3" t="n">
        <v>12</v>
      </c>
      <c r="C26" s="3" t="n">
        <v>9</v>
      </c>
      <c r="D26" s="3" t="n">
        <v>10</v>
      </c>
      <c r="E26" s="3" t="n">
        <v>305.9</v>
      </c>
      <c r="F26" s="3" t="n">
        <v>71</v>
      </c>
      <c r="G26" s="3" t="n">
        <v>4.308</v>
      </c>
      <c r="H26" s="3" t="n">
        <v>217.49</v>
      </c>
      <c r="I26" s="3" t="n">
        <v>14</v>
      </c>
      <c r="J26" s="3" t="n">
        <v>18</v>
      </c>
      <c r="K26" s="3" t="inlineStr">
        <is>
          <t>Medium</t>
        </is>
      </c>
      <c r="L26" s="3" t="inlineStr">
        <is>
          <t>Normal</t>
        </is>
      </c>
      <c r="M26" s="3" t="inlineStr">
        <is>
          <t>Soft</t>
        </is>
      </c>
      <c r="N26" s="3" t="inlineStr">
        <is>
          <t>Medium</t>
        </is>
      </c>
      <c r="O26" s="3" t="inlineStr">
        <is>
          <t>Medium</t>
        </is>
      </c>
      <c r="P26" s="3" t="inlineStr">
        <is>
          <t>High</t>
        </is>
      </c>
      <c r="Q26" s="15">
        <f>R26/G26/I26*305.404360189573</f>
        <v/>
      </c>
      <c r="R26" s="16" t="n">
        <v>0.26875</v>
      </c>
      <c r="S26" s="16" t="n">
        <v>1.180888889</v>
      </c>
      <c r="T26" s="4" t="n">
        <v>0.8200197039717102</v>
      </c>
      <c r="U26" s="4" t="n">
        <v>0.77</v>
      </c>
      <c r="V26" s="4" t="n">
        <v>468.92</v>
      </c>
      <c r="W26" s="4" t="n">
        <v>580</v>
      </c>
      <c r="X26" s="4" t="n">
        <v>556.5</v>
      </c>
      <c r="Y26" s="4" t="n">
        <v>570</v>
      </c>
      <c r="Z26" s="4" t="n">
        <v>320.19</v>
      </c>
      <c r="AA26" s="160" t="n">
        <v>370</v>
      </c>
    </row>
    <row r="27" ht="14.25" customHeight="1" s="267">
      <c r="A27" s="4" t="inlineStr">
        <is>
          <t>Irungattukottai</t>
        </is>
      </c>
      <c r="B27" s="3" t="n">
        <v>8</v>
      </c>
      <c r="C27" s="3" t="n">
        <v>12</v>
      </c>
      <c r="D27" s="3" t="n">
        <v>7</v>
      </c>
      <c r="E27" s="3" t="n">
        <v>293.6</v>
      </c>
      <c r="F27" s="3" t="n">
        <v>79</v>
      </c>
      <c r="G27" s="3" t="n">
        <v>3.716</v>
      </c>
      <c r="H27" s="3" t="inlineStr">
        <is>
          <t>?</t>
        </is>
      </c>
      <c r="I27" s="3" t="n">
        <v>12</v>
      </c>
      <c r="J27" s="3" t="n">
        <v>14</v>
      </c>
      <c r="K27" s="3" t="inlineStr">
        <is>
          <t>Medium</t>
        </is>
      </c>
      <c r="L27" s="3" t="inlineStr">
        <is>
          <t>Easy</t>
        </is>
      </c>
      <c r="M27" s="3" t="inlineStr">
        <is>
          <t>Medium</t>
        </is>
      </c>
      <c r="N27" s="3" t="inlineStr">
        <is>
          <t>Medium</t>
        </is>
      </c>
      <c r="O27" s="3" t="inlineStr">
        <is>
          <t>High</t>
        </is>
      </c>
      <c r="P27" s="3" t="inlineStr">
        <is>
          <t>High</t>
        </is>
      </c>
      <c r="Q27" s="15">
        <f>R27/G27/I27*305.404360189573</f>
        <v/>
      </c>
      <c r="R27" s="16" t="n">
        <v>0.2326086956521739</v>
      </c>
      <c r="S27" s="16" t="n">
        <v>1.187166667</v>
      </c>
      <c r="T27" s="4" t="n">
        <v>0.8209873591069832</v>
      </c>
      <c r="U27" s="4" t="n">
        <v>0.83</v>
      </c>
      <c r="V27" s="4" t="n">
        <v>681.4400000000001</v>
      </c>
      <c r="W27" s="4" t="n">
        <v>470</v>
      </c>
      <c r="X27" s="4" t="n">
        <v>624.5</v>
      </c>
      <c r="Y27" s="4" t="n">
        <v>621</v>
      </c>
      <c r="Z27" s="4" t="n">
        <v>534.1900000000001</v>
      </c>
      <c r="AA27" s="160" t="n">
        <v>237</v>
      </c>
    </row>
    <row r="28" ht="14.25" customHeight="1" s="267">
      <c r="A28" s="4" t="inlineStr">
        <is>
          <t>Istanbul</t>
        </is>
      </c>
      <c r="B28" s="3" t="n">
        <v>13</v>
      </c>
      <c r="C28" s="3" t="n">
        <v>10</v>
      </c>
      <c r="D28" s="3" t="n">
        <v>14</v>
      </c>
      <c r="E28" s="3" t="n">
        <v>309.4</v>
      </c>
      <c r="F28" s="3" t="n">
        <v>58</v>
      </c>
      <c r="G28" s="3" t="n">
        <v>5.334</v>
      </c>
      <c r="H28" s="3" t="n">
        <v>227.29</v>
      </c>
      <c r="I28" s="3" t="n">
        <v>14</v>
      </c>
      <c r="J28" s="3" t="n">
        <v>16</v>
      </c>
      <c r="K28" s="3" t="inlineStr">
        <is>
          <t>Medium</t>
        </is>
      </c>
      <c r="L28" s="3" t="inlineStr">
        <is>
          <t>Normal</t>
        </is>
      </c>
      <c r="M28" s="3" t="inlineStr">
        <is>
          <t>Medium</t>
        </is>
      </c>
      <c r="N28" s="3" t="inlineStr">
        <is>
          <t>Medium</t>
        </is>
      </c>
      <c r="O28" s="3" t="inlineStr">
        <is>
          <t>Medium</t>
        </is>
      </c>
      <c r="P28" s="3" t="inlineStr">
        <is>
          <t>High</t>
        </is>
      </c>
      <c r="Q28" s="15">
        <f>R28/G28/I28*305.404360189573</f>
        <v/>
      </c>
      <c r="R28" s="16" t="n">
        <v>0.3038333333333332</v>
      </c>
      <c r="S28" s="16" t="n">
        <v>1.148944444</v>
      </c>
      <c r="T28" s="4" t="n">
        <v>0.8338035340662622</v>
      </c>
      <c r="U28" s="4" t="n">
        <v>0.7459760286223941</v>
      </c>
      <c r="V28" s="4" t="n">
        <v>392.14</v>
      </c>
      <c r="W28" s="4" t="n">
        <v>544</v>
      </c>
      <c r="X28" s="4" t="n">
        <v>702.5</v>
      </c>
      <c r="Y28" s="4" t="n">
        <v>545</v>
      </c>
      <c r="Z28" s="4" t="n">
        <v>636.1900000000001</v>
      </c>
      <c r="AA28" s="160" t="n">
        <v>-90</v>
      </c>
    </row>
    <row r="29" ht="14.25" customHeight="1" s="267">
      <c r="A29" s="4" t="inlineStr">
        <is>
          <t>Jerez</t>
        </is>
      </c>
      <c r="B29" s="3" t="n">
        <v>8</v>
      </c>
      <c r="C29" s="3" t="n">
        <v>16</v>
      </c>
      <c r="D29" s="3" t="n">
        <v>8</v>
      </c>
      <c r="E29" s="3" t="n">
        <v>306.4</v>
      </c>
      <c r="F29" s="3" t="n">
        <v>69</v>
      </c>
      <c r="G29" s="3" t="n">
        <v>4.441</v>
      </c>
      <c r="H29" s="3" t="n">
        <v>197.36</v>
      </c>
      <c r="I29" s="3" t="n">
        <v>14</v>
      </c>
      <c r="J29" s="3" t="n">
        <v>18</v>
      </c>
      <c r="K29" s="3" t="inlineStr">
        <is>
          <t>Medium</t>
        </is>
      </c>
      <c r="L29" s="3" t="inlineStr">
        <is>
          <t>Hard</t>
        </is>
      </c>
      <c r="M29" s="3" t="inlineStr">
        <is>
          <t>Soft</t>
        </is>
      </c>
      <c r="N29" s="3" t="inlineStr">
        <is>
          <t>High</t>
        </is>
      </c>
      <c r="O29" s="3" t="inlineStr">
        <is>
          <t>Very High</t>
        </is>
      </c>
      <c r="P29" s="3" t="inlineStr">
        <is>
          <t>Low</t>
        </is>
      </c>
      <c r="Q29" s="15">
        <f>R29/G29/I29*305.404360189573</f>
        <v/>
      </c>
      <c r="R29" s="16" t="n">
        <v>0.352</v>
      </c>
      <c r="S29" s="16" t="n">
        <v>1.096916667</v>
      </c>
      <c r="T29" s="4" t="n">
        <v>0.8587111144004963</v>
      </c>
      <c r="U29" s="4" t="n">
        <v>0.62</v>
      </c>
      <c r="V29" s="4" t="n">
        <v>725.3200000000001</v>
      </c>
      <c r="W29" s="4" t="n">
        <v>610</v>
      </c>
      <c r="X29" s="4" t="n">
        <v>626.5</v>
      </c>
      <c r="Y29" s="4" t="n">
        <v>701</v>
      </c>
      <c r="Z29" s="4" t="n">
        <v>322.19</v>
      </c>
      <c r="AA29" s="160" t="n">
        <v>-25</v>
      </c>
    </row>
    <row r="30" ht="14.25" customHeight="1" s="267">
      <c r="A30" s="4" t="inlineStr">
        <is>
          <t>Jyllands-Ringen</t>
        </is>
      </c>
      <c r="B30" s="3" t="n">
        <v>5</v>
      </c>
      <c r="C30" s="3" t="n">
        <v>9</v>
      </c>
      <c r="D30" s="3" t="n">
        <v>4</v>
      </c>
      <c r="E30" s="3" t="n">
        <v>312.8</v>
      </c>
      <c r="F30" s="3" t="n">
        <v>136</v>
      </c>
      <c r="G30" s="3" t="n">
        <v>2.3</v>
      </c>
      <c r="H30" s="3" t="inlineStr">
        <is>
          <t>?</t>
        </is>
      </c>
      <c r="I30" s="3" t="n">
        <v>20</v>
      </c>
      <c r="J30" s="3" t="n">
        <v>19.5</v>
      </c>
      <c r="K30" s="3" t="inlineStr">
        <is>
          <t>High</t>
        </is>
      </c>
      <c r="L30" s="3" t="inlineStr">
        <is>
          <t>Normal</t>
        </is>
      </c>
      <c r="M30" s="3" t="inlineStr">
        <is>
          <t>Medium</t>
        </is>
      </c>
      <c r="N30" s="3" t="inlineStr">
        <is>
          <t>Low</t>
        </is>
      </c>
      <c r="O30" s="3" t="inlineStr">
        <is>
          <t>High</t>
        </is>
      </c>
      <c r="P30" s="3" t="inlineStr">
        <is>
          <t>Normal</t>
        </is>
      </c>
      <c r="Q30" s="15">
        <f>R30/G30/I30*305.404360189573</f>
        <v/>
      </c>
      <c r="R30" s="16" t="n">
        <v>0.224</v>
      </c>
      <c r="S30" s="16" t="n">
        <v>1.19</v>
      </c>
      <c r="T30" s="4" t="n"/>
      <c r="U30" s="4" t="n"/>
      <c r="V30" s="4" t="n">
        <v>769</v>
      </c>
      <c r="W30" s="4" t="n">
        <v>414</v>
      </c>
      <c r="X30" s="4" t="n">
        <v>558</v>
      </c>
      <c r="Y30" s="4" t="n">
        <v>743</v>
      </c>
      <c r="Z30" s="4" t="n">
        <v>525</v>
      </c>
      <c r="AA30" s="160" t="n"/>
    </row>
    <row r="31" ht="14.25" customHeight="1" s="267">
      <c r="A31" s="4" t="inlineStr">
        <is>
          <t>Kaunas</t>
        </is>
      </c>
      <c r="B31" s="3" t="n">
        <v>9</v>
      </c>
      <c r="C31" s="3" t="n">
        <v>10</v>
      </c>
      <c r="D31" s="3" t="n">
        <v>5</v>
      </c>
      <c r="E31" s="3" t="n">
        <v>264.1</v>
      </c>
      <c r="F31" s="3" t="n">
        <v>80</v>
      </c>
      <c r="G31" s="3" t="n">
        <v>3.301</v>
      </c>
      <c r="H31" s="3" t="n">
        <v>123.82</v>
      </c>
      <c r="I31" s="3" t="n">
        <v>10</v>
      </c>
      <c r="J31" s="3" t="n">
        <v>11</v>
      </c>
      <c r="K31" s="3" t="inlineStr">
        <is>
          <t>Medium</t>
        </is>
      </c>
      <c r="L31" s="3" t="inlineStr">
        <is>
          <t>Normal</t>
        </is>
      </c>
      <c r="M31" s="3" t="inlineStr">
        <is>
          <t>Medium</t>
        </is>
      </c>
      <c r="N31" s="3" t="inlineStr">
        <is>
          <t>Medium</t>
        </is>
      </c>
      <c r="O31" s="3" t="inlineStr">
        <is>
          <t>High</t>
        </is>
      </c>
      <c r="P31" s="3" t="inlineStr">
        <is>
          <t>Low</t>
        </is>
      </c>
      <c r="Q31" s="15">
        <f>R31/G31/I31*305.404360189573</f>
        <v/>
      </c>
      <c r="R31" s="16" t="n">
        <v>0.169</v>
      </c>
      <c r="S31" s="16" t="n">
        <v>1.175</v>
      </c>
      <c r="T31" s="4" t="n">
        <v>0.8283433059711209</v>
      </c>
      <c r="U31" s="4" t="n">
        <v>0.8849458218823494</v>
      </c>
      <c r="V31" s="4" t="n">
        <v>395.61</v>
      </c>
      <c r="W31" s="4" t="n">
        <v>634.9</v>
      </c>
      <c r="X31" s="4" t="n">
        <v>516.25</v>
      </c>
      <c r="Y31" s="4" t="n">
        <v>689.87</v>
      </c>
      <c r="Z31" s="4" t="n">
        <v>359.86</v>
      </c>
      <c r="AA31" s="160" t="n">
        <v>-29</v>
      </c>
    </row>
    <row r="32" ht="14.25" customHeight="1" s="267">
      <c r="A32" s="4" t="inlineStr">
        <is>
          <t>Kyalami</t>
        </is>
      </c>
      <c r="B32" s="3" t="n">
        <v>9</v>
      </c>
      <c r="C32" s="3" t="n">
        <v>12</v>
      </c>
      <c r="D32" s="3" t="n">
        <v>9</v>
      </c>
      <c r="E32" s="3" t="n">
        <v>306.8</v>
      </c>
      <c r="F32" s="3" t="n">
        <v>72</v>
      </c>
      <c r="G32" s="3" t="n">
        <v>4.261</v>
      </c>
      <c r="H32" s="3" t="n">
        <v>230.27</v>
      </c>
      <c r="I32" s="3" t="n">
        <v>14</v>
      </c>
      <c r="J32" s="3" t="n">
        <v>15</v>
      </c>
      <c r="K32" s="3" t="inlineStr">
        <is>
          <t>High</t>
        </is>
      </c>
      <c r="L32" s="3" t="inlineStr">
        <is>
          <t>Hard</t>
        </is>
      </c>
      <c r="M32" s="3" t="inlineStr">
        <is>
          <t>Hard</t>
        </is>
      </c>
      <c r="N32" s="3" t="inlineStr">
        <is>
          <t>Very Low</t>
        </is>
      </c>
      <c r="O32" s="3" t="inlineStr">
        <is>
          <t>Medium</t>
        </is>
      </c>
      <c r="P32" s="3" t="inlineStr">
        <is>
          <t>Very Low</t>
        </is>
      </c>
      <c r="Q32" s="15">
        <f>R32/G32/I32*305.404360189573</f>
        <v/>
      </c>
      <c r="R32" s="16" t="n">
        <v>0.263157894736842</v>
      </c>
      <c r="S32" s="16" t="n">
        <v>1.276304348</v>
      </c>
      <c r="T32" s="4" t="n">
        <v>0.7785643040084159</v>
      </c>
      <c r="U32" s="4" t="n">
        <v>0.7</v>
      </c>
      <c r="V32" s="4" t="n">
        <v>780.16</v>
      </c>
      <c r="W32" s="4" t="n">
        <v>536</v>
      </c>
      <c r="X32" s="4" t="n">
        <v>556.5</v>
      </c>
      <c r="Y32" s="4" t="n">
        <v>530</v>
      </c>
      <c r="Z32" s="4" t="n">
        <v>752.1900000000001</v>
      </c>
      <c r="AA32" s="160" t="n">
        <v>-190</v>
      </c>
    </row>
    <row r="33" ht="14.25" customHeight="1" s="267">
      <c r="A33" s="4" t="inlineStr">
        <is>
          <t>Laguna Seca</t>
        </is>
      </c>
      <c r="B33" s="3" t="n">
        <v>11</v>
      </c>
      <c r="C33" s="3" t="n">
        <v>8</v>
      </c>
      <c r="D33" s="3" t="n">
        <v>7</v>
      </c>
      <c r="E33" s="3" t="n">
        <v>284.5</v>
      </c>
      <c r="F33" s="3" t="n">
        <v>79</v>
      </c>
      <c r="G33" s="3" t="n">
        <v>3.601</v>
      </c>
      <c r="H33" s="3" t="n">
        <v>180.7</v>
      </c>
      <c r="I33" s="3" t="n">
        <v>11</v>
      </c>
      <c r="J33" s="3" t="n">
        <v>16.7</v>
      </c>
      <c r="K33" s="3" t="inlineStr">
        <is>
          <t>Medium</t>
        </is>
      </c>
      <c r="L33" s="3" t="inlineStr">
        <is>
          <t>Easy</t>
        </is>
      </c>
      <c r="M33" s="3" t="inlineStr">
        <is>
          <t>Soft</t>
        </is>
      </c>
      <c r="N33" s="3" t="inlineStr">
        <is>
          <t>Very High</t>
        </is>
      </c>
      <c r="O33" s="3" t="inlineStr">
        <is>
          <t>High</t>
        </is>
      </c>
      <c r="P33" s="3" t="inlineStr">
        <is>
          <t>Very Low</t>
        </is>
      </c>
      <c r="Q33" s="15">
        <f>R33/G33/I33*305.404360189573</f>
        <v/>
      </c>
      <c r="R33" s="16" t="n">
        <v>0.192777777777778</v>
      </c>
      <c r="S33" s="16" t="n">
        <v>1.068708333</v>
      </c>
      <c r="T33" s="4" t="n">
        <v>0.8761272718306615</v>
      </c>
      <c r="U33" s="4" t="n">
        <v>0.8292145361026606</v>
      </c>
      <c r="V33" s="4" t="n">
        <v>489.49</v>
      </c>
      <c r="W33" s="4" t="n">
        <v>402</v>
      </c>
      <c r="X33" s="4" t="n">
        <v>584.5</v>
      </c>
      <c r="Y33" s="4" t="n">
        <v>620</v>
      </c>
      <c r="Z33" s="4" t="n">
        <v>89</v>
      </c>
      <c r="AA33" s="160" t="n">
        <v>485</v>
      </c>
    </row>
    <row r="34" ht="14.25" customHeight="1" s="267">
      <c r="A34" s="4" t="inlineStr">
        <is>
          <t>Magny Cours</t>
        </is>
      </c>
      <c r="B34" s="3" t="n">
        <v>12</v>
      </c>
      <c r="C34" s="3" t="n">
        <v>8</v>
      </c>
      <c r="D34" s="3" t="n">
        <v>11</v>
      </c>
      <c r="E34" s="3" t="n">
        <v>305.8</v>
      </c>
      <c r="F34" s="3" t="n">
        <v>72</v>
      </c>
      <c r="G34" s="3" t="n">
        <v>4.247</v>
      </c>
      <c r="H34" s="3" t="n">
        <v>207.82</v>
      </c>
      <c r="I34" s="3" t="n">
        <v>14</v>
      </c>
      <c r="J34" s="3" t="n">
        <v>18</v>
      </c>
      <c r="K34" s="3" t="inlineStr">
        <is>
          <t>Medium</t>
        </is>
      </c>
      <c r="L34" s="3" t="inlineStr">
        <is>
          <t>Hard</t>
        </is>
      </c>
      <c r="M34" s="3" t="inlineStr">
        <is>
          <t>Medium</t>
        </is>
      </c>
      <c r="N34" s="3" t="inlineStr">
        <is>
          <t>Medium</t>
        </is>
      </c>
      <c r="O34" s="3" t="inlineStr">
        <is>
          <t>Medium</t>
        </is>
      </c>
      <c r="P34" s="3" t="inlineStr">
        <is>
          <t>High</t>
        </is>
      </c>
      <c r="Q34" s="15">
        <f>R34/G34/I34*305.404360189573</f>
        <v/>
      </c>
      <c r="R34" s="16" t="n">
        <v>0.285</v>
      </c>
      <c r="S34" s="16" t="n">
        <v>1.139613636</v>
      </c>
      <c r="T34" s="4" t="n">
        <v>0.8382974109734187</v>
      </c>
      <c r="U34" s="4" t="n">
        <v>0.8</v>
      </c>
      <c r="V34" s="4" t="n">
        <v>453.84</v>
      </c>
      <c r="W34" s="4" t="n">
        <v>565</v>
      </c>
      <c r="X34" s="4" t="n">
        <v>296.5</v>
      </c>
      <c r="Y34" s="4" t="n">
        <v>590</v>
      </c>
      <c r="Z34" s="4" t="n">
        <v>562.1900000000001</v>
      </c>
      <c r="AA34" s="160" t="n">
        <v>-183</v>
      </c>
    </row>
    <row r="35" ht="14.25" customHeight="1" s="267">
      <c r="A35" s="4" t="inlineStr">
        <is>
          <t>Melbourne</t>
        </is>
      </c>
      <c r="B35" s="3" t="n">
        <v>12</v>
      </c>
      <c r="C35" s="3" t="n">
        <v>15</v>
      </c>
      <c r="D35" s="3" t="n">
        <v>10</v>
      </c>
      <c r="E35" s="3" t="n">
        <v>307.6</v>
      </c>
      <c r="F35" s="3" t="n">
        <v>58</v>
      </c>
      <c r="G35" s="3" t="n">
        <v>5.303</v>
      </c>
      <c r="H35" s="3" t="n">
        <v>220.25</v>
      </c>
      <c r="I35" s="3" t="n">
        <v>17</v>
      </c>
      <c r="J35" s="3" t="n">
        <v>16.5</v>
      </c>
      <c r="K35" s="3" t="inlineStr">
        <is>
          <t>Medium</t>
        </is>
      </c>
      <c r="L35" s="3" t="inlineStr">
        <is>
          <t>Hard</t>
        </is>
      </c>
      <c r="M35" s="3" t="inlineStr">
        <is>
          <t>Soft</t>
        </is>
      </c>
      <c r="N35" s="3" t="inlineStr">
        <is>
          <t>Medium</t>
        </is>
      </c>
      <c r="O35" s="3" t="inlineStr">
        <is>
          <t>Medium</t>
        </is>
      </c>
      <c r="P35" s="3" t="inlineStr">
        <is>
          <t>Low</t>
        </is>
      </c>
      <c r="Q35" s="15">
        <f>R35/G35/I35*305.404360189573</f>
        <v/>
      </c>
      <c r="R35" s="16" t="n">
        <v>0.4275</v>
      </c>
      <c r="S35" s="16" t="n">
        <v>1.149711538</v>
      </c>
      <c r="T35" s="4" t="n">
        <v>0.8361367655429836</v>
      </c>
      <c r="U35" s="4" t="n">
        <v>0.5806062733471051</v>
      </c>
      <c r="V35" s="4" t="n">
        <v>391.5</v>
      </c>
      <c r="W35" s="4" t="n">
        <v>621</v>
      </c>
      <c r="X35" s="4" t="n">
        <v>612.5</v>
      </c>
      <c r="Y35" s="4" t="n">
        <v>755</v>
      </c>
      <c r="Z35" s="4" t="n">
        <v>296.19</v>
      </c>
      <c r="AA35" s="160" t="n">
        <v>202</v>
      </c>
    </row>
    <row r="36" ht="14.25" customHeight="1" s="267">
      <c r="A36" s="4" t="inlineStr">
        <is>
          <t>Mexico City</t>
        </is>
      </c>
      <c r="B36" s="3" t="n">
        <v>13</v>
      </c>
      <c r="C36" s="3" t="n">
        <v>12</v>
      </c>
      <c r="D36" s="3" t="n">
        <v>7</v>
      </c>
      <c r="E36" s="3" t="n">
        <v>305</v>
      </c>
      <c r="F36" s="3" t="n">
        <v>69</v>
      </c>
      <c r="G36" s="3" t="n">
        <v>4.42</v>
      </c>
      <c r="H36" s="3" t="n">
        <v>224.8</v>
      </c>
      <c r="I36" s="3" t="n">
        <v>9</v>
      </c>
      <c r="J36" s="3" t="n">
        <v>24</v>
      </c>
      <c r="K36" s="3" t="inlineStr">
        <is>
          <t>Medium</t>
        </is>
      </c>
      <c r="L36" s="3" t="inlineStr">
        <is>
          <t>Hard</t>
        </is>
      </c>
      <c r="M36" s="3" t="inlineStr">
        <is>
          <t>Soft</t>
        </is>
      </c>
      <c r="N36" s="3" t="inlineStr">
        <is>
          <t>Low</t>
        </is>
      </c>
      <c r="O36" s="3" t="inlineStr">
        <is>
          <t>Medium</t>
        </is>
      </c>
      <c r="P36" s="3" t="inlineStr">
        <is>
          <t>Normal</t>
        </is>
      </c>
      <c r="Q36" s="15">
        <f>R36/G36/I36*305.404360189573</f>
        <v/>
      </c>
      <c r="R36" s="16" t="n">
        <v>0.18</v>
      </c>
      <c r="S36" s="16" t="n">
        <v>1.204035714</v>
      </c>
      <c r="T36" s="4" t="n">
        <v>0.8066212548120661</v>
      </c>
      <c r="U36" s="4" t="n">
        <v>0.7795478346844252</v>
      </c>
      <c r="V36" s="4" t="n">
        <v>638.9400000000001</v>
      </c>
      <c r="W36" s="4" t="n">
        <v>700</v>
      </c>
      <c r="X36" s="4" t="n">
        <v>466.5</v>
      </c>
      <c r="Y36" s="4" t="n">
        <v>670</v>
      </c>
      <c r="Z36" s="4" t="n">
        <v>320.19</v>
      </c>
      <c r="AA36" s="160" t="n">
        <v>215</v>
      </c>
    </row>
    <row r="37" ht="14.25" customHeight="1" s="267">
      <c r="A37" s="4" t="inlineStr">
        <is>
          <t>Monte Carlo</t>
        </is>
      </c>
      <c r="B37" s="3" t="n">
        <v>7</v>
      </c>
      <c r="C37" s="3" t="n">
        <v>7</v>
      </c>
      <c r="D37" s="3" t="n">
        <v>12</v>
      </c>
      <c r="E37" s="3" t="n">
        <v>262.8</v>
      </c>
      <c r="F37" s="3" t="n">
        <v>78</v>
      </c>
      <c r="G37" s="3" t="n">
        <v>3.369</v>
      </c>
      <c r="H37" s="3" t="n">
        <v>153.63</v>
      </c>
      <c r="I37" s="3" t="n">
        <v>19</v>
      </c>
      <c r="J37" s="3" t="n">
        <v>18</v>
      </c>
      <c r="K37" s="3" t="inlineStr">
        <is>
          <t>High</t>
        </is>
      </c>
      <c r="L37" s="3" t="inlineStr">
        <is>
          <t>Very Hard</t>
        </is>
      </c>
      <c r="M37" s="3" t="inlineStr">
        <is>
          <t>Medium</t>
        </is>
      </c>
      <c r="N37" s="3" t="inlineStr">
        <is>
          <t>Low</t>
        </is>
      </c>
      <c r="O37" s="3" t="inlineStr">
        <is>
          <t>Medium</t>
        </is>
      </c>
      <c r="P37" s="3" t="inlineStr">
        <is>
          <t>Normal</t>
        </is>
      </c>
      <c r="Q37" s="15">
        <f>R37/G37/I37*305.404360189573</f>
        <v/>
      </c>
      <c r="R37" s="16" t="n">
        <v>0.265</v>
      </c>
      <c r="S37" s="16" t="n">
        <v>1.232736486</v>
      </c>
      <c r="T37" s="4" t="n">
        <v>0.792770281149786</v>
      </c>
      <c r="U37" s="4" t="n">
        <v>0.7390637983920657</v>
      </c>
      <c r="V37" s="4" t="n">
        <v>1029.71</v>
      </c>
      <c r="W37" s="4" t="n">
        <v>373</v>
      </c>
      <c r="X37" s="4" t="n">
        <v>472.5</v>
      </c>
      <c r="Y37" s="4" t="n">
        <v>374</v>
      </c>
      <c r="Z37" s="4" t="n">
        <v>496.19</v>
      </c>
      <c r="AA37" s="160" t="n">
        <v>163</v>
      </c>
    </row>
    <row r="38" ht="14.25" customHeight="1" s="267">
      <c r="A38" s="4" t="inlineStr">
        <is>
          <t>Montreal</t>
        </is>
      </c>
      <c r="B38" s="3" t="n">
        <v>12</v>
      </c>
      <c r="C38" s="3" t="n">
        <v>7</v>
      </c>
      <c r="D38" s="3" t="n">
        <v>13</v>
      </c>
      <c r="E38" s="3" t="n">
        <v>305</v>
      </c>
      <c r="F38" s="3" t="n">
        <v>69</v>
      </c>
      <c r="G38" s="3" t="n">
        <v>4.42</v>
      </c>
      <c r="H38" s="3" t="n">
        <v>208.55</v>
      </c>
      <c r="I38" s="3" t="n">
        <v>12</v>
      </c>
      <c r="J38" s="3" t="n">
        <v>16.5</v>
      </c>
      <c r="K38" s="3" t="inlineStr">
        <is>
          <t>Medium</t>
        </is>
      </c>
      <c r="L38" s="3" t="inlineStr">
        <is>
          <t>Normal</t>
        </is>
      </c>
      <c r="M38" s="3" t="inlineStr">
        <is>
          <t>Soft</t>
        </is>
      </c>
      <c r="N38" s="3" t="inlineStr">
        <is>
          <t>Medium</t>
        </is>
      </c>
      <c r="O38" s="3" t="inlineStr">
        <is>
          <t>Medium</t>
        </is>
      </c>
      <c r="P38" s="3" t="inlineStr">
        <is>
          <t>Very Low</t>
        </is>
      </c>
      <c r="Q38" s="15">
        <f>R38/G38/I38*305.404360189573</f>
        <v/>
      </c>
      <c r="R38" s="16" t="n">
        <v>0.2235294117647058</v>
      </c>
      <c r="S38" s="16" t="n">
        <v>1.146901316</v>
      </c>
      <c r="T38" s="4" t="n">
        <v>0.8342187377180503</v>
      </c>
      <c r="U38" s="4" t="n">
        <v>0.8290718815562915</v>
      </c>
      <c r="V38" s="4" t="n">
        <v>340.04</v>
      </c>
      <c r="W38" s="4" t="n">
        <v>677</v>
      </c>
      <c r="X38" s="4" t="n">
        <v>566.5</v>
      </c>
      <c r="Y38" s="4" t="n">
        <v>718</v>
      </c>
      <c r="Z38" s="4" t="n">
        <v>236.19</v>
      </c>
      <c r="AA38" s="160" t="n">
        <v>285</v>
      </c>
    </row>
    <row r="39" ht="14.25" customHeight="1" s="267">
      <c r="A39" s="4" t="inlineStr">
        <is>
          <t>Monza</t>
        </is>
      </c>
      <c r="B39" s="3" t="n">
        <v>17</v>
      </c>
      <c r="C39" s="3" t="n">
        <v>12</v>
      </c>
      <c r="D39" s="3" t="n">
        <v>9</v>
      </c>
      <c r="E39" s="3" t="n">
        <v>306.7</v>
      </c>
      <c r="F39" s="3" t="n">
        <v>53</v>
      </c>
      <c r="G39" s="3" t="n">
        <v>5.787</v>
      </c>
      <c r="H39" s="3" t="n">
        <v>258.83</v>
      </c>
      <c r="I39" s="3" t="n">
        <v>13</v>
      </c>
      <c r="J39" s="3" t="n">
        <v>25.5</v>
      </c>
      <c r="K39" s="3" t="inlineStr">
        <is>
          <t>Low</t>
        </is>
      </c>
      <c r="L39" s="3" t="inlineStr">
        <is>
          <t>Easy</t>
        </is>
      </c>
      <c r="M39" s="3" t="inlineStr">
        <is>
          <t>Medium</t>
        </is>
      </c>
      <c r="N39" s="3" t="inlineStr">
        <is>
          <t>Very High</t>
        </is>
      </c>
      <c r="O39" s="3" t="inlineStr">
        <is>
          <t>Medium</t>
        </is>
      </c>
      <c r="P39" s="3" t="inlineStr">
        <is>
          <t>Very Low</t>
        </is>
      </c>
      <c r="Q39" s="15">
        <f>R39/G39/I39*305.404360189573</f>
        <v/>
      </c>
      <c r="R39" s="16" t="n">
        <v>0.3235714285714286</v>
      </c>
      <c r="S39" s="16" t="n">
        <v>1.054653846</v>
      </c>
      <c r="T39" s="4" t="n">
        <v>0.8853916287502853</v>
      </c>
      <c r="U39" s="4" t="n">
        <v>1</v>
      </c>
      <c r="V39" s="4" t="n">
        <v>131.63</v>
      </c>
      <c r="W39" s="4" t="n">
        <v>738</v>
      </c>
      <c r="X39" s="4" t="n">
        <v>496.5</v>
      </c>
      <c r="Y39" s="4" t="n">
        <v>870</v>
      </c>
      <c r="Z39" s="4" t="n">
        <v>610.1900000000001</v>
      </c>
      <c r="AA39" s="160" t="n">
        <v>80</v>
      </c>
    </row>
    <row r="40" ht="14.25" customHeight="1" s="267">
      <c r="A40" s="4" t="inlineStr">
        <is>
          <t>Mugello</t>
        </is>
      </c>
      <c r="B40" s="3" t="n">
        <v>11</v>
      </c>
      <c r="C40" s="3" t="n">
        <v>13</v>
      </c>
      <c r="D40" s="3" t="n">
        <v>12</v>
      </c>
      <c r="E40" s="3" t="n">
        <v>304.3</v>
      </c>
      <c r="F40" s="3" t="n">
        <v>58</v>
      </c>
      <c r="G40" s="3" t="n">
        <v>5.247</v>
      </c>
      <c r="H40" s="3" t="n">
        <v>246.56</v>
      </c>
      <c r="I40" s="3" t="n">
        <v>14</v>
      </c>
      <c r="J40" s="3" t="n">
        <v>13.5</v>
      </c>
      <c r="K40" s="3" t="inlineStr">
        <is>
          <t>Medium</t>
        </is>
      </c>
      <c r="L40" s="3" t="inlineStr">
        <is>
          <t>Hard</t>
        </is>
      </c>
      <c r="M40" s="3" t="inlineStr">
        <is>
          <t>Medium</t>
        </is>
      </c>
      <c r="N40" s="3" t="inlineStr">
        <is>
          <t>Medium</t>
        </is>
      </c>
      <c r="O40" s="3" t="inlineStr">
        <is>
          <t>Medium</t>
        </is>
      </c>
      <c r="P40" s="3" t="inlineStr">
        <is>
          <t>High</t>
        </is>
      </c>
      <c r="Q40" s="15">
        <f>R40/G40/I40*305.404360189573</f>
        <v/>
      </c>
      <c r="R40" s="16" t="n">
        <v>0.325</v>
      </c>
      <c r="S40" s="16" t="n">
        <v>1.165</v>
      </c>
      <c r="T40" s="4" t="n">
        <v>0.8277732414441027</v>
      </c>
      <c r="U40" s="4" t="n">
        <v>0.6899999999999999</v>
      </c>
      <c r="V40" s="4" t="n">
        <v>518.28</v>
      </c>
      <c r="W40" s="4" t="n">
        <v>796</v>
      </c>
      <c r="X40" s="4" t="n">
        <v>1034.57</v>
      </c>
      <c r="Y40" s="4" t="n">
        <v>899</v>
      </c>
      <c r="Z40" s="4" t="n">
        <v>590.1900000000001</v>
      </c>
      <c r="AA40" s="160" t="n">
        <v>490</v>
      </c>
    </row>
    <row r="41" ht="14.25" customHeight="1" s="267">
      <c r="A41" s="4" t="inlineStr">
        <is>
          <t>New Delhi</t>
        </is>
      </c>
      <c r="B41" s="3" t="n">
        <v>11</v>
      </c>
      <c r="C41" s="3" t="n">
        <v>15</v>
      </c>
      <c r="D41" s="3" t="n">
        <v>10</v>
      </c>
      <c r="E41" s="3" t="n">
        <v>308.2</v>
      </c>
      <c r="F41" s="3" t="n">
        <v>60</v>
      </c>
      <c r="G41" s="3" t="n">
        <v>5.137</v>
      </c>
      <c r="H41" s="3" t="inlineStr">
        <is>
          <t>?</t>
        </is>
      </c>
      <c r="I41" s="3" t="n">
        <v>16</v>
      </c>
      <c r="J41" s="3" t="n">
        <v>19</v>
      </c>
      <c r="K41" s="3" t="inlineStr">
        <is>
          <t>Medium</t>
        </is>
      </c>
      <c r="L41" s="3" t="inlineStr">
        <is>
          <t>Normal</t>
        </is>
      </c>
      <c r="M41" s="3" t="inlineStr">
        <is>
          <t>Soft</t>
        </is>
      </c>
      <c r="N41" s="3" t="inlineStr">
        <is>
          <t>Medium</t>
        </is>
      </c>
      <c r="O41" s="3" t="inlineStr">
        <is>
          <t>Very High</t>
        </is>
      </c>
      <c r="P41" s="3" t="inlineStr">
        <is>
          <t>Very Low</t>
        </is>
      </c>
      <c r="Q41" s="15">
        <f>R41/G41/I41*305.404360189573</f>
        <v/>
      </c>
      <c r="R41" s="16" t="n">
        <v>0.459375</v>
      </c>
      <c r="S41" s="16" t="n">
        <v>1.167</v>
      </c>
      <c r="T41" s="4" t="n">
        <v>0.816152</v>
      </c>
      <c r="U41" s="4" t="n">
        <v>0.8915308998784659</v>
      </c>
      <c r="V41" s="4" t="n">
        <v>651.5</v>
      </c>
      <c r="W41" s="4" t="n">
        <v>558</v>
      </c>
      <c r="X41" s="4" t="n">
        <v>560</v>
      </c>
      <c r="Y41" s="4" t="n">
        <v>720</v>
      </c>
      <c r="Z41" s="4" t="n">
        <v>149.19</v>
      </c>
      <c r="AA41" s="160" t="n">
        <v>543</v>
      </c>
    </row>
    <row r="42" ht="14.25" customHeight="1" s="267">
      <c r="A42" s="4" t="inlineStr">
        <is>
          <t>Nurburgring</t>
        </is>
      </c>
      <c r="B42" s="3" t="n">
        <v>12</v>
      </c>
      <c r="C42" s="3" t="n">
        <v>12</v>
      </c>
      <c r="D42" s="3" t="n">
        <v>13</v>
      </c>
      <c r="E42" s="3" t="n">
        <v>308.7</v>
      </c>
      <c r="F42" s="3" t="n">
        <v>60</v>
      </c>
      <c r="G42" s="3" t="n">
        <v>5.145</v>
      </c>
      <c r="H42" s="3" t="n">
        <v>224.22</v>
      </c>
      <c r="I42" s="3" t="n">
        <v>16</v>
      </c>
      <c r="J42" s="3" t="n">
        <v>15</v>
      </c>
      <c r="K42" s="3" t="inlineStr">
        <is>
          <t>Medium</t>
        </is>
      </c>
      <c r="L42" s="3" t="inlineStr">
        <is>
          <t>Normal</t>
        </is>
      </c>
      <c r="M42" s="3" t="inlineStr">
        <is>
          <t>Soft</t>
        </is>
      </c>
      <c r="N42" s="3" t="inlineStr">
        <is>
          <t>Very Low</t>
        </is>
      </c>
      <c r="O42" s="3" t="inlineStr">
        <is>
          <t>Low</t>
        </is>
      </c>
      <c r="P42" s="3" t="inlineStr">
        <is>
          <t>Normal</t>
        </is>
      </c>
      <c r="Q42" s="15">
        <f>R42/G42/I42*305.404360189573</f>
        <v/>
      </c>
      <c r="R42" s="16" t="n">
        <v>0.3226566000000001</v>
      </c>
      <c r="S42" s="16" t="n">
        <v>1.295147059</v>
      </c>
      <c r="T42" s="4" t="n">
        <v>0.7669859741678431</v>
      </c>
      <c r="U42" s="4" t="n">
        <v>1</v>
      </c>
      <c r="V42" s="4" t="n">
        <v>656.76</v>
      </c>
      <c r="W42" s="4" t="n">
        <v>452</v>
      </c>
      <c r="X42" s="4" t="n">
        <v>626.5</v>
      </c>
      <c r="Y42" s="4" t="n">
        <v>599</v>
      </c>
      <c r="Z42" s="4" t="n">
        <v>150.19</v>
      </c>
      <c r="AA42" s="160" t="n">
        <v>-220</v>
      </c>
    </row>
    <row r="43" ht="14.25" customHeight="1" s="267">
      <c r="A43" s="4" t="inlineStr">
        <is>
          <t>Oesterreichring</t>
        </is>
      </c>
      <c r="B43" s="3" t="n">
        <v>19</v>
      </c>
      <c r="C43" s="3" t="n">
        <v>14</v>
      </c>
      <c r="D43" s="3" t="n">
        <v>9</v>
      </c>
      <c r="E43" s="3" t="n">
        <v>308.9</v>
      </c>
      <c r="F43" s="3" t="n">
        <v>52</v>
      </c>
      <c r="G43" s="3" t="n">
        <v>5.94</v>
      </c>
      <c r="H43" s="3" t="n">
        <v>269.24</v>
      </c>
      <c r="I43" s="3" t="n">
        <v>11</v>
      </c>
      <c r="J43" s="3" t="n">
        <v>21</v>
      </c>
      <c r="K43" s="3" t="inlineStr">
        <is>
          <t>Medium</t>
        </is>
      </c>
      <c r="L43" s="3" t="inlineStr">
        <is>
          <t>Easy</t>
        </is>
      </c>
      <c r="M43" s="3" t="inlineStr">
        <is>
          <t>Medium</t>
        </is>
      </c>
      <c r="N43" s="3" t="inlineStr">
        <is>
          <t>High</t>
        </is>
      </c>
      <c r="O43" s="3" t="inlineStr">
        <is>
          <t>Medium</t>
        </is>
      </c>
      <c r="P43" s="3" t="inlineStr">
        <is>
          <t>Low</t>
        </is>
      </c>
      <c r="Q43" s="15">
        <f>R43/G43/I43*305.404360189573</f>
        <v/>
      </c>
      <c r="R43" s="16" t="n">
        <v>0.2885714285714287</v>
      </c>
      <c r="S43" s="16" t="n">
        <v>1.12171</v>
      </c>
      <c r="T43" s="4" t="n">
        <v>0.845986</v>
      </c>
      <c r="U43" s="4" t="n">
        <v>0.7001055565002008</v>
      </c>
      <c r="V43" s="4" t="n">
        <v>437.39</v>
      </c>
      <c r="W43" s="4" t="n">
        <v>678</v>
      </c>
      <c r="X43" s="4" t="n">
        <v>496.5</v>
      </c>
      <c r="Y43" s="4" t="n">
        <v>730</v>
      </c>
      <c r="Z43" s="4" t="n">
        <v>510.19</v>
      </c>
      <c r="AA43" s="160" t="n">
        <v>20</v>
      </c>
    </row>
    <row r="44" ht="14.25" customHeight="1" s="267">
      <c r="A44" s="4" t="inlineStr">
        <is>
          <t>Paul Ricard</t>
        </is>
      </c>
      <c r="B44" s="3" t="n">
        <v>9</v>
      </c>
      <c r="C44" s="3" t="n">
        <v>11</v>
      </c>
      <c r="D44" s="3" t="n">
        <v>8</v>
      </c>
      <c r="E44" s="3" t="n">
        <v>305</v>
      </c>
      <c r="F44" s="3" t="n">
        <v>79</v>
      </c>
      <c r="G44" s="3" t="n">
        <v>3.861</v>
      </c>
      <c r="H44" s="3" t="n">
        <v>224.11</v>
      </c>
      <c r="I44" s="3" t="n">
        <v>11</v>
      </c>
      <c r="J44" s="3" t="n">
        <v>19.5</v>
      </c>
      <c r="K44" s="3" t="inlineStr">
        <is>
          <t>Medium</t>
        </is>
      </c>
      <c r="L44" s="3" t="inlineStr">
        <is>
          <t>Easy</t>
        </is>
      </c>
      <c r="M44" s="3" t="inlineStr">
        <is>
          <t>Medium</t>
        </is>
      </c>
      <c r="N44" s="3" t="inlineStr">
        <is>
          <t>High</t>
        </is>
      </c>
      <c r="O44" s="3" t="inlineStr">
        <is>
          <t>Very High</t>
        </is>
      </c>
      <c r="P44" s="3" t="inlineStr">
        <is>
          <t>Very High</t>
        </is>
      </c>
      <c r="Q44" s="15">
        <f>R44/G44/I44*305.404360189573</f>
        <v/>
      </c>
      <c r="R44" s="16" t="n">
        <v>0.236</v>
      </c>
      <c r="S44" s="16" t="n">
        <v>1.072895833</v>
      </c>
      <c r="T44" s="4" t="n">
        <v>0.871792999895581</v>
      </c>
      <c r="U44" s="4" t="n">
        <v>0.7672542912634914</v>
      </c>
      <c r="V44" s="4" t="n">
        <v>364.72</v>
      </c>
      <c r="W44" s="4" t="n">
        <v>733</v>
      </c>
      <c r="X44" s="4" t="n">
        <v>300.5</v>
      </c>
      <c r="Y44" s="4" t="n">
        <v>784</v>
      </c>
      <c r="Z44" s="4" t="n">
        <v>574.1900000000001</v>
      </c>
      <c r="AA44" s="160" t="n">
        <v>-262</v>
      </c>
    </row>
    <row r="45" ht="14.25" customHeight="1" s="267">
      <c r="A45" s="4" t="inlineStr">
        <is>
          <t>Portimao</t>
        </is>
      </c>
      <c r="B45" s="3" t="n">
        <v>9</v>
      </c>
      <c r="C45" s="3" t="n">
        <v>14</v>
      </c>
      <c r="D45" s="3" t="n">
        <v>11</v>
      </c>
      <c r="E45" s="3" t="n">
        <v>309.7</v>
      </c>
      <c r="F45" s="3" t="n">
        <v>66</v>
      </c>
      <c r="G45" s="3" t="n">
        <v>4.692</v>
      </c>
      <c r="H45" s="3" t="inlineStr">
        <is>
          <t>?</t>
        </is>
      </c>
      <c r="I45" s="3" t="n">
        <v>18</v>
      </c>
      <c r="J45" s="3" t="n">
        <v>15.5</v>
      </c>
      <c r="K45" s="3" t="inlineStr">
        <is>
          <t>High</t>
        </is>
      </c>
      <c r="L45" s="3" t="inlineStr">
        <is>
          <t>Easy</t>
        </is>
      </c>
      <c r="M45" s="3" t="inlineStr">
        <is>
          <t>Soft</t>
        </is>
      </c>
      <c r="N45" s="3" t="inlineStr">
        <is>
          <t>Medium</t>
        </is>
      </c>
      <c r="O45" s="3" t="inlineStr">
        <is>
          <t>High</t>
        </is>
      </c>
      <c r="P45" s="3" t="inlineStr">
        <is>
          <t>Low</t>
        </is>
      </c>
      <c r="Q45" s="15">
        <f>R45/G45/I45*305.404360189573</f>
        <v/>
      </c>
      <c r="R45" s="16">
        <f>0.461206896551724-0.05</f>
        <v/>
      </c>
      <c r="S45" s="16" t="n">
        <v>1.2</v>
      </c>
      <c r="T45" s="4" t="n">
        <v>0.8159982590120567</v>
      </c>
      <c r="U45" s="4" t="n">
        <v>0.8152826933571459</v>
      </c>
      <c r="V45" s="4" t="n">
        <v>792</v>
      </c>
      <c r="W45" s="4" t="n">
        <v>394</v>
      </c>
      <c r="X45" s="4" t="n">
        <v>488</v>
      </c>
      <c r="Y45" s="4" t="n">
        <v>489</v>
      </c>
      <c r="Z45" s="4" t="n">
        <v>295</v>
      </c>
      <c r="AA45" s="160" t="n">
        <v>-97</v>
      </c>
    </row>
    <row r="46" ht="14.25" customHeight="1" s="267">
      <c r="A46" s="4" t="inlineStr">
        <is>
          <t>Poznan</t>
        </is>
      </c>
      <c r="B46" s="3" t="n">
        <v>7</v>
      </c>
      <c r="C46" s="3" t="n">
        <v>14</v>
      </c>
      <c r="D46" s="3" t="n">
        <v>8</v>
      </c>
      <c r="E46" s="3" t="n">
        <v>306.2</v>
      </c>
      <c r="F46" s="3" t="n">
        <v>75</v>
      </c>
      <c r="G46" s="3" t="n">
        <v>4.083</v>
      </c>
      <c r="H46" s="3" t="n">
        <v>210.39</v>
      </c>
      <c r="I46" s="3" t="n">
        <v>14</v>
      </c>
      <c r="J46" s="3" t="n">
        <v>14</v>
      </c>
      <c r="K46" s="3" t="inlineStr">
        <is>
          <t>Medium</t>
        </is>
      </c>
      <c r="L46" s="3" t="inlineStr">
        <is>
          <t>Hard</t>
        </is>
      </c>
      <c r="M46" s="3" t="inlineStr">
        <is>
          <t>Medium</t>
        </is>
      </c>
      <c r="N46" s="3" t="inlineStr">
        <is>
          <t>Low</t>
        </is>
      </c>
      <c r="O46" s="3" t="inlineStr">
        <is>
          <t>Medium</t>
        </is>
      </c>
      <c r="P46" s="3" t="inlineStr">
        <is>
          <t>Normal</t>
        </is>
      </c>
      <c r="Q46" s="15">
        <f>R46/G46/I46*305.404360189573</f>
        <v/>
      </c>
      <c r="R46" s="16" t="n">
        <v>0.2408958333333333</v>
      </c>
      <c r="S46" s="16" t="n">
        <v>1.243025</v>
      </c>
      <c r="T46" s="4" t="n">
        <v>0.7921907438879483</v>
      </c>
      <c r="U46" s="4" t="n">
        <v>0.83</v>
      </c>
      <c r="V46" s="4" t="n">
        <v>734.92</v>
      </c>
      <c r="W46" s="4" t="n">
        <v>548</v>
      </c>
      <c r="X46" s="4" t="n">
        <v>378.5</v>
      </c>
      <c r="Y46" s="4" t="n">
        <v>724</v>
      </c>
      <c r="Z46" s="4" t="n">
        <v>530.1900000000001</v>
      </c>
      <c r="AA46" s="160" t="n">
        <v>-74</v>
      </c>
    </row>
    <row r="47" ht="14.25" customHeight="1" s="267">
      <c r="A47" s="4" t="inlineStr">
        <is>
          <t>Rafaela Oval</t>
        </is>
      </c>
      <c r="B47" s="3" t="n">
        <v>18</v>
      </c>
      <c r="C47" s="3" t="n">
        <v>10</v>
      </c>
      <c r="D47" s="3" t="n">
        <v>6</v>
      </c>
      <c r="E47" s="3" t="n">
        <v>317.3</v>
      </c>
      <c r="F47" s="3" t="n">
        <v>67</v>
      </c>
      <c r="G47" s="3" t="n">
        <v>4.736</v>
      </c>
      <c r="H47" s="3" t="inlineStr">
        <is>
          <t>?</t>
        </is>
      </c>
      <c r="I47" s="3" t="n">
        <v>8</v>
      </c>
      <c r="J47" s="3" t="n">
        <v>10</v>
      </c>
      <c r="K47" s="3" t="inlineStr">
        <is>
          <t>Low</t>
        </is>
      </c>
      <c r="L47" s="3" t="inlineStr">
        <is>
          <t>Very Easy</t>
        </is>
      </c>
      <c r="M47" s="3" t="inlineStr">
        <is>
          <t>Medium</t>
        </is>
      </c>
      <c r="N47" s="3" t="inlineStr">
        <is>
          <t>Very High</t>
        </is>
      </c>
      <c r="O47" s="3" t="inlineStr">
        <is>
          <t>HIgh</t>
        </is>
      </c>
      <c r="P47" s="3" t="inlineStr">
        <is>
          <t>Normal</t>
        </is>
      </c>
      <c r="Q47" s="15">
        <f>R47/G47/I47*305.404360189573</f>
        <v/>
      </c>
      <c r="R47" s="16" t="n">
        <v>0.186</v>
      </c>
      <c r="S47" s="16" t="n">
        <v>1.027</v>
      </c>
      <c r="T47" s="4" t="n">
        <v>0.882953</v>
      </c>
      <c r="U47" s="4" t="n">
        <v>0.8116513785843537</v>
      </c>
      <c r="V47" s="4" t="n">
        <v>167.3876307084934</v>
      </c>
      <c r="W47" s="4" t="n">
        <v>551.0346534653465</v>
      </c>
      <c r="X47" s="4" t="n">
        <v>200.8989898989899</v>
      </c>
      <c r="Y47" s="4" t="n">
        <v>704.439393939394</v>
      </c>
      <c r="Z47" s="4" t="n">
        <v>262.0082424242424</v>
      </c>
      <c r="AA47" s="160" t="n">
        <v>-60</v>
      </c>
    </row>
    <row r="48" ht="14.25" customHeight="1" s="267">
      <c r="A48" s="4" t="inlineStr">
        <is>
          <t>Sakhir</t>
        </is>
      </c>
      <c r="B48" s="3" t="n">
        <v>16</v>
      </c>
      <c r="C48" s="3" t="n">
        <v>11</v>
      </c>
      <c r="D48" s="3" t="n">
        <v>9</v>
      </c>
      <c r="E48" s="3" t="n">
        <v>308.5</v>
      </c>
      <c r="F48" s="3" t="n">
        <v>57</v>
      </c>
      <c r="G48" s="3" t="n">
        <v>5.412</v>
      </c>
      <c r="H48" s="3" t="n">
        <v>237.09</v>
      </c>
      <c r="I48" s="3" t="n">
        <v>14</v>
      </c>
      <c r="J48" s="3" t="n">
        <v>25.5</v>
      </c>
      <c r="K48" s="3" t="inlineStr">
        <is>
          <t>Low</t>
        </is>
      </c>
      <c r="L48" s="3" t="inlineStr">
        <is>
          <t>Normal</t>
        </is>
      </c>
      <c r="M48" s="3" t="inlineStr">
        <is>
          <t>Soft</t>
        </is>
      </c>
      <c r="N48" s="3" t="inlineStr">
        <is>
          <t>Very High</t>
        </is>
      </c>
      <c r="O48" s="3" t="inlineStr">
        <is>
          <t>Medium</t>
        </is>
      </c>
      <c r="P48" s="3" t="inlineStr">
        <is>
          <t>Very High</t>
        </is>
      </c>
      <c r="Q48" s="15">
        <f>R48/G48/I48*305.404360189573</f>
        <v/>
      </c>
      <c r="R48" s="16" t="n">
        <v>0.315</v>
      </c>
      <c r="S48" s="16" t="n">
        <v>1.0345</v>
      </c>
      <c r="T48" s="4" t="n">
        <v>0.8972859569484034</v>
      </c>
      <c r="U48" s="4" t="n">
        <v>0.7227981775763582</v>
      </c>
      <c r="V48" s="4" t="n">
        <v>133</v>
      </c>
      <c r="W48" s="4" t="n">
        <v>407</v>
      </c>
      <c r="X48" s="4" t="n">
        <v>716.5</v>
      </c>
      <c r="Y48" s="4" t="n">
        <v>610</v>
      </c>
      <c r="Z48" s="4" t="n">
        <v>240.19</v>
      </c>
      <c r="AA48" s="160" t="n">
        <v>140</v>
      </c>
    </row>
    <row r="49" ht="14.25" customHeight="1" s="267">
      <c r="A49" s="4" t="inlineStr">
        <is>
          <t>Sepang</t>
        </is>
      </c>
      <c r="B49" s="3" t="n">
        <v>14</v>
      </c>
      <c r="C49" s="3" t="n">
        <v>11</v>
      </c>
      <c r="D49" s="3" t="n">
        <v>14</v>
      </c>
      <c r="E49" s="3" t="n">
        <v>310.4</v>
      </c>
      <c r="F49" s="3" t="n">
        <v>55</v>
      </c>
      <c r="G49" s="3" t="n">
        <v>5.644</v>
      </c>
      <c r="H49" s="3" t="n">
        <v>217.17</v>
      </c>
      <c r="I49" s="3" t="n">
        <v>17</v>
      </c>
      <c r="J49" s="3" t="n">
        <v>24</v>
      </c>
      <c r="K49" s="3" t="inlineStr">
        <is>
          <t>Medium</t>
        </is>
      </c>
      <c r="L49" s="3" t="inlineStr">
        <is>
          <t>Normal</t>
        </is>
      </c>
      <c r="M49" s="3" t="inlineStr">
        <is>
          <t>Medium</t>
        </is>
      </c>
      <c r="N49" s="3" t="inlineStr">
        <is>
          <t>Medium</t>
        </is>
      </c>
      <c r="O49" s="3" t="inlineStr">
        <is>
          <t>Medium</t>
        </is>
      </c>
      <c r="P49" s="3" t="inlineStr">
        <is>
          <t>Very High</t>
        </is>
      </c>
      <c r="Q49" s="15">
        <f>R49/G49/I49*305.404360189573</f>
        <v/>
      </c>
      <c r="R49" s="16" t="n">
        <v>0.4385714285714283</v>
      </c>
      <c r="S49" s="16" t="n">
        <v>1.179033784</v>
      </c>
      <c r="T49" s="4" t="n">
        <v>0.8220032147481383</v>
      </c>
      <c r="U49" s="4" t="n">
        <v>0.671761660533246</v>
      </c>
      <c r="V49" s="4" t="n">
        <v>558.04</v>
      </c>
      <c r="W49" s="4" t="n">
        <v>592</v>
      </c>
      <c r="X49" s="4" t="n">
        <v>652.5</v>
      </c>
      <c r="Y49" s="4" t="n">
        <v>745</v>
      </c>
      <c r="Z49" s="4" t="n">
        <v>466.19</v>
      </c>
      <c r="AA49" s="160" t="n">
        <v>230</v>
      </c>
    </row>
    <row r="50" ht="14.25" customHeight="1" s="267">
      <c r="A50" s="4" t="inlineStr">
        <is>
          <t>Serres</t>
        </is>
      </c>
      <c r="B50" s="3" t="n">
        <v>5</v>
      </c>
      <c r="C50" s="3" t="n">
        <v>10</v>
      </c>
      <c r="D50" s="3" t="n">
        <v>9</v>
      </c>
      <c r="E50" s="3" t="n">
        <v>254.9</v>
      </c>
      <c r="F50" s="3" t="n">
        <v>80</v>
      </c>
      <c r="G50" s="3" t="n">
        <v>3.186</v>
      </c>
      <c r="H50" s="3" t="inlineStr">
        <is>
          <t>?</t>
        </is>
      </c>
      <c r="I50" s="3" t="n">
        <v>16</v>
      </c>
      <c r="J50" s="3" t="n">
        <v>12</v>
      </c>
      <c r="K50" s="3" t="inlineStr">
        <is>
          <t>High</t>
        </is>
      </c>
      <c r="L50" s="3" t="inlineStr">
        <is>
          <t>Hard</t>
        </is>
      </c>
      <c r="M50" s="3" t="inlineStr">
        <is>
          <t>Medium</t>
        </is>
      </c>
      <c r="N50" s="3" t="inlineStr">
        <is>
          <t>Medium</t>
        </is>
      </c>
      <c r="O50" s="3" t="inlineStr">
        <is>
          <t>Medium</t>
        </is>
      </c>
      <c r="P50" s="3" t="inlineStr">
        <is>
          <t>Normal</t>
        </is>
      </c>
      <c r="Q50" s="15">
        <f>R50/G50/I50*305.404360189573</f>
        <v/>
      </c>
      <c r="R50" s="16" t="n">
        <v>0.24</v>
      </c>
      <c r="S50" s="16" t="n">
        <v>1.13</v>
      </c>
      <c r="T50" s="4" t="n">
        <v>0.8417759196932694</v>
      </c>
      <c r="U50" s="4" t="n">
        <v>0.82</v>
      </c>
      <c r="V50" s="4" t="n">
        <v>928.3704785531371</v>
      </c>
      <c r="W50" s="4" t="n">
        <v>414.2446675031367</v>
      </c>
      <c r="X50" s="4" t="n">
        <v>503.3737373737374</v>
      </c>
      <c r="Y50" s="4" t="n">
        <v>480.0555555555555</v>
      </c>
      <c r="Z50" s="4" t="n">
        <v>526.0883232323232</v>
      </c>
      <c r="AA50" s="160" t="n">
        <v>-100</v>
      </c>
    </row>
    <row r="51" ht="14.25" customHeight="1" s="267">
      <c r="A51" s="4" t="inlineStr">
        <is>
          <t>Shanghai</t>
        </is>
      </c>
      <c r="B51" s="3" t="n">
        <v>9</v>
      </c>
      <c r="C51" s="3" t="n">
        <v>16</v>
      </c>
      <c r="D51" s="3" t="n">
        <v>15</v>
      </c>
      <c r="E51" s="3" t="n">
        <v>305.2</v>
      </c>
      <c r="F51" s="3" t="n">
        <v>56</v>
      </c>
      <c r="G51" s="3" t="n">
        <v>5.45</v>
      </c>
      <c r="H51" s="3" t="n">
        <v>217.18</v>
      </c>
      <c r="I51" s="3" t="n">
        <v>10</v>
      </c>
      <c r="J51" s="3" t="n">
        <v>24</v>
      </c>
      <c r="K51" s="3" t="inlineStr">
        <is>
          <t>Medium</t>
        </is>
      </c>
      <c r="L51" s="3" t="inlineStr">
        <is>
          <t>Normal</t>
        </is>
      </c>
      <c r="M51" s="3" t="inlineStr">
        <is>
          <t>Soft</t>
        </is>
      </c>
      <c r="N51" s="3" t="inlineStr">
        <is>
          <t>Very High</t>
        </is>
      </c>
      <c r="O51" s="3" t="inlineStr">
        <is>
          <t>Medium</t>
        </is>
      </c>
      <c r="P51" s="3" t="inlineStr">
        <is>
          <t>High</t>
        </is>
      </c>
      <c r="Q51" s="15">
        <f>R51/G51/I51*305.404360189573</f>
        <v/>
      </c>
      <c r="R51" s="16" t="n">
        <v>0.242</v>
      </c>
      <c r="S51" s="16" t="n">
        <v>1.037367647</v>
      </c>
      <c r="T51" s="4" t="n">
        <v>0.8931177625093634</v>
      </c>
      <c r="U51" s="4" t="n">
        <v>0.6870510029227802</v>
      </c>
      <c r="V51" s="4" t="n">
        <v>422.3</v>
      </c>
      <c r="W51" s="4" t="n">
        <v>531</v>
      </c>
      <c r="X51" s="4" t="n">
        <v>642.5</v>
      </c>
      <c r="Y51" s="4" t="n">
        <v>355</v>
      </c>
      <c r="Z51" s="4" t="n">
        <v>116.19</v>
      </c>
      <c r="AA51" s="160" t="n">
        <v>-67</v>
      </c>
    </row>
    <row r="52" ht="14.25" customHeight="1" s="267">
      <c r="A52" s="4" t="inlineStr">
        <is>
          <t>Silverstone</t>
        </is>
      </c>
      <c r="B52" s="3" t="n">
        <v>11</v>
      </c>
      <c r="C52" s="3" t="n">
        <v>11</v>
      </c>
      <c r="D52" s="3" t="n">
        <v>16</v>
      </c>
      <c r="E52" s="3" t="n">
        <v>308.3</v>
      </c>
      <c r="F52" s="3" t="n">
        <v>60</v>
      </c>
      <c r="G52" s="3" t="n">
        <v>5.138</v>
      </c>
      <c r="H52" s="3" t="n">
        <v>225.46</v>
      </c>
      <c r="I52" s="3" t="n">
        <v>14</v>
      </c>
      <c r="J52" s="3" t="n">
        <v>22.5</v>
      </c>
      <c r="K52" s="3" t="inlineStr">
        <is>
          <t>Low</t>
        </is>
      </c>
      <c r="L52" s="3" t="inlineStr">
        <is>
          <t>Normal</t>
        </is>
      </c>
      <c r="M52" s="3" t="inlineStr">
        <is>
          <t>Medium</t>
        </is>
      </c>
      <c r="N52" s="3" t="inlineStr">
        <is>
          <t>High</t>
        </is>
      </c>
      <c r="O52" s="3" t="inlineStr">
        <is>
          <t>Low</t>
        </is>
      </c>
      <c r="P52" s="3" t="inlineStr">
        <is>
          <t>Normal</t>
        </is>
      </c>
      <c r="Q52" s="15">
        <f>R52/G52/I52*305.404360189573</f>
        <v/>
      </c>
      <c r="R52" s="16" t="n">
        <v>0.2669117647058824</v>
      </c>
      <c r="S52" s="16" t="n">
        <v>1.119680556</v>
      </c>
      <c r="T52" s="4" t="n">
        <v>0.848528901506023</v>
      </c>
      <c r="U52" s="4" t="n">
        <v>0.7261427027929193</v>
      </c>
      <c r="V52" s="4" t="n">
        <v>290.68</v>
      </c>
      <c r="W52" s="4" t="n">
        <v>704</v>
      </c>
      <c r="X52" s="4" t="n">
        <v>592.5</v>
      </c>
      <c r="Y52" s="4" t="n">
        <v>825</v>
      </c>
      <c r="Z52" s="4" t="n">
        <v>416.19</v>
      </c>
      <c r="AA52" s="160" t="n">
        <v>108</v>
      </c>
    </row>
    <row r="53" ht="14.25" customHeight="1" s="267">
      <c r="A53" s="4" t="inlineStr">
        <is>
          <t>Singapore</t>
        </is>
      </c>
      <c r="B53" s="3" t="n">
        <v>7</v>
      </c>
      <c r="C53" s="3" t="n">
        <v>11</v>
      </c>
      <c r="D53" s="3" t="n">
        <v>17</v>
      </c>
      <c r="E53" s="3" t="n">
        <v>309.1</v>
      </c>
      <c r="F53" s="3" t="n">
        <v>61</v>
      </c>
      <c r="G53" s="3" t="n">
        <v>5.067</v>
      </c>
      <c r="H53" s="3" t="n">
        <v>213.29</v>
      </c>
      <c r="I53" s="3" t="n">
        <v>23</v>
      </c>
      <c r="J53" s="3" t="n">
        <v>17</v>
      </c>
      <c r="K53" s="3" t="inlineStr">
        <is>
          <t>High</t>
        </is>
      </c>
      <c r="L53" s="3" t="inlineStr">
        <is>
          <t>Hard</t>
        </is>
      </c>
      <c r="M53" s="3" t="inlineStr">
        <is>
          <t>Hard</t>
        </is>
      </c>
      <c r="N53" s="3" t="inlineStr">
        <is>
          <t>Medium</t>
        </is>
      </c>
      <c r="O53" s="3" t="inlineStr">
        <is>
          <t>High</t>
        </is>
      </c>
      <c r="P53" s="3" t="inlineStr">
        <is>
          <t>Low</t>
        </is>
      </c>
      <c r="Q53" s="15">
        <f>R53/G53/I53*305.404360189573</f>
        <v/>
      </c>
      <c r="R53" s="16" t="n">
        <v>0.5611111111111111</v>
      </c>
      <c r="S53" s="16" t="n">
        <v>1.164833333</v>
      </c>
      <c r="T53" s="4" t="n">
        <v>0.8261850940197133</v>
      </c>
      <c r="U53" s="4" t="n">
        <v>0.5890114766024834</v>
      </c>
      <c r="V53" s="4" t="n">
        <v>855.35</v>
      </c>
      <c r="W53" s="4" t="n">
        <v>439</v>
      </c>
      <c r="X53" s="4" t="n">
        <v>578.5</v>
      </c>
      <c r="Y53" s="4" t="n">
        <v>599</v>
      </c>
      <c r="Z53" s="4" t="n">
        <v>802.1900000000001</v>
      </c>
      <c r="AA53" s="160" t="n">
        <v>-149</v>
      </c>
    </row>
    <row r="54" ht="14.25" customHeight="1" s="267">
      <c r="A54" s="4" t="inlineStr">
        <is>
          <t>Slovakiaring</t>
        </is>
      </c>
      <c r="B54" s="3" t="n">
        <v>17</v>
      </c>
      <c r="C54" s="3" t="n">
        <v>10</v>
      </c>
      <c r="D54" s="3" t="n">
        <v>15</v>
      </c>
      <c r="E54" s="3" t="n">
        <v>313.9</v>
      </c>
      <c r="F54" s="3" t="n">
        <v>53</v>
      </c>
      <c r="G54" s="3" t="n">
        <v>5.923</v>
      </c>
      <c r="H54" s="3" t="inlineStr">
        <is>
          <t>?</t>
        </is>
      </c>
      <c r="I54" s="3" t="n">
        <v>14</v>
      </c>
      <c r="J54" s="3" t="n">
        <v>19.5</v>
      </c>
      <c r="K54" s="3" t="inlineStr">
        <is>
          <t>Medium</t>
        </is>
      </c>
      <c r="L54" s="3" t="inlineStr">
        <is>
          <t>Hard</t>
        </is>
      </c>
      <c r="M54" s="3" t="inlineStr">
        <is>
          <t>Medium</t>
        </is>
      </c>
      <c r="N54" s="3" t="inlineStr">
        <is>
          <t>High</t>
        </is>
      </c>
      <c r="O54" s="3" t="inlineStr">
        <is>
          <t>High</t>
        </is>
      </c>
      <c r="P54" s="3" t="inlineStr">
        <is>
          <t>High</t>
        </is>
      </c>
      <c r="Q54" s="15">
        <f>R54/G54/I54*305.404360189573</f>
        <v/>
      </c>
      <c r="R54" s="16" t="n">
        <v>0.406</v>
      </c>
      <c r="S54" s="16" t="n">
        <v>1.077</v>
      </c>
      <c r="T54" s="4" t="n">
        <v>0.8752349803814591</v>
      </c>
      <c r="U54" s="4" t="n">
        <v>0.8289339537600906</v>
      </c>
      <c r="V54" s="4" t="n">
        <v>734.99</v>
      </c>
      <c r="W54" s="4" t="n">
        <v>439.6</v>
      </c>
      <c r="X54" s="4" t="n">
        <v>609.6</v>
      </c>
      <c r="Y54" s="4" t="n">
        <v>490.04</v>
      </c>
      <c r="Z54" s="4" t="n">
        <v>429.71</v>
      </c>
      <c r="AA54" s="160" t="n">
        <v>-145</v>
      </c>
    </row>
    <row r="55" ht="14.25" customHeight="1" s="267">
      <c r="A55" s="4" t="inlineStr">
        <is>
          <t>Sochi</t>
        </is>
      </c>
      <c r="B55" s="3" t="n">
        <v>8</v>
      </c>
      <c r="C55" s="3" t="n">
        <v>15</v>
      </c>
      <c r="D55" s="3" t="n">
        <v>18</v>
      </c>
      <c r="E55" s="3" t="n">
        <v>310.1</v>
      </c>
      <c r="F55" s="3" t="n">
        <v>53</v>
      </c>
      <c r="G55" s="3" t="n">
        <v>5.851</v>
      </c>
      <c r="H55" s="3" t="n">
        <v>203.07</v>
      </c>
      <c r="I55" s="3" t="n">
        <v>19</v>
      </c>
      <c r="J55" s="3" t="n">
        <v>23</v>
      </c>
      <c r="K55" s="3" t="inlineStr">
        <is>
          <t>Medium</t>
        </is>
      </c>
      <c r="L55" s="3" t="inlineStr">
        <is>
          <t>Hard</t>
        </is>
      </c>
      <c r="M55" s="3" t="inlineStr">
        <is>
          <t>Medium</t>
        </is>
      </c>
      <c r="N55" s="3" t="inlineStr">
        <is>
          <t>Low</t>
        </is>
      </c>
      <c r="O55" s="3" t="inlineStr">
        <is>
          <t>High</t>
        </is>
      </c>
      <c r="P55" s="3" t="inlineStr">
        <is>
          <t>Normal</t>
        </is>
      </c>
      <c r="Q55" s="15">
        <f>R55/G55/I55*305.404360189573</f>
        <v/>
      </c>
      <c r="R55" s="16" t="n">
        <v>0.556</v>
      </c>
      <c r="S55" s="16" t="n">
        <v>1.213</v>
      </c>
      <c r="T55" s="4" t="n">
        <v>0.813805</v>
      </c>
      <c r="U55" s="4" t="n">
        <v>0.85</v>
      </c>
      <c r="V55" s="4" t="n">
        <v>688.5884684837199</v>
      </c>
      <c r="W55" s="4" t="n">
        <v>590.215736040609</v>
      </c>
      <c r="X55" s="4" t="n">
        <v>590.4797979797979</v>
      </c>
      <c r="Y55" s="4" t="n">
        <v>697.510101010101</v>
      </c>
      <c r="Z55" s="4" t="n">
        <v>454.4724848484848</v>
      </c>
      <c r="AA55" s="160" t="n">
        <v>-28</v>
      </c>
    </row>
    <row r="56" ht="14.25" customHeight="1" s="267">
      <c r="A56" s="4" t="inlineStr">
        <is>
          <t>Spa</t>
        </is>
      </c>
      <c r="B56" s="3" t="n">
        <v>18</v>
      </c>
      <c r="C56" s="3" t="n">
        <v>16</v>
      </c>
      <c r="D56" s="3" t="n">
        <v>13</v>
      </c>
      <c r="E56" s="3" t="n">
        <v>306.6</v>
      </c>
      <c r="F56" s="3" t="n">
        <v>44</v>
      </c>
      <c r="G56" s="3" t="n">
        <v>6.968</v>
      </c>
      <c r="H56" s="3" t="n">
        <v>238.9</v>
      </c>
      <c r="I56" s="3" t="n">
        <v>22</v>
      </c>
      <c r="J56" s="3" t="n">
        <v>13.5</v>
      </c>
      <c r="K56" s="3" t="inlineStr">
        <is>
          <t>Medium</t>
        </is>
      </c>
      <c r="L56" s="3" t="inlineStr">
        <is>
          <t>Normal</t>
        </is>
      </c>
      <c r="M56" s="3" t="inlineStr">
        <is>
          <t>Medium</t>
        </is>
      </c>
      <c r="N56" s="3" t="inlineStr">
        <is>
          <t>High</t>
        </is>
      </c>
      <c r="O56" s="3" t="inlineStr">
        <is>
          <t>Medium</t>
        </is>
      </c>
      <c r="P56" s="3" t="inlineStr">
        <is>
          <t>Normal</t>
        </is>
      </c>
      <c r="Q56" s="15">
        <f>R56/G56/I56*305.404360189573</f>
        <v/>
      </c>
      <c r="R56" s="16" t="n">
        <v>0.6729000000000003</v>
      </c>
      <c r="S56" s="16" t="n">
        <v>1.1001</v>
      </c>
      <c r="T56" s="4" t="n">
        <v>0.8564212344269205</v>
      </c>
      <c r="U56" s="4" t="n">
        <v>0.75</v>
      </c>
      <c r="V56" s="4" t="n">
        <v>590.95</v>
      </c>
      <c r="W56" s="4" t="n">
        <v>715</v>
      </c>
      <c r="X56" s="4" t="n">
        <v>446.5</v>
      </c>
      <c r="Y56" s="4" t="n">
        <v>610</v>
      </c>
      <c r="Z56" s="4" t="n">
        <v>372.19</v>
      </c>
      <c r="AA56" s="160" t="n">
        <v>150</v>
      </c>
    </row>
    <row r="57" ht="14.25" customHeight="1" s="267">
      <c r="A57" s="4" t="inlineStr">
        <is>
          <t>Suzuka</t>
        </is>
      </c>
      <c r="B57" s="3" t="n">
        <v>11</v>
      </c>
      <c r="C57" s="3" t="n">
        <v>18</v>
      </c>
      <c r="D57" s="3" t="n">
        <v>13</v>
      </c>
      <c r="E57" s="3" t="n">
        <v>310.6</v>
      </c>
      <c r="F57" s="3" t="n">
        <v>53</v>
      </c>
      <c r="G57" s="3" t="n">
        <v>5.86</v>
      </c>
      <c r="H57" s="3" t="n">
        <v>233.28</v>
      </c>
      <c r="I57" s="3" t="n">
        <v>14</v>
      </c>
      <c r="J57" s="3" t="n">
        <v>15</v>
      </c>
      <c r="K57" s="3" t="inlineStr">
        <is>
          <t>Medium</t>
        </is>
      </c>
      <c r="L57" s="3" t="inlineStr">
        <is>
          <t>Hard</t>
        </is>
      </c>
      <c r="M57" s="3" t="inlineStr">
        <is>
          <t>Medium</t>
        </is>
      </c>
      <c r="N57" s="3" t="inlineStr">
        <is>
          <t>Medium</t>
        </is>
      </c>
      <c r="O57" s="3" t="inlineStr">
        <is>
          <t>Medium</t>
        </is>
      </c>
      <c r="P57" s="3" t="inlineStr">
        <is>
          <t>Very High</t>
        </is>
      </c>
      <c r="Q57" s="15">
        <f>R57/G57/I57*305.404360189573</f>
        <v/>
      </c>
      <c r="R57" s="16" t="n">
        <v>0.3515499999999999</v>
      </c>
      <c r="S57" s="16" t="n">
        <v>1.150310345</v>
      </c>
      <c r="T57" s="4" t="n">
        <v>0.8337956588815433</v>
      </c>
      <c r="U57" s="4" t="n">
        <v>0.5611383262783364</v>
      </c>
      <c r="V57" s="4" t="n">
        <v>423.93</v>
      </c>
      <c r="W57" s="4" t="n">
        <v>641</v>
      </c>
      <c r="X57" s="4" t="n">
        <v>516.5</v>
      </c>
      <c r="Y57" s="4" t="n">
        <v>550</v>
      </c>
      <c r="Z57" s="4" t="n">
        <v>530.1900000000001</v>
      </c>
      <c r="AA57" s="160" t="n">
        <v>25</v>
      </c>
    </row>
    <row r="58" ht="14.25" customHeight="1" s="267">
      <c r="A58" s="4" t="inlineStr">
        <is>
          <t>Valencia</t>
        </is>
      </c>
      <c r="B58" s="3" t="n">
        <v>11</v>
      </c>
      <c r="C58" s="3" t="n">
        <v>12</v>
      </c>
      <c r="D58" s="3" t="n">
        <v>16</v>
      </c>
      <c r="E58" s="3" t="n">
        <v>310.1</v>
      </c>
      <c r="F58" s="3" t="n">
        <v>57</v>
      </c>
      <c r="G58" s="3" t="n">
        <v>5.44</v>
      </c>
      <c r="H58" s="3" t="n">
        <v>214.41</v>
      </c>
      <c r="I58" s="3" t="n">
        <v>25</v>
      </c>
      <c r="J58" s="3" t="n">
        <v>14.5</v>
      </c>
      <c r="K58" s="3" t="inlineStr">
        <is>
          <t>High</t>
        </is>
      </c>
      <c r="L58" s="3" t="inlineStr">
        <is>
          <t>Hard</t>
        </is>
      </c>
      <c r="M58" s="3" t="inlineStr">
        <is>
          <t>Medium</t>
        </is>
      </c>
      <c r="N58" s="3" t="inlineStr">
        <is>
          <t>Medium</t>
        </is>
      </c>
      <c r="O58" s="3" t="inlineStr">
        <is>
          <t>Medium</t>
        </is>
      </c>
      <c r="P58" s="3" t="inlineStr">
        <is>
          <t>Low</t>
        </is>
      </c>
      <c r="Q58" s="15">
        <f>R58/G58/I58*305.404360189573</f>
        <v/>
      </c>
      <c r="R58" s="16" t="n">
        <v>0.6508064516129032</v>
      </c>
      <c r="S58" s="16" t="n">
        <v>1.189981481</v>
      </c>
      <c r="T58" s="4" t="n">
        <v>0.8141481636648836</v>
      </c>
      <c r="U58" s="4" t="n">
        <v>0.55</v>
      </c>
      <c r="V58" s="4" t="n">
        <v>844.61</v>
      </c>
      <c r="W58" s="4" t="n">
        <v>448</v>
      </c>
      <c r="X58" s="4" t="n">
        <v>658.5</v>
      </c>
      <c r="Y58" s="4" t="n">
        <v>655</v>
      </c>
      <c r="Z58" s="4" t="n">
        <v>336.19</v>
      </c>
      <c r="AA58" s="160" t="n">
        <v>-197</v>
      </c>
    </row>
    <row r="59" ht="14.25" customHeight="1" s="267">
      <c r="A59" s="4" t="inlineStr">
        <is>
          <t>Yas Marina</t>
        </is>
      </c>
      <c r="B59" s="3" t="n">
        <v>12</v>
      </c>
      <c r="C59" s="3" t="n">
        <v>10</v>
      </c>
      <c r="D59" s="3" t="n">
        <v>17</v>
      </c>
      <c r="E59" s="3" t="n">
        <v>305.5</v>
      </c>
      <c r="F59" s="3" t="n">
        <v>55</v>
      </c>
      <c r="G59" s="3" t="n">
        <v>5.555</v>
      </c>
      <c r="H59" s="3" t="n">
        <v>212.79</v>
      </c>
      <c r="I59" s="3" t="n">
        <v>21</v>
      </c>
      <c r="J59" s="3" t="n">
        <v>18.5</v>
      </c>
      <c r="K59" s="3" t="inlineStr">
        <is>
          <t>Medium</t>
        </is>
      </c>
      <c r="L59" s="3" t="inlineStr">
        <is>
          <t>Hard</t>
        </is>
      </c>
      <c r="M59" s="3" t="inlineStr">
        <is>
          <t>Medium</t>
        </is>
      </c>
      <c r="N59" s="3" t="inlineStr">
        <is>
          <t>Low</t>
        </is>
      </c>
      <c r="O59" s="3" t="inlineStr">
        <is>
          <t>Medium</t>
        </is>
      </c>
      <c r="P59" s="3" t="inlineStr">
        <is>
          <t>High</t>
        </is>
      </c>
      <c r="Q59" s="15">
        <f>R59/G59/I59*305.404360189573</f>
        <v/>
      </c>
      <c r="R59" s="16" t="n">
        <v>0.5481517241379311</v>
      </c>
      <c r="S59" s="16" t="n">
        <v>1.248035714</v>
      </c>
      <c r="T59" s="4" t="n">
        <v>0.7927885887657935</v>
      </c>
      <c r="U59" s="4" t="n">
        <v>0.8286101981735314</v>
      </c>
      <c r="V59" s="4" t="n">
        <v>741.77</v>
      </c>
      <c r="W59" s="4" t="n">
        <v>461</v>
      </c>
      <c r="X59" s="4" t="n">
        <v>558.5</v>
      </c>
      <c r="Y59" s="4" t="n">
        <v>475</v>
      </c>
      <c r="Z59" s="4" t="n">
        <v>420.19</v>
      </c>
      <c r="AA59" s="160" t="n">
        <v>-90</v>
      </c>
    </row>
    <row r="60" ht="14.25" customHeight="1" s="267">
      <c r="A60" s="4" t="inlineStr">
        <is>
          <t>Yeongam</t>
        </is>
      </c>
      <c r="B60" s="3" t="n">
        <v>11</v>
      </c>
      <c r="C60" s="3" t="n">
        <v>15</v>
      </c>
      <c r="D60" s="3" t="n">
        <v>13</v>
      </c>
      <c r="E60" s="3" t="n">
        <v>309.2</v>
      </c>
      <c r="F60" s="3" t="n">
        <v>55</v>
      </c>
      <c r="G60" s="3" t="n">
        <v>5.622</v>
      </c>
      <c r="H60" s="3" t="inlineStr">
        <is>
          <t>?</t>
        </is>
      </c>
      <c r="I60" s="3" t="n">
        <v>18</v>
      </c>
      <c r="J60" s="3" t="n">
        <v>23.5</v>
      </c>
      <c r="K60" s="3" t="inlineStr">
        <is>
          <t>High</t>
        </is>
      </c>
      <c r="L60" s="3" t="inlineStr">
        <is>
          <t>Normal</t>
        </is>
      </c>
      <c r="M60" s="3" t="inlineStr">
        <is>
          <t>Medium</t>
        </is>
      </c>
      <c r="N60" s="3" t="inlineStr">
        <is>
          <t>Medium</t>
        </is>
      </c>
      <c r="O60" s="3" t="inlineStr">
        <is>
          <t>High</t>
        </is>
      </c>
      <c r="P60" s="3" t="inlineStr">
        <is>
          <t>Normal</t>
        </is>
      </c>
      <c r="Q60" s="15">
        <f>R60/G60/I60*305.404360189573</f>
        <v/>
      </c>
      <c r="R60" s="16" t="n">
        <v>0.5064102564102568</v>
      </c>
      <c r="S60" s="16" t="n">
        <v>1.2</v>
      </c>
      <c r="T60" s="4" t="n">
        <v>0.8166527444726375</v>
      </c>
      <c r="U60" s="4" t="n">
        <v>0.8625929605186804</v>
      </c>
      <c r="V60" s="4" t="n">
        <v>788.39</v>
      </c>
      <c r="W60" s="4" t="n">
        <v>481</v>
      </c>
      <c r="X60" s="4" t="n">
        <v>718.5</v>
      </c>
      <c r="Y60" s="4" t="n">
        <v>689</v>
      </c>
      <c r="Z60" s="4" t="n">
        <v>420.19</v>
      </c>
      <c r="AA60" s="160" t="n">
        <v>-100</v>
      </c>
    </row>
    <row r="61" ht="14.25" customHeight="1" s="267">
      <c r="A61" s="4" t="inlineStr">
        <is>
          <t>Zandvoort</t>
        </is>
      </c>
      <c r="B61" s="3" t="n">
        <v>9</v>
      </c>
      <c r="C61" s="3" t="n">
        <v>13</v>
      </c>
      <c r="D61" s="3" t="n">
        <v>9</v>
      </c>
      <c r="E61" s="3" t="n">
        <v>301.8</v>
      </c>
      <c r="F61" s="3" t="n">
        <v>71</v>
      </c>
      <c r="G61" s="3" t="n">
        <v>4.251</v>
      </c>
      <c r="H61" s="3" t="n">
        <v>230.5</v>
      </c>
      <c r="I61" s="3" t="n">
        <v>14</v>
      </c>
      <c r="J61" s="3" t="n">
        <v>22.5</v>
      </c>
      <c r="K61" s="3" t="inlineStr">
        <is>
          <t>Medium</t>
        </is>
      </c>
      <c r="L61" s="3" t="inlineStr">
        <is>
          <t>Normal</t>
        </is>
      </c>
      <c r="M61" s="3" t="inlineStr">
        <is>
          <t>Hard</t>
        </is>
      </c>
      <c r="N61" s="3" t="inlineStr">
        <is>
          <t>Low</t>
        </is>
      </c>
      <c r="O61" s="3" t="inlineStr">
        <is>
          <t>Medium</t>
        </is>
      </c>
      <c r="P61" s="3" t="inlineStr">
        <is>
          <t>High</t>
        </is>
      </c>
      <c r="Q61" s="15">
        <f>R61/G61/I61*305.404360189573</f>
        <v/>
      </c>
      <c r="R61" s="16" t="n">
        <v>0.259</v>
      </c>
      <c r="S61" s="16" t="n">
        <v>1.216043478</v>
      </c>
      <c r="T61" s="4" t="n">
        <v>0.8032318008479845</v>
      </c>
      <c r="U61" s="4" t="n">
        <v>0.6899999999999999</v>
      </c>
      <c r="V61" s="4" t="n">
        <v>559.41</v>
      </c>
      <c r="W61" s="4" t="n">
        <v>655</v>
      </c>
      <c r="X61" s="4" t="n">
        <v>416.5</v>
      </c>
      <c r="Y61" s="4" t="n">
        <v>779</v>
      </c>
      <c r="Z61" s="4" t="n">
        <v>712.1900000000001</v>
      </c>
      <c r="AA61" s="160" t="n">
        <v>265</v>
      </c>
    </row>
    <row r="62" ht="14.25" customHeight="1" s="267">
      <c r="A62" s="4" t="inlineStr">
        <is>
          <t>Zolder</t>
        </is>
      </c>
      <c r="B62" s="3" t="n">
        <v>11</v>
      </c>
      <c r="C62" s="3" t="n">
        <v>9</v>
      </c>
      <c r="D62" s="3" t="n">
        <v>10</v>
      </c>
      <c r="E62" s="3" t="n">
        <v>298.3</v>
      </c>
      <c r="F62" s="3" t="n">
        <v>70</v>
      </c>
      <c r="G62" s="3" t="n">
        <v>4.261</v>
      </c>
      <c r="H62" s="3" t="n">
        <v>223.26</v>
      </c>
      <c r="I62" s="3" t="n">
        <v>17</v>
      </c>
      <c r="J62" s="3" t="n">
        <v>19.5</v>
      </c>
      <c r="K62" s="3" t="inlineStr">
        <is>
          <t>Medium</t>
        </is>
      </c>
      <c r="L62" s="3" t="inlineStr">
        <is>
          <t>Hard</t>
        </is>
      </c>
      <c r="M62" s="3" t="inlineStr">
        <is>
          <t>Medium</t>
        </is>
      </c>
      <c r="N62" s="3" t="inlineStr">
        <is>
          <t>Low</t>
        </is>
      </c>
      <c r="O62" s="3" t="inlineStr">
        <is>
          <t>Medium</t>
        </is>
      </c>
      <c r="P62" s="3" t="inlineStr">
        <is>
          <t>Low</t>
        </is>
      </c>
      <c r="Q62" s="15">
        <f>R62/G62/I62*305.404360189573</f>
        <v/>
      </c>
      <c r="R62" s="16" t="n">
        <v>0.342</v>
      </c>
      <c r="S62" s="16" t="n">
        <v>1.203229167</v>
      </c>
      <c r="T62" s="4" t="n">
        <v>0.8055493513363379</v>
      </c>
      <c r="U62" s="4" t="n">
        <v>0.7252811232953252</v>
      </c>
      <c r="V62" s="4" t="n">
        <v>669.1</v>
      </c>
      <c r="W62" s="4" t="n">
        <v>619</v>
      </c>
      <c r="X62" s="4" t="n">
        <v>464.5</v>
      </c>
      <c r="Y62" s="4" t="n">
        <v>629</v>
      </c>
      <c r="Z62" s="4" t="n">
        <v>540.1900000000001</v>
      </c>
      <c r="AA62" s="160" t="n">
        <v>-95</v>
      </c>
    </row>
    <row r="63" ht="14.25" customHeight="1" s="26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233" t="n"/>
    </row>
    <row r="64" ht="14.25" customHeight="1" s="26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233" t="n"/>
    </row>
    <row r="65" ht="14.25" customHeight="1" s="26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233" t="n"/>
    </row>
    <row r="66" ht="14.25" customHeight="1" s="26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233" t="n"/>
    </row>
    <row r="67" ht="14.25" customHeight="1" s="2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233" t="n"/>
    </row>
    <row r="68" ht="14.25" customHeight="1" s="26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233" t="n"/>
    </row>
    <row r="69" ht="14.25" customHeight="1" s="26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233" t="n"/>
    </row>
    <row r="70" ht="14.25" customHeight="1" s="26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233" t="n"/>
    </row>
    <row r="71" ht="14.25" customHeight="1" s="26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233" t="n"/>
    </row>
    <row r="72" ht="14.25" customHeight="1" s="26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233" t="n"/>
    </row>
    <row r="73" ht="14.25" customHeight="1" s="26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233" t="n"/>
    </row>
    <row r="74" ht="14.25" customHeight="1" s="26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233" t="n"/>
    </row>
    <row r="75" ht="14.25" customHeight="1" s="26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233" t="n"/>
    </row>
    <row r="76" ht="14.25" customHeight="1" s="26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233" t="n"/>
    </row>
    <row r="77" ht="14.25" customHeight="1" s="26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233" t="n"/>
    </row>
    <row r="78" ht="14.25" customHeight="1" s="267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233" t="n"/>
    </row>
    <row r="79" ht="14.25" customHeight="1" s="267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233" t="n"/>
    </row>
    <row r="80" ht="14.25" customHeight="1" s="267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233" t="n"/>
    </row>
    <row r="81" ht="14.25" customHeight="1" s="267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233" t="n"/>
    </row>
    <row r="82" ht="14.25" customHeight="1" s="267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233" t="n"/>
    </row>
    <row r="83" ht="14.25" customHeight="1" s="267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233" t="n"/>
    </row>
    <row r="84" ht="14.25" customHeight="1" s="267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233" t="n"/>
    </row>
    <row r="85" ht="14.25" customHeight="1" s="267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233" t="n"/>
    </row>
    <row r="86" ht="14.25" customHeight="1" s="267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233" t="n"/>
    </row>
    <row r="87" ht="14.25" customHeight="1" s="26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233" t="n"/>
    </row>
    <row r="88" ht="14.25" customHeight="1" s="267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233" t="n"/>
    </row>
    <row r="89" ht="14.25" customHeight="1" s="267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233" t="n"/>
    </row>
    <row r="90" ht="14.25" customHeight="1" s="267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233" t="n"/>
    </row>
    <row r="91" ht="14.25" customHeight="1" s="267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233" t="n"/>
    </row>
    <row r="92" ht="14.25" customHeight="1" s="267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233" t="n"/>
    </row>
    <row r="93" ht="14.25" customHeight="1" s="267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233" t="n"/>
    </row>
    <row r="94" ht="14.25" customHeight="1" s="267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233" t="n"/>
    </row>
    <row r="95" ht="14.25" customHeight="1" s="267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233" t="n"/>
    </row>
    <row r="96" ht="14.25" customHeight="1" s="267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233" t="n"/>
    </row>
    <row r="97" ht="14.25" customHeight="1" s="26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233" t="n"/>
    </row>
    <row r="98" ht="14.25" customHeight="1" s="267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233" t="n"/>
    </row>
    <row r="99" ht="14.25" customHeight="1" s="267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233" t="n"/>
    </row>
    <row r="100" ht="14.25" customHeight="1" s="267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233" t="n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" customHeight="1"/>
  <cols>
    <col width="22.5" customWidth="1" style="267" min="1" max="1"/>
    <col width="10.6640625" customWidth="1" style="267" min="2" max="18"/>
    <col width="10.33203125" customWidth="1" style="267" min="19" max="19"/>
  </cols>
  <sheetData>
    <row r="1" ht="14.25" customHeight="1" s="267">
      <c r="A1" s="45" t="n"/>
      <c r="B1" s="234" t="n">
        <v>1</v>
      </c>
      <c r="C1" s="234" t="n">
        <v>2</v>
      </c>
      <c r="D1" s="234" t="n">
        <v>3</v>
      </c>
      <c r="E1" s="234" t="n">
        <v>4</v>
      </c>
      <c r="F1" s="234" t="n">
        <v>5</v>
      </c>
      <c r="G1" s="234" t="n">
        <v>6</v>
      </c>
      <c r="H1" s="234" t="n">
        <v>7</v>
      </c>
      <c r="I1" s="234" t="n">
        <v>8</v>
      </c>
      <c r="J1" s="234" t="n">
        <v>9</v>
      </c>
      <c r="K1" s="234" t="n">
        <v>10</v>
      </c>
      <c r="L1" s="234" t="n">
        <v>11</v>
      </c>
      <c r="M1" s="234" t="n">
        <v>12</v>
      </c>
      <c r="N1" s="234" t="n">
        <v>13</v>
      </c>
      <c r="O1" s="234" t="n">
        <v>14</v>
      </c>
      <c r="P1" s="234" t="n">
        <v>15</v>
      </c>
      <c r="Q1" s="234" t="n">
        <v>16</v>
      </c>
      <c r="R1" s="234" t="n">
        <v>17</v>
      </c>
      <c r="S1" s="45" t="n"/>
    </row>
    <row r="2" ht="14.25" customHeight="1" s="267">
      <c r="A2" s="45" t="n"/>
      <c r="B2" s="45">
        <f>'1 Season'!B6</f>
        <v/>
      </c>
      <c r="C2" s="45">
        <f>'1 Season'!B7</f>
        <v/>
      </c>
      <c r="D2" s="45">
        <f>'1 Season'!B8</f>
        <v/>
      </c>
      <c r="E2" s="45">
        <f>'1 Season'!B9</f>
        <v/>
      </c>
      <c r="F2" s="45">
        <f>'1 Season'!B10</f>
        <v/>
      </c>
      <c r="G2" s="45">
        <f>'1 Season'!B11</f>
        <v/>
      </c>
      <c r="H2" s="45">
        <f>'1 Season'!B12</f>
        <v/>
      </c>
      <c r="I2" s="45">
        <f>'1 Season'!B13</f>
        <v/>
      </c>
      <c r="J2" s="45">
        <f>'1 Season'!B14</f>
        <v/>
      </c>
      <c r="K2" s="45">
        <f>'1 Season'!B15</f>
        <v/>
      </c>
      <c r="L2" s="45">
        <f>'1 Season'!B16</f>
        <v/>
      </c>
      <c r="M2" s="45">
        <f>'1 Season'!B17</f>
        <v/>
      </c>
      <c r="N2" s="45">
        <f>'1 Season'!B18</f>
        <v/>
      </c>
      <c r="O2" s="45">
        <f>'1 Season'!B19</f>
        <v/>
      </c>
      <c r="P2" s="45">
        <f>'1 Season'!B20</f>
        <v/>
      </c>
      <c r="Q2" s="45">
        <f>'1 Season'!B21</f>
        <v/>
      </c>
      <c r="R2" s="45">
        <f>'1 Season'!B22</f>
        <v/>
      </c>
      <c r="S2" s="45" t="n"/>
    </row>
    <row r="3" ht="14.25" customHeight="1" s="267">
      <c r="A3" s="45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</row>
    <row r="4" ht="14.25" customHeight="1" s="267">
      <c r="A4" s="234" t="inlineStr">
        <is>
          <t>Facilities</t>
        </is>
      </c>
      <c r="B4" s="45" t="n"/>
      <c r="C4" s="45" t="n"/>
      <c r="D4" s="45" t="n"/>
      <c r="E4" s="45" t="n"/>
      <c r="F4" s="45" t="n"/>
      <c r="G4" s="45" t="n"/>
      <c r="H4" s="45" t="n"/>
      <c r="I4" s="45" t="n"/>
      <c r="J4" s="45" t="n"/>
      <c r="K4" s="45" t="n"/>
      <c r="L4" s="45" t="n"/>
      <c r="M4" s="45" t="n"/>
      <c r="N4" s="45" t="n"/>
      <c r="O4" s="45" t="n"/>
      <c r="P4" s="45" t="n"/>
      <c r="Q4" s="45" t="n"/>
      <c r="R4" s="45" t="n"/>
      <c r="S4" s="45" t="n"/>
    </row>
    <row r="5" ht="14.25" customHeight="1" s="267">
      <c r="A5" s="45" t="inlineStr">
        <is>
          <t>Windtunnel</t>
        </is>
      </c>
      <c r="B5" s="45">
        <f>'2 Stuff Data'!B48+'4 Season Planner'!B31</f>
        <v/>
      </c>
      <c r="C5" s="45">
        <f>IF('2 Stuff Data'!C48="",B5*0.9915,'2 Stuff Data'!C48)+'4 Season Planner'!C31</f>
        <v/>
      </c>
      <c r="D5" s="45">
        <f>IF('2 Stuff Data'!D48="",C5*0.9915,'2 Stuff Data'!D48)+'4 Season Planner'!D31</f>
        <v/>
      </c>
      <c r="E5" s="45">
        <f>IF('2 Stuff Data'!E48="",D5*0.9915,'2 Stuff Data'!E48)+'4 Season Planner'!E31</f>
        <v/>
      </c>
      <c r="F5" s="45">
        <f>IF('2 Stuff Data'!F48="",E5*0.9915,'2 Stuff Data'!F48)+'4 Season Planner'!F31</f>
        <v/>
      </c>
      <c r="G5" s="45">
        <f>IF('2 Stuff Data'!G48="",F5*0.9915,'2 Stuff Data'!G48)+'4 Season Planner'!G31</f>
        <v/>
      </c>
      <c r="H5" s="45">
        <f>IF('2 Stuff Data'!H48="",G5*0.9915,'2 Stuff Data'!H48)+'4 Season Planner'!H31</f>
        <v/>
      </c>
      <c r="I5" s="45">
        <f>IF('2 Stuff Data'!I48="",H5*0.9915,'2 Stuff Data'!I48)+'4 Season Planner'!I31</f>
        <v/>
      </c>
      <c r="J5" s="45">
        <f>IF('2 Stuff Data'!J48="",I5*0.9915,'2 Stuff Data'!J48)+'4 Season Planner'!J31</f>
        <v/>
      </c>
      <c r="K5" s="45">
        <f>IF('2 Stuff Data'!K48="",J5*0.9915,'2 Stuff Data'!K48)+'4 Season Planner'!K31</f>
        <v/>
      </c>
      <c r="L5" s="45">
        <f>IF('2 Stuff Data'!L48="",K5*0.9915,'2 Stuff Data'!L48)+'4 Season Planner'!L31</f>
        <v/>
      </c>
      <c r="M5" s="45">
        <f>IF('2 Stuff Data'!M48="",L5*0.9915,'2 Stuff Data'!M48)+'4 Season Planner'!M31</f>
        <v/>
      </c>
      <c r="N5" s="45">
        <f>IF('2 Stuff Data'!N48="",M5*0.9915,'2 Stuff Data'!N48)+'4 Season Planner'!N31</f>
        <v/>
      </c>
      <c r="O5" s="45">
        <f>IF('2 Stuff Data'!O48="",N5*0.9915,'2 Stuff Data'!O48)+'4 Season Planner'!O31</f>
        <v/>
      </c>
      <c r="P5" s="45">
        <f>IF('2 Stuff Data'!P48="",O5*0.9915,'2 Stuff Data'!P48)+'4 Season Planner'!P31</f>
        <v/>
      </c>
      <c r="Q5" s="45">
        <f>IF('2 Stuff Data'!Q48="",P5*0.9915,'2 Stuff Data'!Q48)+'4 Season Planner'!Q31</f>
        <v/>
      </c>
      <c r="R5" s="45">
        <f>IF('2 Stuff Data'!R48="",Q5*0.9915,'2 Stuff Data'!R48)+'4 Season Planner'!R31</f>
        <v/>
      </c>
      <c r="S5" s="45" t="n"/>
    </row>
    <row r="6" ht="14.25" customHeight="1" s="267">
      <c r="A6" s="45" t="inlineStr">
        <is>
          <t>Pit Stop Training Centre</t>
        </is>
      </c>
      <c r="B6" s="45">
        <f>'2 Stuff Data'!B49+'4 Season Planner'!B32</f>
        <v/>
      </c>
      <c r="C6" s="45">
        <f>IF('2 Stuff Data'!C49="",B6*0.9915,'2 Stuff Data'!C49)+'4 Season Planner'!C32</f>
        <v/>
      </c>
      <c r="D6" s="45">
        <f>IF('2 Stuff Data'!D49="",C6*0.9915,'2 Stuff Data'!D49)+'4 Season Planner'!D32</f>
        <v/>
      </c>
      <c r="E6" s="45">
        <f>IF('2 Stuff Data'!E49="",D6*0.9915,'2 Stuff Data'!E49)+'4 Season Planner'!E32</f>
        <v/>
      </c>
      <c r="F6" s="45">
        <f>IF('2 Stuff Data'!F49="",E6*0.9915,'2 Stuff Data'!F49)+'4 Season Planner'!F32</f>
        <v/>
      </c>
      <c r="G6" s="45">
        <f>IF('2 Stuff Data'!G49="",F6*0.9915,'2 Stuff Data'!G49)+'4 Season Planner'!G32</f>
        <v/>
      </c>
      <c r="H6" s="45">
        <f>IF('2 Stuff Data'!H49="",G6*0.9915,'2 Stuff Data'!H49)+'4 Season Planner'!H32</f>
        <v/>
      </c>
      <c r="I6" s="45">
        <f>IF('2 Stuff Data'!I49="",H6*0.9915,'2 Stuff Data'!I49)+'4 Season Planner'!I32</f>
        <v/>
      </c>
      <c r="J6" s="45">
        <f>IF('2 Stuff Data'!J49="",I6*0.9915,'2 Stuff Data'!J49)+'4 Season Planner'!J32</f>
        <v/>
      </c>
      <c r="K6" s="45">
        <f>IF('2 Stuff Data'!K49="",J6*0.9915,'2 Stuff Data'!K49)+'4 Season Planner'!K32</f>
        <v/>
      </c>
      <c r="L6" s="45">
        <f>IF('2 Stuff Data'!L49="",K6*0.9915,'2 Stuff Data'!L49)+'4 Season Planner'!L32</f>
        <v/>
      </c>
      <c r="M6" s="45">
        <f>IF('2 Stuff Data'!M49="",L6*0.9915,'2 Stuff Data'!M49)+'4 Season Planner'!M32</f>
        <v/>
      </c>
      <c r="N6" s="45">
        <f>IF('2 Stuff Data'!N49="",M6*0.9915,'2 Stuff Data'!N49)+'4 Season Planner'!N32</f>
        <v/>
      </c>
      <c r="O6" s="45">
        <f>IF('2 Stuff Data'!O49="",N6*0.9915,'2 Stuff Data'!O49)+'4 Season Planner'!O32</f>
        <v/>
      </c>
      <c r="P6" s="45">
        <f>IF('2 Stuff Data'!P49="",O6*0.9915,'2 Stuff Data'!P49)+'4 Season Planner'!P32</f>
        <v/>
      </c>
      <c r="Q6" s="45">
        <f>IF('2 Stuff Data'!Q49="",P6*0.9915,'2 Stuff Data'!Q49)+'4 Season Planner'!Q32</f>
        <v/>
      </c>
      <c r="R6" s="45">
        <f>IF('2 Stuff Data'!R49="",Q6*0.9915,'2 Stuff Data'!R49)+'4 Season Planner'!R32</f>
        <v/>
      </c>
      <c r="S6" s="45" t="n"/>
    </row>
    <row r="7" ht="14.25" customHeight="1" s="267">
      <c r="A7" s="45" t="inlineStr">
        <is>
          <t>R&amp;D Workshop</t>
        </is>
      </c>
      <c r="B7" s="45">
        <f>'2 Stuff Data'!B50+'4 Season Planner'!B33</f>
        <v/>
      </c>
      <c r="C7" s="45">
        <f>IF('2 Stuff Data'!C50="",B7*0.9915,'2 Stuff Data'!C50)+'4 Season Planner'!C33</f>
        <v/>
      </c>
      <c r="D7" s="45">
        <f>IF('2 Stuff Data'!D50="",C7*0.9915,'2 Stuff Data'!D50)+'4 Season Planner'!D33</f>
        <v/>
      </c>
      <c r="E7" s="45">
        <f>IF('2 Stuff Data'!E50="",D7*0.9915,'2 Stuff Data'!E50)+'4 Season Planner'!E33</f>
        <v/>
      </c>
      <c r="F7" s="45">
        <f>IF('2 Stuff Data'!F50="",E7*0.9915,'2 Stuff Data'!F50)+'4 Season Planner'!F33</f>
        <v/>
      </c>
      <c r="G7" s="45">
        <f>IF('2 Stuff Data'!G50="",F7*0.9915,'2 Stuff Data'!G50)+'4 Season Planner'!G33</f>
        <v/>
      </c>
      <c r="H7" s="45">
        <f>IF('2 Stuff Data'!H50="",G7*0.9915,'2 Stuff Data'!H50)+'4 Season Planner'!H33</f>
        <v/>
      </c>
      <c r="I7" s="45">
        <f>IF('2 Stuff Data'!I50="",H7*0.9915,'2 Stuff Data'!I50)+'4 Season Planner'!I33</f>
        <v/>
      </c>
      <c r="J7" s="45">
        <f>IF('2 Stuff Data'!J50="",I7*0.9915,'2 Stuff Data'!J50)+'4 Season Planner'!J33</f>
        <v/>
      </c>
      <c r="K7" s="45">
        <f>IF('2 Stuff Data'!K50="",J7*0.9915,'2 Stuff Data'!K50)+'4 Season Planner'!K33</f>
        <v/>
      </c>
      <c r="L7" s="45">
        <f>IF('2 Stuff Data'!L50="",K7*0.9915,'2 Stuff Data'!L50)+'4 Season Planner'!L33</f>
        <v/>
      </c>
      <c r="M7" s="45">
        <f>IF('2 Stuff Data'!M50="",L7*0.9915,'2 Stuff Data'!M50)+'4 Season Planner'!M33</f>
        <v/>
      </c>
      <c r="N7" s="45">
        <f>IF('2 Stuff Data'!N50="",M7*0.9915,'2 Stuff Data'!N50)+'4 Season Planner'!N33</f>
        <v/>
      </c>
      <c r="O7" s="45">
        <f>IF('2 Stuff Data'!O50="",N7*0.9915,'2 Stuff Data'!O50)+'4 Season Planner'!O33</f>
        <v/>
      </c>
      <c r="P7" s="45">
        <f>IF('2 Stuff Data'!P50="",O7*0.9915,'2 Stuff Data'!P50)+'4 Season Planner'!P33</f>
        <v/>
      </c>
      <c r="Q7" s="45">
        <f>IF('2 Stuff Data'!Q50="",P7*0.9915,'2 Stuff Data'!Q50)+'4 Season Planner'!Q33</f>
        <v/>
      </c>
      <c r="R7" s="45">
        <f>IF('2 Stuff Data'!R50="",Q7*0.9915,'2 Stuff Data'!R50)+'4 Season Planner'!R33</f>
        <v/>
      </c>
      <c r="S7" s="45" t="n"/>
    </row>
    <row r="8" ht="14.25" customHeight="1" s="267">
      <c r="A8" s="45" t="inlineStr">
        <is>
          <t>R&amp;D Design Centre</t>
        </is>
      </c>
      <c r="B8" s="45">
        <f>'2 Stuff Data'!B51+'4 Season Planner'!B34</f>
        <v/>
      </c>
      <c r="C8" s="45">
        <f>IF('2 Stuff Data'!C51="",B8*0.9915,'2 Stuff Data'!C51)+'4 Season Planner'!C34</f>
        <v/>
      </c>
      <c r="D8" s="45">
        <f>IF('2 Stuff Data'!D51="",C8*0.9915,'2 Stuff Data'!D51)+'4 Season Planner'!D34</f>
        <v/>
      </c>
      <c r="E8" s="45">
        <f>IF('2 Stuff Data'!E51="",D8*0.9915,'2 Stuff Data'!E51)+'4 Season Planner'!E34</f>
        <v/>
      </c>
      <c r="F8" s="45">
        <f>IF('2 Stuff Data'!F51="",E8*0.9915,'2 Stuff Data'!F51)+'4 Season Planner'!F34</f>
        <v/>
      </c>
      <c r="G8" s="45">
        <f>IF('2 Stuff Data'!G51="",F8*0.9915,'2 Stuff Data'!G51)+'4 Season Planner'!G34</f>
        <v/>
      </c>
      <c r="H8" s="45">
        <f>IF('2 Stuff Data'!H51="",G8*0.9915,'2 Stuff Data'!H51)+'4 Season Planner'!H34</f>
        <v/>
      </c>
      <c r="I8" s="45">
        <f>IF('2 Stuff Data'!I51="",H8*0.9915,'2 Stuff Data'!I51)+'4 Season Planner'!I34</f>
        <v/>
      </c>
      <c r="J8" s="45">
        <f>IF('2 Stuff Data'!J51="",I8*0.9915,'2 Stuff Data'!J51)+'4 Season Planner'!J34</f>
        <v/>
      </c>
      <c r="K8" s="45">
        <f>IF('2 Stuff Data'!K51="",J8*0.9915,'2 Stuff Data'!K51)+'4 Season Planner'!K34</f>
        <v/>
      </c>
      <c r="L8" s="45">
        <f>IF('2 Stuff Data'!L51="",K8*0.9915,'2 Stuff Data'!L51)+'4 Season Planner'!L34</f>
        <v/>
      </c>
      <c r="M8" s="45">
        <f>IF('2 Stuff Data'!M51="",L8*0.9915,'2 Stuff Data'!M51)+'4 Season Planner'!M34</f>
        <v/>
      </c>
      <c r="N8" s="45">
        <f>IF('2 Stuff Data'!N51="",M8*0.9915,'2 Stuff Data'!N51)+'4 Season Planner'!N34</f>
        <v/>
      </c>
      <c r="O8" s="45">
        <f>IF('2 Stuff Data'!O51="",N8*0.9915,'2 Stuff Data'!O51)+'4 Season Planner'!O34</f>
        <v/>
      </c>
      <c r="P8" s="45">
        <f>IF('2 Stuff Data'!P51="",O8*0.9915,'2 Stuff Data'!P51)+'4 Season Planner'!P34</f>
        <v/>
      </c>
      <c r="Q8" s="45">
        <f>IF('2 Stuff Data'!Q51="",P8*0.9915,'2 Stuff Data'!Q51)+'4 Season Planner'!Q34</f>
        <v/>
      </c>
      <c r="R8" s="45">
        <f>IF('2 Stuff Data'!R51="",Q8*0.9915,'2 Stuff Data'!R51)+'4 Season Planner'!R34</f>
        <v/>
      </c>
      <c r="S8" s="45" t="n"/>
    </row>
    <row r="9" ht="14.25" customHeight="1" s="267">
      <c r="A9" s="45" t="inlineStr">
        <is>
          <t>Engineering Workshop</t>
        </is>
      </c>
      <c r="B9" s="45">
        <f>'2 Stuff Data'!B52+'4 Season Planner'!B35</f>
        <v/>
      </c>
      <c r="C9" s="45">
        <f>IF('2 Stuff Data'!C52="",B9*0.9915,'2 Stuff Data'!C52)+'4 Season Planner'!C35</f>
        <v/>
      </c>
      <c r="D9" s="45">
        <f>IF('2 Stuff Data'!D52="",C9*0.9915,'2 Stuff Data'!D52)+'4 Season Planner'!D35</f>
        <v/>
      </c>
      <c r="E9" s="45">
        <f>IF('2 Stuff Data'!E52="",D9*0.9915,'2 Stuff Data'!E52)+'4 Season Planner'!E35</f>
        <v/>
      </c>
      <c r="F9" s="45">
        <f>IF('2 Stuff Data'!F52="",E9*0.9915,'2 Stuff Data'!F52)+'4 Season Planner'!F35</f>
        <v/>
      </c>
      <c r="G9" s="45">
        <f>IF('2 Stuff Data'!G52="",F9*0.9915,'2 Stuff Data'!G52)+'4 Season Planner'!G35</f>
        <v/>
      </c>
      <c r="H9" s="45">
        <f>IF('2 Stuff Data'!H52="",G9*0.9915,'2 Stuff Data'!H52)+'4 Season Planner'!H35</f>
        <v/>
      </c>
      <c r="I9" s="45">
        <f>IF('2 Stuff Data'!I52="",H9*0.9915,'2 Stuff Data'!I52)+'4 Season Planner'!I35</f>
        <v/>
      </c>
      <c r="J9" s="45">
        <f>IF('2 Stuff Data'!J52="",I9*0.9915,'2 Stuff Data'!J52)+'4 Season Planner'!J35</f>
        <v/>
      </c>
      <c r="K9" s="45">
        <f>IF('2 Stuff Data'!K52="",J9*0.9915,'2 Stuff Data'!K52)+'4 Season Planner'!K35</f>
        <v/>
      </c>
      <c r="L9" s="45">
        <f>IF('2 Stuff Data'!L52="",K9*0.9915,'2 Stuff Data'!L52)+'4 Season Planner'!L35</f>
        <v/>
      </c>
      <c r="M9" s="45">
        <f>IF('2 Stuff Data'!M52="",L9*0.9915,'2 Stuff Data'!M52)+'4 Season Planner'!M35</f>
        <v/>
      </c>
      <c r="N9" s="45">
        <f>IF('2 Stuff Data'!N52="",M9*0.9915,'2 Stuff Data'!N52)+'4 Season Planner'!N35</f>
        <v/>
      </c>
      <c r="O9" s="45">
        <f>IF('2 Stuff Data'!O52="",N9*0.9915,'2 Stuff Data'!O52)+'4 Season Planner'!O35</f>
        <v/>
      </c>
      <c r="P9" s="45">
        <f>IF('2 Stuff Data'!P52="",O9*0.9915,'2 Stuff Data'!P52)+'4 Season Planner'!P35</f>
        <v/>
      </c>
      <c r="Q9" s="45">
        <f>IF('2 Stuff Data'!Q52="",P9*0.9915,'2 Stuff Data'!Q52)+'4 Season Planner'!Q35</f>
        <v/>
      </c>
      <c r="R9" s="45">
        <f>IF('2 Stuff Data'!R52="",Q9*0.9915,'2 Stuff Data'!R52)+'4 Season Planner'!R35</f>
        <v/>
      </c>
      <c r="S9" s="45" t="n"/>
    </row>
    <row r="10" ht="14.25" customHeight="1" s="267">
      <c r="A10" s="45" t="inlineStr">
        <is>
          <t>Alloy &amp; Chemical Lab</t>
        </is>
      </c>
      <c r="B10" s="45">
        <f>'2 Stuff Data'!B53+'4 Season Planner'!B36</f>
        <v/>
      </c>
      <c r="C10" s="45">
        <f>IF('2 Stuff Data'!C53="",B10*0.9915,'2 Stuff Data'!C53)+'4 Season Planner'!C36</f>
        <v/>
      </c>
      <c r="D10" s="45">
        <f>IF('2 Stuff Data'!D53="",C10*0.9915,'2 Stuff Data'!D53)+'4 Season Planner'!D36</f>
        <v/>
      </c>
      <c r="E10" s="45">
        <f>IF('2 Stuff Data'!E53="",D10*0.9915,'2 Stuff Data'!E53)+'4 Season Planner'!E36</f>
        <v/>
      </c>
      <c r="F10" s="45">
        <f>IF('2 Stuff Data'!F53="",E10*0.9915,'2 Stuff Data'!F53)+'4 Season Planner'!F36</f>
        <v/>
      </c>
      <c r="G10" s="45">
        <f>IF('2 Stuff Data'!G53="",F10*0.9915,'2 Stuff Data'!G53)+'4 Season Planner'!G36</f>
        <v/>
      </c>
      <c r="H10" s="45">
        <f>IF('2 Stuff Data'!H53="",G10*0.9915,'2 Stuff Data'!H53)+'4 Season Planner'!H36</f>
        <v/>
      </c>
      <c r="I10" s="45">
        <f>IF('2 Stuff Data'!I53="",H10*0.9915,'2 Stuff Data'!I53)+'4 Season Planner'!I36</f>
        <v/>
      </c>
      <c r="J10" s="45">
        <f>IF('2 Stuff Data'!J53="",I10*0.9915,'2 Stuff Data'!J53)+'4 Season Planner'!J36</f>
        <v/>
      </c>
      <c r="K10" s="45">
        <f>IF('2 Stuff Data'!K53="",J10*0.9915,'2 Stuff Data'!K53)+'4 Season Planner'!K36</f>
        <v/>
      </c>
      <c r="L10" s="45">
        <f>IF('2 Stuff Data'!L53="",K10*0.9915,'2 Stuff Data'!L53)+'4 Season Planner'!L36</f>
        <v/>
      </c>
      <c r="M10" s="45">
        <f>IF('2 Stuff Data'!M53="",L10*0.9915,'2 Stuff Data'!M53)+'4 Season Planner'!M36</f>
        <v/>
      </c>
      <c r="N10" s="45">
        <f>IF('2 Stuff Data'!N53="",M10*0.9915,'2 Stuff Data'!N53)+'4 Season Planner'!N36</f>
        <v/>
      </c>
      <c r="O10" s="45">
        <f>IF('2 Stuff Data'!O53="",N10*0.9915,'2 Stuff Data'!O53)+'4 Season Planner'!O36</f>
        <v/>
      </c>
      <c r="P10" s="45">
        <f>IF('2 Stuff Data'!P53="",O10*0.9915,'2 Stuff Data'!P53)+'4 Season Planner'!P36</f>
        <v/>
      </c>
      <c r="Q10" s="45">
        <f>IF('2 Stuff Data'!Q53="",P10*0.9915,'2 Stuff Data'!Q53)+'4 Season Planner'!Q36</f>
        <v/>
      </c>
      <c r="R10" s="45">
        <f>IF('2 Stuff Data'!R53="",Q10*0.9915,'2 Stuff Data'!R53)+'4 Season Planner'!R36</f>
        <v/>
      </c>
      <c r="S10" s="45" t="n"/>
    </row>
    <row r="11" ht="14.25" customHeight="1" s="267">
      <c r="A11" s="45" t="inlineStr">
        <is>
          <t>Commercial</t>
        </is>
      </c>
      <c r="B11" s="45">
        <f>'2 Stuff Data'!B54+'4 Season Planner'!B37</f>
        <v/>
      </c>
      <c r="C11" s="45">
        <f>IF('2 Stuff Data'!C54="",B11*0.9915,'2 Stuff Data'!C54)+'4 Season Planner'!C37</f>
        <v/>
      </c>
      <c r="D11" s="45">
        <f>IF('2 Stuff Data'!D54="",C11*0.9915,'2 Stuff Data'!D54)+'4 Season Planner'!D37</f>
        <v/>
      </c>
      <c r="E11" s="45">
        <f>IF('2 Stuff Data'!E54="",D11*0.9915,'2 Stuff Data'!E54)+'4 Season Planner'!E37</f>
        <v/>
      </c>
      <c r="F11" s="45">
        <f>IF('2 Stuff Data'!F54="",E11*0.9915,'2 Stuff Data'!F54)+'4 Season Planner'!F37</f>
        <v/>
      </c>
      <c r="G11" s="45">
        <f>IF('2 Stuff Data'!G54="",F11*0.9915,'2 Stuff Data'!G54)+'4 Season Planner'!G37</f>
        <v/>
      </c>
      <c r="H11" s="45">
        <f>IF('2 Stuff Data'!H54="",G11*0.9915,'2 Stuff Data'!H54)+'4 Season Planner'!H37</f>
        <v/>
      </c>
      <c r="I11" s="45">
        <f>IF('2 Stuff Data'!I54="",H11*0.9915,'2 Stuff Data'!I54)+'4 Season Planner'!I37</f>
        <v/>
      </c>
      <c r="J11" s="45">
        <f>IF('2 Stuff Data'!J54="",I11*0.9915,'2 Stuff Data'!J54)+'4 Season Planner'!J37</f>
        <v/>
      </c>
      <c r="K11" s="45">
        <f>IF('2 Stuff Data'!K54="",J11*0.9915,'2 Stuff Data'!K54)+'4 Season Planner'!K37</f>
        <v/>
      </c>
      <c r="L11" s="45">
        <f>IF('2 Stuff Data'!L54="",K11*0.9915,'2 Stuff Data'!L54)+'4 Season Planner'!L37</f>
        <v/>
      </c>
      <c r="M11" s="45">
        <f>IF('2 Stuff Data'!M54="",L11*0.9915,'2 Stuff Data'!M54)+'4 Season Planner'!M37</f>
        <v/>
      </c>
      <c r="N11" s="45">
        <f>IF('2 Stuff Data'!N54="",M11*0.9915,'2 Stuff Data'!N54)+'4 Season Planner'!N37</f>
        <v/>
      </c>
      <c r="O11" s="45">
        <f>IF('2 Stuff Data'!O54="",N11*0.9915,'2 Stuff Data'!O54)+'4 Season Planner'!O37</f>
        <v/>
      </c>
      <c r="P11" s="45">
        <f>IF('2 Stuff Data'!P54="",O11*0.9915,'2 Stuff Data'!P54)+'4 Season Planner'!P37</f>
        <v/>
      </c>
      <c r="Q11" s="45">
        <f>IF('2 Stuff Data'!Q54="",P11*0.9915,'2 Stuff Data'!Q54)+'4 Season Planner'!Q37</f>
        <v/>
      </c>
      <c r="R11" s="45">
        <f>IF('2 Stuff Data'!R54="",Q11*0.9915,'2 Stuff Data'!R54)+'4 Season Planner'!R37</f>
        <v/>
      </c>
      <c r="S11" s="45" t="n"/>
    </row>
    <row r="12" ht="14.25" customHeight="1" s="267">
      <c r="A12" s="45" t="n"/>
      <c r="B12" s="45" t="n"/>
      <c r="C12" s="45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</row>
    <row r="13" ht="14.25" customHeight="1" s="267">
      <c r="A13" s="45" t="inlineStr">
        <is>
          <t>Driver training</t>
        </is>
      </c>
      <c r="B13" s="45" t="n"/>
      <c r="C13" s="45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</row>
    <row r="14" ht="14.25" customHeight="1" s="267">
      <c r="A14" s="235" t="inlineStr">
        <is>
          <t>Fitness Class</t>
        </is>
      </c>
      <c r="B14" s="236">
        <f>-IF('4 Season Planner'!B18="",0,'13 Miscellaneous Data'!$B49)</f>
        <v/>
      </c>
      <c r="C14" s="236">
        <f>-IF('4 Season Planner'!C18="",0,'13 Miscellaneous Data'!$B49)</f>
        <v/>
      </c>
      <c r="D14" s="236">
        <f>-IF('4 Season Planner'!D18="",0,'13 Miscellaneous Data'!$B49)</f>
        <v/>
      </c>
      <c r="E14" s="236">
        <f>-IF('4 Season Planner'!E18="",0,'13 Miscellaneous Data'!$B49)</f>
        <v/>
      </c>
      <c r="F14" s="236">
        <f>-IF('4 Season Planner'!F18="",0,'13 Miscellaneous Data'!$B49)</f>
        <v/>
      </c>
      <c r="G14" s="236">
        <f>-IF('4 Season Planner'!G18="",0,'13 Miscellaneous Data'!$B49)</f>
        <v/>
      </c>
      <c r="H14" s="236">
        <f>-IF('4 Season Planner'!H18="",0,'13 Miscellaneous Data'!$B49)</f>
        <v/>
      </c>
      <c r="I14" s="236">
        <f>-IF('4 Season Planner'!I18="",0,'13 Miscellaneous Data'!$B49)</f>
        <v/>
      </c>
      <c r="J14" s="236">
        <f>-IF('4 Season Planner'!J18="",0,'13 Miscellaneous Data'!$B49)</f>
        <v/>
      </c>
      <c r="K14" s="236">
        <f>-IF('4 Season Planner'!K18="",0,'13 Miscellaneous Data'!$B49)</f>
        <v/>
      </c>
      <c r="L14" s="236">
        <f>-IF('4 Season Planner'!L18="",0,'13 Miscellaneous Data'!$B49)</f>
        <v/>
      </c>
      <c r="M14" s="236">
        <f>-IF('4 Season Planner'!M18="",0,'13 Miscellaneous Data'!$B49)</f>
        <v/>
      </c>
      <c r="N14" s="236">
        <f>-IF('4 Season Planner'!N18="",0,'13 Miscellaneous Data'!$B49)</f>
        <v/>
      </c>
      <c r="O14" s="236">
        <f>-IF('4 Season Planner'!O18="",0,'13 Miscellaneous Data'!$B49)</f>
        <v/>
      </c>
      <c r="P14" s="236">
        <f>-IF('4 Season Planner'!P18="",0,'13 Miscellaneous Data'!$B49)</f>
        <v/>
      </c>
      <c r="Q14" s="236">
        <f>-IF('4 Season Planner'!Q18="",0,'13 Miscellaneous Data'!$B49)</f>
        <v/>
      </c>
      <c r="R14" s="236">
        <f>-IF('4 Season Planner'!R18="",0,'13 Miscellaneous Data'!$B49)</f>
        <v/>
      </c>
      <c r="S14" s="45" t="n"/>
    </row>
    <row r="15" ht="14.25" customHeight="1" s="267">
      <c r="A15" s="235" t="inlineStr">
        <is>
          <t>Yoga</t>
        </is>
      </c>
      <c r="B15" s="236">
        <f>-IF('4 Season Planner'!B19="",0,'13 Miscellaneous Data'!$B50)</f>
        <v/>
      </c>
      <c r="C15" s="236">
        <f>-IF('4 Season Planner'!C19="",0,'13 Miscellaneous Data'!$B50)</f>
        <v/>
      </c>
      <c r="D15" s="236">
        <f>-IF('4 Season Planner'!D19="",0,'13 Miscellaneous Data'!$B50)</f>
        <v/>
      </c>
      <c r="E15" s="236">
        <f>-IF('4 Season Planner'!E19="",0,'13 Miscellaneous Data'!$B50)</f>
        <v/>
      </c>
      <c r="F15" s="236">
        <f>-IF('4 Season Planner'!F19="",0,'13 Miscellaneous Data'!$B50)</f>
        <v/>
      </c>
      <c r="G15" s="236">
        <f>-IF('4 Season Planner'!G19="",0,'13 Miscellaneous Data'!$B50)</f>
        <v/>
      </c>
      <c r="H15" s="236">
        <f>-IF('4 Season Planner'!H19="",0,'13 Miscellaneous Data'!$B50)</f>
        <v/>
      </c>
      <c r="I15" s="236">
        <f>-IF('4 Season Planner'!I19="",0,'13 Miscellaneous Data'!$B50)</f>
        <v/>
      </c>
      <c r="J15" s="236">
        <f>-IF('4 Season Planner'!J19="",0,'13 Miscellaneous Data'!$B50)</f>
        <v/>
      </c>
      <c r="K15" s="236">
        <f>-IF('4 Season Planner'!K19="",0,'13 Miscellaneous Data'!$B50)</f>
        <v/>
      </c>
      <c r="L15" s="236">
        <f>-IF('4 Season Planner'!L19="",0,'13 Miscellaneous Data'!$B50)</f>
        <v/>
      </c>
      <c r="M15" s="236">
        <f>-IF('4 Season Planner'!M19="",0,'13 Miscellaneous Data'!$B50)</f>
        <v/>
      </c>
      <c r="N15" s="236">
        <f>-IF('4 Season Planner'!N19="",0,'13 Miscellaneous Data'!$B50)</f>
        <v/>
      </c>
      <c r="O15" s="236">
        <f>-IF('4 Season Planner'!O19="",0,'13 Miscellaneous Data'!$B50)</f>
        <v/>
      </c>
      <c r="P15" s="236">
        <f>-IF('4 Season Planner'!P19="",0,'13 Miscellaneous Data'!$B50)</f>
        <v/>
      </c>
      <c r="Q15" s="236">
        <f>-IF('4 Season Planner'!Q19="",0,'13 Miscellaneous Data'!$B50)</f>
        <v/>
      </c>
      <c r="R15" s="236">
        <f>-IF('4 Season Planner'!R19="",0,'13 Miscellaneous Data'!$B50)</f>
        <v/>
      </c>
      <c r="S15" s="45" t="n"/>
    </row>
    <row r="16" ht="14.25" customHeight="1" s="267">
      <c r="A16" s="235" t="inlineStr">
        <is>
          <t>PR Training</t>
        </is>
      </c>
      <c r="B16" s="236">
        <f>-IF('4 Season Planner'!B20="",0,'13 Miscellaneous Data'!$B51)</f>
        <v/>
      </c>
      <c r="C16" s="236">
        <f>-IF('4 Season Planner'!C20="",0,'13 Miscellaneous Data'!$B51)</f>
        <v/>
      </c>
      <c r="D16" s="236">
        <f>-IF('4 Season Planner'!D20="",0,'13 Miscellaneous Data'!$B51)</f>
        <v/>
      </c>
      <c r="E16" s="236">
        <f>-IF('4 Season Planner'!E20="",0,'13 Miscellaneous Data'!$B51)</f>
        <v/>
      </c>
      <c r="F16" s="236">
        <f>-IF('4 Season Planner'!F20="",0,'13 Miscellaneous Data'!$B51)</f>
        <v/>
      </c>
      <c r="G16" s="236">
        <f>-IF('4 Season Planner'!G20="",0,'13 Miscellaneous Data'!$B51)</f>
        <v/>
      </c>
      <c r="H16" s="236">
        <f>-IF('4 Season Planner'!H20="",0,'13 Miscellaneous Data'!$B51)</f>
        <v/>
      </c>
      <c r="I16" s="236">
        <f>-IF('4 Season Planner'!I20="",0,'13 Miscellaneous Data'!$B51)</f>
        <v/>
      </c>
      <c r="J16" s="236">
        <f>-IF('4 Season Planner'!J20="",0,'13 Miscellaneous Data'!$B51)</f>
        <v/>
      </c>
      <c r="K16" s="236">
        <f>-IF('4 Season Planner'!K20="",0,'13 Miscellaneous Data'!$B51)</f>
        <v/>
      </c>
      <c r="L16" s="236">
        <f>-IF('4 Season Planner'!L20="",0,'13 Miscellaneous Data'!$B51)</f>
        <v/>
      </c>
      <c r="M16" s="236">
        <f>-IF('4 Season Planner'!M20="",0,'13 Miscellaneous Data'!$B51)</f>
        <v/>
      </c>
      <c r="N16" s="236">
        <f>-IF('4 Season Planner'!N20="",0,'13 Miscellaneous Data'!$B51)</f>
        <v/>
      </c>
      <c r="O16" s="236">
        <f>-IF('4 Season Planner'!O20="",0,'13 Miscellaneous Data'!$B51)</f>
        <v/>
      </c>
      <c r="P16" s="236">
        <f>-IF('4 Season Planner'!P20="",0,'13 Miscellaneous Data'!$B51)</f>
        <v/>
      </c>
      <c r="Q16" s="236">
        <f>-IF('4 Season Planner'!Q20="",0,'13 Miscellaneous Data'!$B51)</f>
        <v/>
      </c>
      <c r="R16" s="236">
        <f>-IF('4 Season Planner'!R20="",0,'13 Miscellaneous Data'!$B51)</f>
        <v/>
      </c>
      <c r="S16" s="45" t="n"/>
    </row>
    <row r="17" ht="14.25" customHeight="1" s="267">
      <c r="A17" s="235" t="inlineStr">
        <is>
          <t>Tech Training</t>
        </is>
      </c>
      <c r="B17" s="236">
        <f>-IF('4 Season Planner'!B21="",0,'13 Miscellaneous Data'!$B52)</f>
        <v/>
      </c>
      <c r="C17" s="236">
        <f>-IF('4 Season Planner'!C21="",0,'13 Miscellaneous Data'!$B52)</f>
        <v/>
      </c>
      <c r="D17" s="236">
        <f>-IF('4 Season Planner'!D21="",0,'13 Miscellaneous Data'!$B52)</f>
        <v/>
      </c>
      <c r="E17" s="236">
        <f>-IF('4 Season Planner'!E21="",0,'13 Miscellaneous Data'!$B52)</f>
        <v/>
      </c>
      <c r="F17" s="236">
        <f>-IF('4 Season Planner'!F21="",0,'13 Miscellaneous Data'!$B52)</f>
        <v/>
      </c>
      <c r="G17" s="236">
        <f>-IF('4 Season Planner'!G21="",0,'13 Miscellaneous Data'!$B52)</f>
        <v/>
      </c>
      <c r="H17" s="236">
        <f>-IF('4 Season Planner'!H21="",0,'13 Miscellaneous Data'!$B52)</f>
        <v/>
      </c>
      <c r="I17" s="236">
        <f>-IF('4 Season Planner'!I21="",0,'13 Miscellaneous Data'!$B52)</f>
        <v/>
      </c>
      <c r="J17" s="236">
        <f>-IF('4 Season Planner'!J21="",0,'13 Miscellaneous Data'!$B52)</f>
        <v/>
      </c>
      <c r="K17" s="236">
        <f>-IF('4 Season Planner'!K21="",0,'13 Miscellaneous Data'!$B52)</f>
        <v/>
      </c>
      <c r="L17" s="236">
        <f>-IF('4 Season Planner'!L21="",0,'13 Miscellaneous Data'!$B52)</f>
        <v/>
      </c>
      <c r="M17" s="236">
        <f>-IF('4 Season Planner'!M21="",0,'13 Miscellaneous Data'!$B52)</f>
        <v/>
      </c>
      <c r="N17" s="236">
        <f>-IF('4 Season Planner'!N21="",0,'13 Miscellaneous Data'!$B52)</f>
        <v/>
      </c>
      <c r="O17" s="236">
        <f>-IF('4 Season Planner'!O21="",0,'13 Miscellaneous Data'!$B52)</f>
        <v/>
      </c>
      <c r="P17" s="236">
        <f>-IF('4 Season Planner'!P21="",0,'13 Miscellaneous Data'!$B52)</f>
        <v/>
      </c>
      <c r="Q17" s="236">
        <f>-IF('4 Season Planner'!Q21="",0,'13 Miscellaneous Data'!$B52)</f>
        <v/>
      </c>
      <c r="R17" s="236">
        <f>-IF('4 Season Planner'!R21="",0,'13 Miscellaneous Data'!$B52)</f>
        <v/>
      </c>
      <c r="S17" s="45" t="n"/>
    </row>
    <row r="18" ht="14.25" customHeight="1" s="267">
      <c r="A18" s="235" t="inlineStr">
        <is>
          <t>Sports Psychologist</t>
        </is>
      </c>
      <c r="B18" s="236">
        <f>-IF('4 Season Planner'!B22="",0,'13 Miscellaneous Data'!$B53)</f>
        <v/>
      </c>
      <c r="C18" s="236">
        <f>-IF('4 Season Planner'!C22="",0,'13 Miscellaneous Data'!$B53)</f>
        <v/>
      </c>
      <c r="D18" s="236">
        <f>-IF('4 Season Planner'!D22="",0,'13 Miscellaneous Data'!$B53)</f>
        <v/>
      </c>
      <c r="E18" s="236">
        <f>-IF('4 Season Planner'!E22="",0,'13 Miscellaneous Data'!$B53)</f>
        <v/>
      </c>
      <c r="F18" s="236">
        <f>-IF('4 Season Planner'!F22="",0,'13 Miscellaneous Data'!$B53)</f>
        <v/>
      </c>
      <c r="G18" s="236">
        <f>-IF('4 Season Planner'!G22="",0,'13 Miscellaneous Data'!$B53)</f>
        <v/>
      </c>
      <c r="H18" s="236">
        <f>-IF('4 Season Planner'!H22="",0,'13 Miscellaneous Data'!$B53)</f>
        <v/>
      </c>
      <c r="I18" s="236">
        <f>-IF('4 Season Planner'!I22="",0,'13 Miscellaneous Data'!$B53)</f>
        <v/>
      </c>
      <c r="J18" s="236">
        <f>-IF('4 Season Planner'!J22="",0,'13 Miscellaneous Data'!$B53)</f>
        <v/>
      </c>
      <c r="K18" s="236">
        <f>-IF('4 Season Planner'!K22="",0,'13 Miscellaneous Data'!$B53)</f>
        <v/>
      </c>
      <c r="L18" s="236">
        <f>-IF('4 Season Planner'!L22="",0,'13 Miscellaneous Data'!$B53)</f>
        <v/>
      </c>
      <c r="M18" s="236">
        <f>-IF('4 Season Planner'!M22="",0,'13 Miscellaneous Data'!$B53)</f>
        <v/>
      </c>
      <c r="N18" s="236">
        <f>-IF('4 Season Planner'!N22="",0,'13 Miscellaneous Data'!$B53)</f>
        <v/>
      </c>
      <c r="O18" s="236">
        <f>-IF('4 Season Planner'!O22="",0,'13 Miscellaneous Data'!$B53)</f>
        <v/>
      </c>
      <c r="P18" s="236">
        <f>-IF('4 Season Planner'!P22="",0,'13 Miscellaneous Data'!$B53)</f>
        <v/>
      </c>
      <c r="Q18" s="236">
        <f>-IF('4 Season Planner'!Q22="",0,'13 Miscellaneous Data'!$B53)</f>
        <v/>
      </c>
      <c r="R18" s="236">
        <f>-IF('4 Season Planner'!R22="",0,'13 Miscellaneous Data'!$B53)</f>
        <v/>
      </c>
      <c r="S18" s="45" t="n"/>
    </row>
    <row r="19" ht="14.25" customHeight="1" s="267">
      <c r="A19" s="235" t="inlineStr">
        <is>
          <t>Ninja Class</t>
        </is>
      </c>
      <c r="B19" s="236">
        <f>-IF('4 Season Planner'!B23="",0,'13 Miscellaneous Data'!$B54)</f>
        <v/>
      </c>
      <c r="C19" s="236">
        <f>-IF('4 Season Planner'!C23="",0,'13 Miscellaneous Data'!$B54)</f>
        <v/>
      </c>
      <c r="D19" s="236">
        <f>-IF('4 Season Planner'!D23="",0,'13 Miscellaneous Data'!$B54)</f>
        <v/>
      </c>
      <c r="E19" s="236">
        <f>-IF('4 Season Planner'!E23="",0,'13 Miscellaneous Data'!$B54)</f>
        <v/>
      </c>
      <c r="F19" s="236">
        <f>-IF('4 Season Planner'!F23="",0,'13 Miscellaneous Data'!$B54)</f>
        <v/>
      </c>
      <c r="G19" s="236">
        <f>-IF('4 Season Planner'!G23="",0,'13 Miscellaneous Data'!$B54)</f>
        <v/>
      </c>
      <c r="H19" s="236">
        <f>-IF('4 Season Planner'!H23="",0,'13 Miscellaneous Data'!$B54)</f>
        <v/>
      </c>
      <c r="I19" s="236">
        <f>-IF('4 Season Planner'!I23="",0,'13 Miscellaneous Data'!$B54)</f>
        <v/>
      </c>
      <c r="J19" s="236">
        <f>-IF('4 Season Planner'!J23="",0,'13 Miscellaneous Data'!$B54)</f>
        <v/>
      </c>
      <c r="K19" s="236">
        <f>-IF('4 Season Planner'!K23="",0,'13 Miscellaneous Data'!$B54)</f>
        <v/>
      </c>
      <c r="L19" s="236">
        <f>-IF('4 Season Planner'!L23="",0,'13 Miscellaneous Data'!$B54)</f>
        <v/>
      </c>
      <c r="M19" s="236">
        <f>-IF('4 Season Planner'!M23="",0,'13 Miscellaneous Data'!$B54)</f>
        <v/>
      </c>
      <c r="N19" s="236">
        <f>-IF('4 Season Planner'!N23="",0,'13 Miscellaneous Data'!$B54)</f>
        <v/>
      </c>
      <c r="O19" s="236">
        <f>-IF('4 Season Planner'!O23="",0,'13 Miscellaneous Data'!$B54)</f>
        <v/>
      </c>
      <c r="P19" s="236">
        <f>-IF('4 Season Planner'!P23="",0,'13 Miscellaneous Data'!$B54)</f>
        <v/>
      </c>
      <c r="Q19" s="236">
        <f>-IF('4 Season Planner'!Q23="",0,'13 Miscellaneous Data'!$B54)</f>
        <v/>
      </c>
      <c r="R19" s="236">
        <f>-IF('4 Season Planner'!R23="",0,'13 Miscellaneous Data'!$B54)</f>
        <v/>
      </c>
      <c r="S19" s="45" t="n"/>
    </row>
    <row r="20" ht="14.25" customHeight="1" s="267">
      <c r="A20" s="45" t="n"/>
      <c r="B20" s="236">
        <f>SUM(B14:B19)</f>
        <v/>
      </c>
      <c r="C20" s="236">
        <f>SUM(C14:C19)</f>
        <v/>
      </c>
      <c r="D20" s="236">
        <f>SUM(D14:D19)</f>
        <v/>
      </c>
      <c r="E20" s="236">
        <f>SUM(E14:E19)</f>
        <v/>
      </c>
      <c r="F20" s="236">
        <f>SUM(F14:F19)</f>
        <v/>
      </c>
      <c r="G20" s="236">
        <f>SUM(G14:G19)</f>
        <v/>
      </c>
      <c r="H20" s="236">
        <f>SUM(H14:H19)</f>
        <v/>
      </c>
      <c r="I20" s="236">
        <f>SUM(I14:I19)</f>
        <v/>
      </c>
      <c r="J20" s="236">
        <f>SUM(J14:J19)</f>
        <v/>
      </c>
      <c r="K20" s="236">
        <f>SUM(K14:K19)</f>
        <v/>
      </c>
      <c r="L20" s="236">
        <f>SUM(L14:L19)</f>
        <v/>
      </c>
      <c r="M20" s="236">
        <f>SUM(M14:M19)</f>
        <v/>
      </c>
      <c r="N20" s="236">
        <f>SUM(N14:N19)</f>
        <v/>
      </c>
      <c r="O20" s="236">
        <f>SUM(O14:O19)</f>
        <v/>
      </c>
      <c r="P20" s="236">
        <f>SUM(P14:P19)</f>
        <v/>
      </c>
      <c r="Q20" s="236">
        <f>SUM(Q14:Q19)</f>
        <v/>
      </c>
      <c r="R20" s="236">
        <f>SUM(R14:R19)</f>
        <v/>
      </c>
      <c r="S20" s="45" t="n"/>
    </row>
    <row r="21" ht="14.25" customHeight="1" s="267">
      <c r="A21" s="45" t="n"/>
      <c r="B21" s="45" t="n"/>
      <c r="C21" s="45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</row>
    <row r="22" ht="14.25" customHeight="1" s="267">
      <c r="A22" s="237" t="inlineStr">
        <is>
          <t>STAFF TRAINING</t>
        </is>
      </c>
      <c r="B22" s="45" t="n"/>
      <c r="C22" s="45" t="n"/>
      <c r="D22" s="45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</row>
    <row r="23" ht="14.25" customHeight="1" s="267">
      <c r="A23" s="235" t="inlineStr">
        <is>
          <t>Stress Handling</t>
        </is>
      </c>
      <c r="B23" s="238">
        <f>-IF('4 Season Planner'!B26="",0,'13 Miscellaneous Data'!$B57)</f>
        <v/>
      </c>
      <c r="C23" s="238">
        <f>-IF('4 Season Planner'!C26="",0,'13 Miscellaneous Data'!$B57)</f>
        <v/>
      </c>
      <c r="D23" s="238">
        <f>-IF('4 Season Planner'!D26="",0,'13 Miscellaneous Data'!$B57)</f>
        <v/>
      </c>
      <c r="E23" s="238">
        <f>-IF('4 Season Planner'!E26="",0,'13 Miscellaneous Data'!$B57)</f>
        <v/>
      </c>
      <c r="F23" s="238">
        <f>-IF('4 Season Planner'!F26="",0,'13 Miscellaneous Data'!$B57)</f>
        <v/>
      </c>
      <c r="G23" s="238">
        <f>-IF('4 Season Planner'!G26="",0,'13 Miscellaneous Data'!$B57)</f>
        <v/>
      </c>
      <c r="H23" s="238">
        <f>-IF('4 Season Planner'!H26="",0,'13 Miscellaneous Data'!$B57)</f>
        <v/>
      </c>
      <c r="I23" s="238">
        <f>-IF('4 Season Planner'!I26="",0,'13 Miscellaneous Data'!$B57)</f>
        <v/>
      </c>
      <c r="J23" s="238">
        <f>-IF('4 Season Planner'!J26="",0,'13 Miscellaneous Data'!$B57)</f>
        <v/>
      </c>
      <c r="K23" s="238">
        <f>-IF('4 Season Planner'!K26="",0,'13 Miscellaneous Data'!$B57)</f>
        <v/>
      </c>
      <c r="L23" s="238">
        <f>-IF('4 Season Planner'!L26="",0,'13 Miscellaneous Data'!$B57)</f>
        <v/>
      </c>
      <c r="M23" s="238">
        <f>-IF('4 Season Planner'!M26="",0,'13 Miscellaneous Data'!$B57)</f>
        <v/>
      </c>
      <c r="N23" s="238">
        <f>-IF('4 Season Planner'!N26="",0,'13 Miscellaneous Data'!$B57)</f>
        <v/>
      </c>
      <c r="O23" s="238">
        <f>-IF('4 Season Planner'!O26="",0,'13 Miscellaneous Data'!$B57)</f>
        <v/>
      </c>
      <c r="P23" s="238">
        <f>-IF('4 Season Planner'!P26="",0,'13 Miscellaneous Data'!$B57)</f>
        <v/>
      </c>
      <c r="Q23" s="238">
        <f>-IF('4 Season Planner'!Q26="",0,'13 Miscellaneous Data'!$B57)</f>
        <v/>
      </c>
      <c r="R23" s="238">
        <f>-IF('4 Season Planner'!R26="",0,'13 Miscellaneous Data'!$B57)</f>
        <v/>
      </c>
      <c r="S23" s="45" t="n"/>
    </row>
    <row r="24" ht="14.25" customHeight="1" s="267">
      <c r="A24" s="235" t="inlineStr">
        <is>
          <t>Concentration</t>
        </is>
      </c>
      <c r="B24" s="238">
        <f>-IF('4 Season Planner'!B27="",0,'13 Miscellaneous Data'!$B58)</f>
        <v/>
      </c>
      <c r="C24" s="238">
        <f>-IF('4 Season Planner'!C27="",0,'13 Miscellaneous Data'!$B58)</f>
        <v/>
      </c>
      <c r="D24" s="238">
        <f>-IF('4 Season Planner'!D27="",0,'13 Miscellaneous Data'!$B58)</f>
        <v/>
      </c>
      <c r="E24" s="238">
        <f>-IF('4 Season Planner'!E27="",0,'13 Miscellaneous Data'!$B58)</f>
        <v/>
      </c>
      <c r="F24" s="238">
        <f>-IF('4 Season Planner'!F27="",0,'13 Miscellaneous Data'!$B58)</f>
        <v/>
      </c>
      <c r="G24" s="238">
        <f>-IF('4 Season Planner'!G27="",0,'13 Miscellaneous Data'!$B58)</f>
        <v/>
      </c>
      <c r="H24" s="238">
        <f>-IF('4 Season Planner'!H27="",0,'13 Miscellaneous Data'!$B58)</f>
        <v/>
      </c>
      <c r="I24" s="238">
        <f>-IF('4 Season Planner'!I27="",0,'13 Miscellaneous Data'!$B58)</f>
        <v/>
      </c>
      <c r="J24" s="238">
        <f>-IF('4 Season Planner'!J27="",0,'13 Miscellaneous Data'!$B58)</f>
        <v/>
      </c>
      <c r="K24" s="238">
        <f>-IF('4 Season Planner'!K27="",0,'13 Miscellaneous Data'!$B58)</f>
        <v/>
      </c>
      <c r="L24" s="238">
        <f>-IF('4 Season Planner'!L27="",0,'13 Miscellaneous Data'!$B58)</f>
        <v/>
      </c>
      <c r="M24" s="238">
        <f>-IF('4 Season Planner'!M27="",0,'13 Miscellaneous Data'!$B58)</f>
        <v/>
      </c>
      <c r="N24" s="238">
        <f>-IF('4 Season Planner'!N27="",0,'13 Miscellaneous Data'!$B58)</f>
        <v/>
      </c>
      <c r="O24" s="238">
        <f>-IF('4 Season Planner'!O27="",0,'13 Miscellaneous Data'!$B58)</f>
        <v/>
      </c>
      <c r="P24" s="238">
        <f>-IF('4 Season Planner'!P27="",0,'13 Miscellaneous Data'!$B58)</f>
        <v/>
      </c>
      <c r="Q24" s="238">
        <f>-IF('4 Season Planner'!Q27="",0,'13 Miscellaneous Data'!$B58)</f>
        <v/>
      </c>
      <c r="R24" s="238">
        <f>-IF('4 Season Planner'!R27="",0,'13 Miscellaneous Data'!$B58)</f>
        <v/>
      </c>
      <c r="S24" s="45" t="n"/>
    </row>
    <row r="25" ht="14.25" customHeight="1" s="267">
      <c r="A25" s="235" t="inlineStr">
        <is>
          <t>Efficiency</t>
        </is>
      </c>
      <c r="B25" s="238">
        <f>-IF('4 Season Planner'!B28="",0,'13 Miscellaneous Data'!$B59)</f>
        <v/>
      </c>
      <c r="C25" s="238">
        <f>-IF('4 Season Planner'!C28="",0,'13 Miscellaneous Data'!$B59)</f>
        <v/>
      </c>
      <c r="D25" s="238">
        <f>-IF('4 Season Planner'!D28="",0,'13 Miscellaneous Data'!$B59)</f>
        <v/>
      </c>
      <c r="E25" s="238">
        <f>-IF('4 Season Planner'!E28="",0,'13 Miscellaneous Data'!$B59)</f>
        <v/>
      </c>
      <c r="F25" s="238">
        <f>-IF('4 Season Planner'!F28="",0,'13 Miscellaneous Data'!$B59)</f>
        <v/>
      </c>
      <c r="G25" s="238">
        <f>-IF('4 Season Planner'!G28="",0,'13 Miscellaneous Data'!$B59)</f>
        <v/>
      </c>
      <c r="H25" s="238">
        <f>-IF('4 Season Planner'!H28="",0,'13 Miscellaneous Data'!$B59)</f>
        <v/>
      </c>
      <c r="I25" s="238">
        <f>-IF('4 Season Planner'!I28="",0,'13 Miscellaneous Data'!$B59)</f>
        <v/>
      </c>
      <c r="J25" s="238">
        <f>-IF('4 Season Planner'!J28="",0,'13 Miscellaneous Data'!$B59)</f>
        <v/>
      </c>
      <c r="K25" s="238">
        <f>-IF('4 Season Planner'!K28="",0,'13 Miscellaneous Data'!$B59)</f>
        <v/>
      </c>
      <c r="L25" s="238">
        <f>-IF('4 Season Planner'!L28="",0,'13 Miscellaneous Data'!$B59)</f>
        <v/>
      </c>
      <c r="M25" s="238">
        <f>-IF('4 Season Planner'!M28="",0,'13 Miscellaneous Data'!$B59)</f>
        <v/>
      </c>
      <c r="N25" s="238">
        <f>-IF('4 Season Planner'!N28="",0,'13 Miscellaneous Data'!$B59)</f>
        <v/>
      </c>
      <c r="O25" s="238">
        <f>-IF('4 Season Planner'!O28="",0,'13 Miscellaneous Data'!$B59)</f>
        <v/>
      </c>
      <c r="P25" s="238">
        <f>-IF('4 Season Planner'!P28="",0,'13 Miscellaneous Data'!$B59)</f>
        <v/>
      </c>
      <c r="Q25" s="238">
        <f>-IF('4 Season Planner'!Q28="",0,'13 Miscellaneous Data'!$B59)</f>
        <v/>
      </c>
      <c r="R25" s="238">
        <f>-IF('4 Season Planner'!R28="",0,'13 Miscellaneous Data'!$B59)</f>
        <v/>
      </c>
      <c r="S25" s="45" t="n"/>
    </row>
    <row r="26" ht="14.25" customHeight="1" s="267">
      <c r="A26" s="235" t="n"/>
      <c r="B26" s="238">
        <f>SUM(B23:B25)</f>
        <v/>
      </c>
      <c r="C26" s="238">
        <f>SUM(C23:C25)</f>
        <v/>
      </c>
      <c r="D26" s="238">
        <f>SUM(D23:D25)</f>
        <v/>
      </c>
      <c r="E26" s="238">
        <f>SUM(E23:E25)</f>
        <v/>
      </c>
      <c r="F26" s="238">
        <f>SUM(F23:F25)</f>
        <v/>
      </c>
      <c r="G26" s="238">
        <f>SUM(G23:G25)</f>
        <v/>
      </c>
      <c r="H26" s="238">
        <f>SUM(H23:H25)</f>
        <v/>
      </c>
      <c r="I26" s="238">
        <f>SUM(I23:I25)</f>
        <v/>
      </c>
      <c r="J26" s="238">
        <f>SUM(J23:J25)</f>
        <v/>
      </c>
      <c r="K26" s="238">
        <f>SUM(K23:K25)</f>
        <v/>
      </c>
      <c r="L26" s="238">
        <f>SUM(L23:L25)</f>
        <v/>
      </c>
      <c r="M26" s="238">
        <f>SUM(M23:M25)</f>
        <v/>
      </c>
      <c r="N26" s="238">
        <f>SUM(N23:N25)</f>
        <v/>
      </c>
      <c r="O26" s="238">
        <f>SUM(O23:O25)</f>
        <v/>
      </c>
      <c r="P26" s="238">
        <f>SUM(P23:P25)</f>
        <v/>
      </c>
      <c r="Q26" s="238">
        <f>SUM(Q23:Q25)</f>
        <v/>
      </c>
      <c r="R26" s="238">
        <f>SUM(R23:R25)</f>
        <v/>
      </c>
      <c r="S26" s="45" t="n"/>
    </row>
    <row r="27" ht="14.25" customHeight="1" s="267">
      <c r="A27" s="235" t="n"/>
      <c r="B27" s="45" t="n"/>
      <c r="C27" s="45" t="n"/>
      <c r="D27" s="45" t="n"/>
      <c r="E27" s="45" t="n"/>
      <c r="F27" s="45" t="n"/>
      <c r="G27" s="45" t="n"/>
      <c r="H27" s="45" t="n"/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</row>
    <row r="28" ht="14.25" customHeight="1" s="267">
      <c r="A28" s="237" t="inlineStr">
        <is>
          <t>FACILITIES</t>
        </is>
      </c>
      <c r="B28" s="45" t="n"/>
      <c r="C28" s="45" t="n"/>
      <c r="D28" s="45" t="n"/>
      <c r="E28" s="45" t="n"/>
      <c r="F28" s="45" t="n"/>
      <c r="G28" s="45" t="n"/>
      <c r="H28" s="45" t="n"/>
      <c r="I28" s="45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</row>
    <row r="29" ht="14.25" customHeight="1" s="267">
      <c r="A29" s="235" t="inlineStr">
        <is>
          <t>Windtunnel</t>
        </is>
      </c>
      <c r="B29" s="238">
        <f>IF('4 Season Planner'!B31&gt;0,-(0.195-0.005*('4 Season Planner'!B31-1))*'4 Season Planner'!B31*37500*('9 Calculated Stuff Data'!B48+20-'4 Season Planner'!B31),0)</f>
        <v/>
      </c>
      <c r="C29" s="238">
        <f>IF('4 Season Planner'!C31&gt;0,-(0.195-0.005*('4 Season Planner'!C31-1))*'4 Season Planner'!C31*37500*('9 Calculated Stuff Data'!C48+20-'4 Season Planner'!C31),0)</f>
        <v/>
      </c>
      <c r="D29" s="238">
        <f>IF('4 Season Planner'!D31&gt;0,-(0.195-0.005*('4 Season Planner'!D31-1))*'4 Season Planner'!D31*37500*('9 Calculated Stuff Data'!D48+20-'4 Season Planner'!D31),0)</f>
        <v/>
      </c>
      <c r="E29" s="238">
        <f>IF('4 Season Planner'!E31&gt;0,-(0.195-0.005*('4 Season Planner'!E31-1))*'4 Season Planner'!E31*37500*('9 Calculated Stuff Data'!E48+20-'4 Season Planner'!E31),0)</f>
        <v/>
      </c>
      <c r="F29" s="238">
        <f>IF('4 Season Planner'!F31&gt;0,-(0.195-0.005*('4 Season Planner'!F31-1))*'4 Season Planner'!F31*37500*('9 Calculated Stuff Data'!F48+20-'4 Season Planner'!F31),0)</f>
        <v/>
      </c>
      <c r="G29" s="238">
        <f>IF('4 Season Planner'!G31&gt;0,-(0.195-0.005*('4 Season Planner'!G31-1))*'4 Season Planner'!G31*37500*('9 Calculated Stuff Data'!G48+20-'4 Season Planner'!G31),0)</f>
        <v/>
      </c>
      <c r="H29" s="238">
        <f>IF('4 Season Planner'!H31&gt;0,-(0.195-0.005*('4 Season Planner'!H31-1))*'4 Season Planner'!H31*37500*('9 Calculated Stuff Data'!H48+20-'4 Season Planner'!H31),0)</f>
        <v/>
      </c>
      <c r="I29" s="238">
        <f>IF('4 Season Planner'!I31&gt;0,-(0.195-0.005*('4 Season Planner'!I31-1))*'4 Season Planner'!I31*37500*('9 Calculated Stuff Data'!I48+20-'4 Season Planner'!I31),0)</f>
        <v/>
      </c>
      <c r="J29" s="238">
        <f>IF('4 Season Planner'!J31&gt;0,-(0.195-0.005*('4 Season Planner'!J31-1))*'4 Season Planner'!J31*37500*('9 Calculated Stuff Data'!J48+20-'4 Season Planner'!J31),0)</f>
        <v/>
      </c>
      <c r="K29" s="238">
        <f>IF('4 Season Planner'!K31&gt;0,-(0.195-0.005*('4 Season Planner'!K31-1))*'4 Season Planner'!K31*37500*('9 Calculated Stuff Data'!K48+20-'4 Season Planner'!K31),0)</f>
        <v/>
      </c>
      <c r="L29" s="238">
        <f>IF('4 Season Planner'!L31&gt;0,-(0.195-0.005*('4 Season Planner'!L31-1))*'4 Season Planner'!L31*37500*('9 Calculated Stuff Data'!L48+20-'4 Season Planner'!L31),0)</f>
        <v/>
      </c>
      <c r="M29" s="238">
        <f>IF('4 Season Planner'!M31&gt;0,-(0.195-0.005*('4 Season Planner'!M31-1))*'4 Season Planner'!M31*37500*('9 Calculated Stuff Data'!M48+20-'4 Season Planner'!M31),0)</f>
        <v/>
      </c>
      <c r="N29" s="238">
        <f>IF('4 Season Planner'!N31&gt;0,-(0.195-0.005*('4 Season Planner'!N31-1))*'4 Season Planner'!N31*37500*('9 Calculated Stuff Data'!N48+20-'4 Season Planner'!N31),0)</f>
        <v/>
      </c>
      <c r="O29" s="238">
        <f>IF('4 Season Planner'!O31&gt;0,-(0.195-0.005*('4 Season Planner'!O31-1))*'4 Season Planner'!O31*37500*('9 Calculated Stuff Data'!O48+20-'4 Season Planner'!O31),0)</f>
        <v/>
      </c>
      <c r="P29" s="238">
        <f>IF('4 Season Planner'!P31&gt;0,-(0.195-0.005*('4 Season Planner'!P31-1))*'4 Season Planner'!P31*37500*('9 Calculated Stuff Data'!P48+20-'4 Season Planner'!P31),0)</f>
        <v/>
      </c>
      <c r="Q29" s="238">
        <f>IF('4 Season Planner'!Q31&gt;0,-(0.195-0.005*('4 Season Planner'!Q31-1))*'4 Season Planner'!Q31*37500*('9 Calculated Stuff Data'!Q48+20-'4 Season Planner'!Q31),0)</f>
        <v/>
      </c>
      <c r="R29" s="238">
        <f>IF('4 Season Planner'!R31&gt;0,-(0.195-0.005*('4 Season Planner'!R31-1))*'4 Season Planner'!R31*37500*('9 Calculated Stuff Data'!R48+20-'4 Season Planner'!R31),0)</f>
        <v/>
      </c>
      <c r="S29" s="45" t="n"/>
    </row>
    <row r="30" ht="14.25" customHeight="1" s="267">
      <c r="A30" s="235" t="inlineStr">
        <is>
          <t>Pit Stop Training Centre</t>
        </is>
      </c>
      <c r="B30" s="238">
        <f>IF('4 Season Planner'!B32&gt;0,-(0.195-0.005*('4 Season Planner'!B32-1))*'4 Season Planner'!B32*37500*('9 Calculated Stuff Data'!B49+20-'4 Season Planner'!B32),0)</f>
        <v/>
      </c>
      <c r="C30" s="238">
        <f>IF('4 Season Planner'!C32&gt;0,-(0.195-0.005*('4 Season Planner'!C32-1))*'4 Season Planner'!C32*37500*('9 Calculated Stuff Data'!C49+20-'4 Season Planner'!C32),0)</f>
        <v/>
      </c>
      <c r="D30" s="238">
        <f>IF('4 Season Planner'!D32&gt;0,-(0.195-0.005*('4 Season Planner'!D32-1))*'4 Season Planner'!D32*37500*('9 Calculated Stuff Data'!D49+20-'4 Season Planner'!D32),0)</f>
        <v/>
      </c>
      <c r="E30" s="238">
        <f>IF('4 Season Planner'!E32&gt;0,-(0.195-0.005*('4 Season Planner'!E32-1))*'4 Season Planner'!E32*37500*('9 Calculated Stuff Data'!E49+20-'4 Season Planner'!E32),0)</f>
        <v/>
      </c>
      <c r="F30" s="238">
        <f>IF('4 Season Planner'!F32&gt;0,-(0.195-0.005*('4 Season Planner'!F32-1))*'4 Season Planner'!F32*37500*('9 Calculated Stuff Data'!F49+20-'4 Season Planner'!F32),0)</f>
        <v/>
      </c>
      <c r="G30" s="238">
        <f>IF('4 Season Planner'!G32&gt;0,-(0.195-0.005*('4 Season Planner'!G32-1))*'4 Season Planner'!G32*37500*('9 Calculated Stuff Data'!G49+20-'4 Season Planner'!G32),0)</f>
        <v/>
      </c>
      <c r="H30" s="238">
        <f>IF('4 Season Planner'!H32&gt;0,-(0.195-0.005*('4 Season Planner'!H32-1))*'4 Season Planner'!H32*37500*('9 Calculated Stuff Data'!H49+20-'4 Season Planner'!H32),0)</f>
        <v/>
      </c>
      <c r="I30" s="238">
        <f>IF('4 Season Planner'!I32&gt;0,-(0.195-0.005*('4 Season Planner'!I32-1))*'4 Season Planner'!I32*37500*('9 Calculated Stuff Data'!I49+20-'4 Season Planner'!I32),0)</f>
        <v/>
      </c>
      <c r="J30" s="238">
        <f>IF('4 Season Planner'!J32&gt;0,-(0.195-0.005*('4 Season Planner'!J32-1))*'4 Season Planner'!J32*37500*('9 Calculated Stuff Data'!J49+20-'4 Season Planner'!J32),0)</f>
        <v/>
      </c>
      <c r="K30" s="238">
        <f>IF('4 Season Planner'!K32&gt;0,-(0.195-0.005*('4 Season Planner'!K32-1))*'4 Season Planner'!K32*37500*('9 Calculated Stuff Data'!K49+20-'4 Season Planner'!K32),0)</f>
        <v/>
      </c>
      <c r="L30" s="238">
        <f>IF('4 Season Planner'!L32&gt;0,-(0.195-0.005*('4 Season Planner'!L32-1))*'4 Season Planner'!L32*37500*('9 Calculated Stuff Data'!L49+20-'4 Season Planner'!L32),0)</f>
        <v/>
      </c>
      <c r="M30" s="238">
        <f>IF('4 Season Planner'!M32&gt;0,-(0.195-0.005*('4 Season Planner'!M32-1))*'4 Season Planner'!M32*37500*('9 Calculated Stuff Data'!M49+20-'4 Season Planner'!M32),0)</f>
        <v/>
      </c>
      <c r="N30" s="238">
        <f>IF('4 Season Planner'!N32&gt;0,-(0.195-0.005*('4 Season Planner'!N32-1))*'4 Season Planner'!N32*37500*('9 Calculated Stuff Data'!N49+20-'4 Season Planner'!N32),0)</f>
        <v/>
      </c>
      <c r="O30" s="238">
        <f>IF('4 Season Planner'!O32&gt;0,-(0.195-0.005*('4 Season Planner'!O32-1))*'4 Season Planner'!O32*37500*('9 Calculated Stuff Data'!O49+20-'4 Season Planner'!O32),0)</f>
        <v/>
      </c>
      <c r="P30" s="238">
        <f>IF('4 Season Planner'!P32&gt;0,-(0.195-0.005*('4 Season Planner'!P32-1))*'4 Season Planner'!P32*37500*('9 Calculated Stuff Data'!P49+20-'4 Season Planner'!P32),0)</f>
        <v/>
      </c>
      <c r="Q30" s="238">
        <f>IF('4 Season Planner'!Q32&gt;0,-(0.195-0.005*('4 Season Planner'!Q32-1))*'4 Season Planner'!Q32*37500*('9 Calculated Stuff Data'!Q49+20-'4 Season Planner'!Q32),0)</f>
        <v/>
      </c>
      <c r="R30" s="238">
        <f>IF('4 Season Planner'!R32&gt;0,-(0.195-0.005*('4 Season Planner'!R32-1))*'4 Season Planner'!R32*37500*('9 Calculated Stuff Data'!R49+20-'4 Season Planner'!R32),0)</f>
        <v/>
      </c>
      <c r="S30" s="45" t="n"/>
    </row>
    <row r="31" ht="14.25" customHeight="1" s="267">
      <c r="A31" s="235" t="inlineStr">
        <is>
          <t>R&amp;D Workshop</t>
        </is>
      </c>
      <c r="B31" s="238">
        <f>IF('4 Season Planner'!B33&gt;0,-(0.195-0.005*('4 Season Planner'!B33-1))*'4 Season Planner'!B33*37500*('9 Calculated Stuff Data'!B50+20-'4 Season Planner'!B33),0)</f>
        <v/>
      </c>
      <c r="C31" s="238">
        <f>IF('4 Season Planner'!C33&gt;0,-(0.195-0.005*('4 Season Planner'!C33-1))*'4 Season Planner'!C33*37500*('9 Calculated Stuff Data'!C50+20-'4 Season Planner'!C33),0)</f>
        <v/>
      </c>
      <c r="D31" s="238">
        <f>IF('4 Season Planner'!D33&gt;0,-(0.195-0.005*('4 Season Planner'!D33-1))*'4 Season Planner'!D33*37500*('9 Calculated Stuff Data'!D50+20-'4 Season Planner'!D33),0)</f>
        <v/>
      </c>
      <c r="E31" s="238">
        <f>IF('4 Season Planner'!E33&gt;0,-(0.195-0.005*('4 Season Planner'!E33-1))*'4 Season Planner'!E33*37500*('9 Calculated Stuff Data'!E50+20-'4 Season Planner'!E33),0)</f>
        <v/>
      </c>
      <c r="F31" s="238">
        <f>IF('4 Season Planner'!F33&gt;0,-(0.195-0.005*('4 Season Planner'!F33-1))*'4 Season Planner'!F33*37500*('9 Calculated Stuff Data'!F50+20-'4 Season Planner'!F33),0)</f>
        <v/>
      </c>
      <c r="G31" s="238">
        <f>IF('4 Season Planner'!G33&gt;0,-(0.195-0.005*('4 Season Planner'!G33-1))*'4 Season Planner'!G33*37500*('9 Calculated Stuff Data'!G50+20-'4 Season Planner'!G33),0)</f>
        <v/>
      </c>
      <c r="H31" s="238">
        <f>IF('4 Season Planner'!H33&gt;0,-(0.195-0.005*('4 Season Planner'!H33-1))*'4 Season Planner'!H33*37500*('9 Calculated Stuff Data'!H50+20-'4 Season Planner'!H33),0)</f>
        <v/>
      </c>
      <c r="I31" s="238">
        <f>IF('4 Season Planner'!I33&gt;0,-(0.195-0.005*('4 Season Planner'!I33-1))*'4 Season Planner'!I33*37500*('9 Calculated Stuff Data'!I50+20-'4 Season Planner'!I33),0)</f>
        <v/>
      </c>
      <c r="J31" s="238">
        <f>IF('4 Season Planner'!J33&gt;0,-(0.195-0.005*('4 Season Planner'!J33-1))*'4 Season Planner'!J33*37500*('9 Calculated Stuff Data'!J50+20-'4 Season Planner'!J33),0)</f>
        <v/>
      </c>
      <c r="K31" s="238">
        <f>IF('4 Season Planner'!K33&gt;0,-(0.195-0.005*('4 Season Planner'!K33-1))*'4 Season Planner'!K33*37500*('9 Calculated Stuff Data'!K50+20-'4 Season Planner'!K33),0)</f>
        <v/>
      </c>
      <c r="L31" s="238">
        <f>IF('4 Season Planner'!L33&gt;0,-(0.195-0.005*('4 Season Planner'!L33-1))*'4 Season Planner'!L33*37500*('9 Calculated Stuff Data'!L50+20-'4 Season Planner'!L33),0)</f>
        <v/>
      </c>
      <c r="M31" s="238">
        <f>IF('4 Season Planner'!M33&gt;0,-(0.195-0.005*('4 Season Planner'!M33-1))*'4 Season Planner'!M33*37500*('9 Calculated Stuff Data'!M50+20-'4 Season Planner'!M33),0)</f>
        <v/>
      </c>
      <c r="N31" s="238">
        <f>IF('4 Season Planner'!N33&gt;0,-(0.195-0.005*('4 Season Planner'!N33-1))*'4 Season Planner'!N33*37500*('9 Calculated Stuff Data'!N50+20-'4 Season Planner'!N33),0)</f>
        <v/>
      </c>
      <c r="O31" s="238">
        <f>IF('4 Season Planner'!O33&gt;0,-(0.195-0.005*('4 Season Planner'!O33-1))*'4 Season Planner'!O33*37500*('9 Calculated Stuff Data'!O50+20-'4 Season Planner'!O33),0)</f>
        <v/>
      </c>
      <c r="P31" s="238">
        <f>IF('4 Season Planner'!P33&gt;0,-(0.195-0.005*('4 Season Planner'!P33-1))*'4 Season Planner'!P33*37500*('9 Calculated Stuff Data'!P50+20-'4 Season Planner'!P33),0)</f>
        <v/>
      </c>
      <c r="Q31" s="238">
        <f>IF('4 Season Planner'!Q33&gt;0,-(0.195-0.005*('4 Season Planner'!Q33-1))*'4 Season Planner'!Q33*37500*('9 Calculated Stuff Data'!Q50+20-'4 Season Planner'!Q33),0)</f>
        <v/>
      </c>
      <c r="R31" s="238">
        <f>IF('4 Season Planner'!R33&gt;0,-(0.195-0.005*('4 Season Planner'!R33-1))*'4 Season Planner'!R33*37500*('9 Calculated Stuff Data'!R50+20-'4 Season Planner'!R33),0)</f>
        <v/>
      </c>
      <c r="S31" s="45" t="n"/>
    </row>
    <row r="32" ht="14.25" customHeight="1" s="267">
      <c r="A32" s="235" t="inlineStr">
        <is>
          <t>R&amp;D Design Centre</t>
        </is>
      </c>
      <c r="B32" s="238">
        <f>IF('4 Season Planner'!B34&gt;0,-(0.195-0.005*('4 Season Planner'!B34-1))*'4 Season Planner'!B34*37500*('9 Calculated Stuff Data'!B51+20-'4 Season Planner'!B34),0)</f>
        <v/>
      </c>
      <c r="C32" s="238">
        <f>IF('4 Season Planner'!C34&gt;0,-(0.195-0.005*('4 Season Planner'!C34-1))*'4 Season Planner'!C34*37500*('9 Calculated Stuff Data'!C51+20-'4 Season Planner'!C34),0)</f>
        <v/>
      </c>
      <c r="D32" s="238">
        <f>IF('4 Season Planner'!D34&gt;0,-(0.195-0.005*('4 Season Planner'!D34-1))*'4 Season Planner'!D34*37500*('9 Calculated Stuff Data'!D51+20-'4 Season Planner'!D34),0)</f>
        <v/>
      </c>
      <c r="E32" s="238">
        <f>IF('4 Season Planner'!E34&gt;0,-(0.195-0.005*('4 Season Planner'!E34-1))*'4 Season Planner'!E34*37500*('9 Calculated Stuff Data'!E51+20-'4 Season Planner'!E34),0)</f>
        <v/>
      </c>
      <c r="F32" s="238">
        <f>IF('4 Season Planner'!F34&gt;0,-(0.195-0.005*('4 Season Planner'!F34-1))*'4 Season Planner'!F34*37500*('9 Calculated Stuff Data'!F51+20-'4 Season Planner'!F34),0)</f>
        <v/>
      </c>
      <c r="G32" s="238">
        <f>IF('4 Season Planner'!G34&gt;0,-(0.195-0.005*('4 Season Planner'!G34-1))*'4 Season Planner'!G34*37500*('9 Calculated Stuff Data'!G51+20-'4 Season Planner'!G34),0)</f>
        <v/>
      </c>
      <c r="H32" s="238">
        <f>IF('4 Season Planner'!H34&gt;0,-(0.195-0.005*('4 Season Planner'!H34-1))*'4 Season Planner'!H34*37500*('9 Calculated Stuff Data'!H51+20-'4 Season Planner'!H34),0)</f>
        <v/>
      </c>
      <c r="I32" s="238">
        <f>IF('4 Season Planner'!I34&gt;0,-(0.195-0.005*('4 Season Planner'!I34-1))*'4 Season Planner'!I34*37500*('9 Calculated Stuff Data'!I51+20-'4 Season Planner'!I34),0)</f>
        <v/>
      </c>
      <c r="J32" s="238">
        <f>IF('4 Season Planner'!J34&gt;0,-(0.195-0.005*('4 Season Planner'!J34-1))*'4 Season Planner'!J34*37500*('9 Calculated Stuff Data'!J51+20-'4 Season Planner'!J34),0)</f>
        <v/>
      </c>
      <c r="K32" s="238">
        <f>IF('4 Season Planner'!K34&gt;0,-(0.195-0.005*('4 Season Planner'!K34-1))*'4 Season Planner'!K34*37500*('9 Calculated Stuff Data'!K51+20-'4 Season Planner'!K34),0)</f>
        <v/>
      </c>
      <c r="L32" s="238">
        <f>IF('4 Season Planner'!L34&gt;0,-(0.195-0.005*('4 Season Planner'!L34-1))*'4 Season Planner'!L34*37500*('9 Calculated Stuff Data'!L51+20-'4 Season Planner'!L34),0)</f>
        <v/>
      </c>
      <c r="M32" s="238">
        <f>IF('4 Season Planner'!M34&gt;0,-(0.195-0.005*('4 Season Planner'!M34-1))*'4 Season Planner'!M34*37500*('9 Calculated Stuff Data'!M51+20-'4 Season Planner'!M34),0)</f>
        <v/>
      </c>
      <c r="N32" s="238">
        <f>IF('4 Season Planner'!N34&gt;0,-(0.195-0.005*('4 Season Planner'!N34-1))*'4 Season Planner'!N34*37500*('9 Calculated Stuff Data'!N51+20-'4 Season Planner'!N34),0)</f>
        <v/>
      </c>
      <c r="O32" s="238">
        <f>IF('4 Season Planner'!O34&gt;0,-(0.195-0.005*('4 Season Planner'!O34-1))*'4 Season Planner'!O34*37500*('9 Calculated Stuff Data'!O51+20-'4 Season Planner'!O34),0)</f>
        <v/>
      </c>
      <c r="P32" s="238">
        <f>IF('4 Season Planner'!P34&gt;0,-(0.195-0.005*('4 Season Planner'!P34-1))*'4 Season Planner'!P34*37500*('9 Calculated Stuff Data'!P51+20-'4 Season Planner'!P34),0)</f>
        <v/>
      </c>
      <c r="Q32" s="238">
        <f>IF('4 Season Planner'!Q34&gt;0,-(0.195-0.005*('4 Season Planner'!Q34-1))*'4 Season Planner'!Q34*37500*('9 Calculated Stuff Data'!Q51+20-'4 Season Planner'!Q34),0)</f>
        <v/>
      </c>
      <c r="R32" s="238">
        <f>IF('4 Season Planner'!R34&gt;0,-(0.195-0.005*('4 Season Planner'!R34-1))*'4 Season Planner'!R34*37500*('9 Calculated Stuff Data'!R51+20-'4 Season Planner'!R34),0)</f>
        <v/>
      </c>
      <c r="S32" s="45" t="n"/>
    </row>
    <row r="33" ht="14.25" customHeight="1" s="267">
      <c r="A33" s="235" t="inlineStr">
        <is>
          <t>Engineering Workshop</t>
        </is>
      </c>
      <c r="B33" s="238">
        <f>IF('4 Season Planner'!B35&gt;0,-(0.195-0.005*('4 Season Planner'!B35-1))*'4 Season Planner'!B35*37500*('9 Calculated Stuff Data'!B52+20-'4 Season Planner'!B35),0)</f>
        <v/>
      </c>
      <c r="C33" s="238">
        <f>IF('4 Season Planner'!C35&gt;0,-(0.195-0.005*('4 Season Planner'!C35-1))*'4 Season Planner'!C35*37500*('9 Calculated Stuff Data'!C52+20-'4 Season Planner'!C35),0)</f>
        <v/>
      </c>
      <c r="D33" s="238">
        <f>IF('4 Season Planner'!D35&gt;0,-(0.195-0.005*('4 Season Planner'!D35-1))*'4 Season Planner'!D35*37500*('9 Calculated Stuff Data'!D52+20-'4 Season Planner'!D35),0)</f>
        <v/>
      </c>
      <c r="E33" s="238">
        <f>IF('4 Season Planner'!E35&gt;0,-(0.195-0.005*('4 Season Planner'!E35-1))*'4 Season Planner'!E35*37500*('9 Calculated Stuff Data'!E52+20-'4 Season Planner'!E35),0)</f>
        <v/>
      </c>
      <c r="F33" s="238">
        <f>IF('4 Season Planner'!F35&gt;0,-(0.195-0.005*('4 Season Planner'!F35-1))*'4 Season Planner'!F35*37500*('9 Calculated Stuff Data'!F52+20-'4 Season Planner'!F35),0)</f>
        <v/>
      </c>
      <c r="G33" s="238">
        <f>IF('4 Season Planner'!G35&gt;0,-(0.195-0.005*('4 Season Planner'!G35-1))*'4 Season Planner'!G35*37500*('9 Calculated Stuff Data'!G52+20-'4 Season Planner'!G35),0)</f>
        <v/>
      </c>
      <c r="H33" s="238">
        <f>IF('4 Season Planner'!H35&gt;0,-(0.195-0.005*('4 Season Planner'!H35-1))*'4 Season Planner'!H35*37500*('9 Calculated Stuff Data'!H52+20-'4 Season Planner'!H35),0)</f>
        <v/>
      </c>
      <c r="I33" s="238">
        <f>IF('4 Season Planner'!I35&gt;0,-(0.195-0.005*('4 Season Planner'!I35-1))*'4 Season Planner'!I35*37500*('9 Calculated Stuff Data'!I52+20-'4 Season Planner'!I35),0)</f>
        <v/>
      </c>
      <c r="J33" s="238">
        <f>IF('4 Season Planner'!J35&gt;0,-(0.195-0.005*('4 Season Planner'!J35-1))*'4 Season Planner'!J35*37500*('9 Calculated Stuff Data'!J52+20-'4 Season Planner'!J35),0)</f>
        <v/>
      </c>
      <c r="K33" s="238">
        <f>IF('4 Season Planner'!K35&gt;0,-(0.195-0.005*('4 Season Planner'!K35-1))*'4 Season Planner'!K35*37500*('9 Calculated Stuff Data'!K52+20-'4 Season Planner'!K35),0)</f>
        <v/>
      </c>
      <c r="L33" s="238">
        <f>IF('4 Season Planner'!L35&gt;0,-(0.195-0.005*('4 Season Planner'!L35-1))*'4 Season Planner'!L35*37500*('9 Calculated Stuff Data'!L52+20-'4 Season Planner'!L35),0)</f>
        <v/>
      </c>
      <c r="M33" s="238">
        <f>IF('4 Season Planner'!M35&gt;0,-(0.195-0.005*('4 Season Planner'!M35-1))*'4 Season Planner'!M35*37500*('9 Calculated Stuff Data'!M52+20-'4 Season Planner'!M35),0)</f>
        <v/>
      </c>
      <c r="N33" s="238">
        <f>IF('4 Season Planner'!N35&gt;0,-(0.195-0.005*('4 Season Planner'!N35-1))*'4 Season Planner'!N35*37500*('9 Calculated Stuff Data'!N52+20-'4 Season Planner'!N35),0)</f>
        <v/>
      </c>
      <c r="O33" s="238">
        <f>IF('4 Season Planner'!O35&gt;0,-(0.195-0.005*('4 Season Planner'!O35-1))*'4 Season Planner'!O35*37500*('9 Calculated Stuff Data'!O52+20-'4 Season Planner'!O35),0)</f>
        <v/>
      </c>
      <c r="P33" s="238">
        <f>IF('4 Season Planner'!P35&gt;0,-(0.195-0.005*('4 Season Planner'!P35-1))*'4 Season Planner'!P35*37500*('9 Calculated Stuff Data'!P52+20-'4 Season Planner'!P35),0)</f>
        <v/>
      </c>
      <c r="Q33" s="238">
        <f>IF('4 Season Planner'!Q35&gt;0,-(0.195-0.005*('4 Season Planner'!Q35-1))*'4 Season Planner'!Q35*37500*('9 Calculated Stuff Data'!Q52+20-'4 Season Planner'!Q35),0)</f>
        <v/>
      </c>
      <c r="R33" s="238">
        <f>IF('4 Season Planner'!R35&gt;0,-(0.195-0.005*('4 Season Planner'!R35-1))*'4 Season Planner'!R35*37500*('9 Calculated Stuff Data'!R52+20-'4 Season Planner'!R35),0)</f>
        <v/>
      </c>
      <c r="S33" s="45" t="n"/>
    </row>
    <row r="34" ht="14.25" customHeight="1" s="267">
      <c r="A34" s="235" t="inlineStr">
        <is>
          <t>Alloy &amp; Chemical Lab</t>
        </is>
      </c>
      <c r="B34" s="238">
        <f>IF('4 Season Planner'!B36&gt;0,-(0.195-0.005*('4 Season Planner'!B36-1))*'4 Season Planner'!B36*37500*('9 Calculated Stuff Data'!B53+20-'4 Season Planner'!B36),0)</f>
        <v/>
      </c>
      <c r="C34" s="238">
        <f>IF('4 Season Planner'!C36&gt;0,-(0.195-0.005*('4 Season Planner'!C36-1))*'4 Season Planner'!C36*37500*('9 Calculated Stuff Data'!C53+20-'4 Season Planner'!C36),0)</f>
        <v/>
      </c>
      <c r="D34" s="238">
        <f>IF('4 Season Planner'!D36&gt;0,-(0.195-0.005*('4 Season Planner'!D36-1))*'4 Season Planner'!D36*37500*('9 Calculated Stuff Data'!D53+20-'4 Season Planner'!D36),0)</f>
        <v/>
      </c>
      <c r="E34" s="238">
        <f>IF('4 Season Planner'!E36&gt;0,-(0.195-0.005*('4 Season Planner'!E36-1))*'4 Season Planner'!E36*37500*('9 Calculated Stuff Data'!E53+20-'4 Season Planner'!E36),0)</f>
        <v/>
      </c>
      <c r="F34" s="238">
        <f>IF('4 Season Planner'!F36&gt;0,-(0.195-0.005*('4 Season Planner'!F36-1))*'4 Season Planner'!F36*37500*('9 Calculated Stuff Data'!F53+20-'4 Season Planner'!F36),0)</f>
        <v/>
      </c>
      <c r="G34" s="238">
        <f>IF('4 Season Planner'!G36&gt;0,-(0.195-0.005*('4 Season Planner'!G36-1))*'4 Season Planner'!G36*37500*('9 Calculated Stuff Data'!G53+20-'4 Season Planner'!G36),0)</f>
        <v/>
      </c>
      <c r="H34" s="238">
        <f>IF('4 Season Planner'!H36&gt;0,-(0.195-0.005*('4 Season Planner'!H36-1))*'4 Season Planner'!H36*37500*('9 Calculated Stuff Data'!H53+20-'4 Season Planner'!H36),0)</f>
        <v/>
      </c>
      <c r="I34" s="238">
        <f>IF('4 Season Planner'!I36&gt;0,-(0.195-0.005*('4 Season Planner'!I36-1))*'4 Season Planner'!I36*37500*('9 Calculated Stuff Data'!I53+20-'4 Season Planner'!I36),0)</f>
        <v/>
      </c>
      <c r="J34" s="238">
        <f>IF('4 Season Planner'!J36&gt;0,-(0.195-0.005*('4 Season Planner'!J36-1))*'4 Season Planner'!J36*37500*('9 Calculated Stuff Data'!J53+20-'4 Season Planner'!J36),0)</f>
        <v/>
      </c>
      <c r="K34" s="238">
        <f>IF('4 Season Planner'!K36&gt;0,-(0.195-0.005*('4 Season Planner'!K36-1))*'4 Season Planner'!K36*37500*('9 Calculated Stuff Data'!K53+20-'4 Season Planner'!K36),0)</f>
        <v/>
      </c>
      <c r="L34" s="238">
        <f>IF('4 Season Planner'!L36&gt;0,-(0.195-0.005*('4 Season Planner'!L36-1))*'4 Season Planner'!L36*37500*('9 Calculated Stuff Data'!L53+20-'4 Season Planner'!L36),0)</f>
        <v/>
      </c>
      <c r="M34" s="238">
        <f>IF('4 Season Planner'!M36&gt;0,-(0.195-0.005*('4 Season Planner'!M36-1))*'4 Season Planner'!M36*37500*('9 Calculated Stuff Data'!M53+20-'4 Season Planner'!M36),0)</f>
        <v/>
      </c>
      <c r="N34" s="238">
        <f>IF('4 Season Planner'!N36&gt;0,-(0.195-0.005*('4 Season Planner'!N36-1))*'4 Season Planner'!N36*37500*('9 Calculated Stuff Data'!N53+20-'4 Season Planner'!N36),0)</f>
        <v/>
      </c>
      <c r="O34" s="238">
        <f>IF('4 Season Planner'!O36&gt;0,-(0.195-0.005*('4 Season Planner'!O36-1))*'4 Season Planner'!O36*37500*('9 Calculated Stuff Data'!O53+20-'4 Season Planner'!O36),0)</f>
        <v/>
      </c>
      <c r="P34" s="238">
        <f>IF('4 Season Planner'!P36&gt;0,-(0.195-0.005*('4 Season Planner'!P36-1))*'4 Season Planner'!P36*37500*('9 Calculated Stuff Data'!P53+20-'4 Season Planner'!P36),0)</f>
        <v/>
      </c>
      <c r="Q34" s="238">
        <f>IF('4 Season Planner'!Q36&gt;0,-(0.195-0.005*('4 Season Planner'!Q36-1))*'4 Season Planner'!Q36*37500*('9 Calculated Stuff Data'!Q53+20-'4 Season Planner'!Q36),0)</f>
        <v/>
      </c>
      <c r="R34" s="238">
        <f>IF('4 Season Planner'!R36&gt;0,-(0.195-0.005*('4 Season Planner'!R36-1))*'4 Season Planner'!R36*37500*('9 Calculated Stuff Data'!R53+20-'4 Season Planner'!R36),0)</f>
        <v/>
      </c>
      <c r="S34" s="45" t="n"/>
    </row>
    <row r="35" ht="14.25" customHeight="1" s="267">
      <c r="A35" s="235" t="inlineStr">
        <is>
          <t>Commercial</t>
        </is>
      </c>
      <c r="B35" s="238">
        <f>IF('4 Season Planner'!B37&gt;0,-(0.195-0.005*('4 Season Planner'!B37-1))*'4 Season Planner'!B37*37500*('9 Calculated Stuff Data'!B54+20-'4 Season Planner'!B37),0)</f>
        <v/>
      </c>
      <c r="C35" s="238">
        <f>IF('4 Season Planner'!C37&gt;0,-(0.195-0.005*('4 Season Planner'!C37-1))*'4 Season Planner'!C37*37500*('9 Calculated Stuff Data'!C54+20-'4 Season Planner'!C37),0)</f>
        <v/>
      </c>
      <c r="D35" s="238">
        <f>IF('4 Season Planner'!D37&gt;0,-(0.195-0.005*('4 Season Planner'!D37-1))*'4 Season Planner'!D37*37500*('9 Calculated Stuff Data'!D54+20-'4 Season Planner'!D37),0)</f>
        <v/>
      </c>
      <c r="E35" s="238">
        <f>IF('4 Season Planner'!E37&gt;0,-(0.195-0.005*('4 Season Planner'!E37-1))*'4 Season Planner'!E37*37500*('9 Calculated Stuff Data'!E54+20-'4 Season Planner'!E37),0)</f>
        <v/>
      </c>
      <c r="F35" s="238">
        <f>IF('4 Season Planner'!F37&gt;0,-(0.195-0.005*('4 Season Planner'!F37-1))*'4 Season Planner'!F37*37500*('9 Calculated Stuff Data'!F54+20-'4 Season Planner'!F37),0)</f>
        <v/>
      </c>
      <c r="G35" s="238">
        <f>IF('4 Season Planner'!G37&gt;0,-(0.195-0.005*('4 Season Planner'!G37-1))*'4 Season Planner'!G37*37500*('9 Calculated Stuff Data'!G54+20-'4 Season Planner'!G37),0)</f>
        <v/>
      </c>
      <c r="H35" s="238">
        <f>IF('4 Season Planner'!H37&gt;0,-(0.195-0.005*('4 Season Planner'!H37-1))*'4 Season Planner'!H37*37500*('9 Calculated Stuff Data'!H54+20-'4 Season Planner'!H37),0)</f>
        <v/>
      </c>
      <c r="I35" s="238">
        <f>IF('4 Season Planner'!I37&gt;0,-(0.195-0.005*('4 Season Planner'!I37-1))*'4 Season Planner'!I37*37500*('9 Calculated Stuff Data'!I54+20-'4 Season Planner'!I37),0)</f>
        <v/>
      </c>
      <c r="J35" s="238">
        <f>IF('4 Season Planner'!J37&gt;0,-(0.195-0.005*('4 Season Planner'!J37-1))*'4 Season Planner'!J37*37500*('9 Calculated Stuff Data'!J54+20-'4 Season Planner'!J37),0)</f>
        <v/>
      </c>
      <c r="K35" s="238">
        <f>IF('4 Season Planner'!K37&gt;0,-(0.195-0.005*('4 Season Planner'!K37-1))*'4 Season Planner'!K37*37500*('9 Calculated Stuff Data'!K54+20-'4 Season Planner'!K37),0)</f>
        <v/>
      </c>
      <c r="L35" s="238">
        <f>IF('4 Season Planner'!L37&gt;0,-(0.195-0.005*('4 Season Planner'!L37-1))*'4 Season Planner'!L37*37500*('9 Calculated Stuff Data'!L54+20-'4 Season Planner'!L37),0)</f>
        <v/>
      </c>
      <c r="M35" s="238">
        <f>IF('4 Season Planner'!M37&gt;0,-(0.195-0.005*('4 Season Planner'!M37-1))*'4 Season Planner'!M37*37500*('9 Calculated Stuff Data'!M54+20-'4 Season Planner'!M37),0)</f>
        <v/>
      </c>
      <c r="N35" s="238">
        <f>IF('4 Season Planner'!N37&gt;0,-(0.195-0.005*('4 Season Planner'!N37-1))*'4 Season Planner'!N37*37500*('9 Calculated Stuff Data'!N54+20-'4 Season Planner'!N37),0)</f>
        <v/>
      </c>
      <c r="O35" s="238">
        <f>IF('4 Season Planner'!O37&gt;0,-(0.195-0.005*('4 Season Planner'!O37-1))*'4 Season Planner'!O37*37500*('9 Calculated Stuff Data'!O54+20-'4 Season Planner'!O37),0)</f>
        <v/>
      </c>
      <c r="P35" s="238">
        <f>IF('4 Season Planner'!P37&gt;0,-(0.195-0.005*('4 Season Planner'!P37-1))*'4 Season Planner'!P37*37500*('9 Calculated Stuff Data'!P54+20-'4 Season Planner'!P37),0)</f>
        <v/>
      </c>
      <c r="Q35" s="238">
        <f>IF('4 Season Planner'!Q37&gt;0,-(0.195-0.005*('4 Season Planner'!Q37-1))*'4 Season Planner'!Q37*37500*('9 Calculated Stuff Data'!Q54+20-'4 Season Planner'!Q37),0)</f>
        <v/>
      </c>
      <c r="R35" s="238">
        <f>IF('4 Season Planner'!R37&gt;0,-(0.195-0.005*('4 Season Planner'!R37-1))*'4 Season Planner'!R37*37500*('9 Calculated Stuff Data'!R54+20-'4 Season Planner'!R37),0)</f>
        <v/>
      </c>
      <c r="S35" s="45" t="n"/>
    </row>
    <row r="36" ht="14.25" customHeight="1" s="267">
      <c r="A36" s="45" t="n"/>
      <c r="B36" s="238">
        <f>SUM(B29:B35)</f>
        <v/>
      </c>
      <c r="C36" s="238">
        <f>SUM(C29:C35)</f>
        <v/>
      </c>
      <c r="D36" s="238">
        <f>SUM(D29:D35)</f>
        <v/>
      </c>
      <c r="E36" s="238">
        <f>SUM(E29:E35)</f>
        <v/>
      </c>
      <c r="F36" s="238">
        <f>SUM(F29:F35)</f>
        <v/>
      </c>
      <c r="G36" s="238">
        <f>SUM(G29:G35)</f>
        <v/>
      </c>
      <c r="H36" s="238">
        <f>SUM(H29:H35)</f>
        <v/>
      </c>
      <c r="I36" s="238">
        <f>SUM(I29:I35)</f>
        <v/>
      </c>
      <c r="J36" s="238">
        <f>SUM(J29:J35)</f>
        <v/>
      </c>
      <c r="K36" s="238">
        <f>SUM(K29:K35)</f>
        <v/>
      </c>
      <c r="L36" s="238">
        <f>SUM(L29:L35)</f>
        <v/>
      </c>
      <c r="M36" s="238">
        <f>SUM(M29:M35)</f>
        <v/>
      </c>
      <c r="N36" s="238">
        <f>SUM(N29:N35)</f>
        <v/>
      </c>
      <c r="O36" s="238">
        <f>SUM(O29:O35)</f>
        <v/>
      </c>
      <c r="P36" s="238">
        <f>SUM(P29:P35)</f>
        <v/>
      </c>
      <c r="Q36" s="238">
        <f>SUM(Q29:Q35)</f>
        <v/>
      </c>
      <c r="R36" s="238">
        <f>SUM(R29:R35)</f>
        <v/>
      </c>
      <c r="S36" s="45" t="n"/>
    </row>
    <row r="37" ht="14.25" customHeight="1" s="267">
      <c r="A37" s="45" t="n"/>
      <c r="B37" s="45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</row>
    <row r="38" ht="14.25" customHeight="1" s="267">
      <c r="A38" s="234" t="inlineStr">
        <is>
          <t>Last finished race</t>
        </is>
      </c>
      <c r="B38" s="45">
        <f>IF(AND('4 Season Planner'!B9="",SUM(C38:$R38)=0),1,0)</f>
        <v/>
      </c>
      <c r="C38" s="45">
        <f>IF(AND('4 Season Planner'!C9="",SUM(D38:$R38)=0),1,0)</f>
        <v/>
      </c>
      <c r="D38" s="45">
        <f>IF(AND('4 Season Planner'!D9="",SUM(E38:$R38)=0),1,0)</f>
        <v/>
      </c>
      <c r="E38" s="45">
        <f>IF(AND('4 Season Planner'!E9="",SUM(F38:$R38)=0),1,0)</f>
        <v/>
      </c>
      <c r="F38" s="45">
        <f>IF(AND('4 Season Planner'!F9="",SUM(G38:$R38)=0),1,0)</f>
        <v/>
      </c>
      <c r="G38" s="45">
        <f>IF(AND('4 Season Planner'!G9="",SUM(H38:$R38)=0),1,0)</f>
        <v/>
      </c>
      <c r="H38" s="45">
        <f>IF(AND('4 Season Planner'!H9="",SUM(I38:$R38)=0),1,0)</f>
        <v/>
      </c>
      <c r="I38" s="45">
        <f>IF(AND('4 Season Planner'!I9="",SUM(J38:$R38)=0),1,0)</f>
        <v/>
      </c>
      <c r="J38" s="45">
        <f>IF(AND('4 Season Planner'!J9="",SUM(K38:$R38)=0),1,0)</f>
        <v/>
      </c>
      <c r="K38" s="45">
        <f>IF(AND('4 Season Planner'!K9="",SUM(L38:$R38)=0),1,0)</f>
        <v/>
      </c>
      <c r="L38" s="45">
        <f>IF(AND('4 Season Planner'!L9="",SUM(M38:$R38)=0),1,0)</f>
        <v/>
      </c>
      <c r="M38" s="45">
        <f>IF(AND('4 Season Planner'!M9="",SUM(N38:$R38)=0),1,0)</f>
        <v/>
      </c>
      <c r="N38" s="45">
        <f>IF(AND('4 Season Planner'!N9="",SUM(O38:$R38)=0),1,0)</f>
        <v/>
      </c>
      <c r="O38" s="45">
        <f>IF(AND('4 Season Planner'!O9="",SUM(P38:$R38)=0),1,0)</f>
        <v/>
      </c>
      <c r="P38" s="45">
        <f>IF(AND('4 Season Planner'!P9="",SUM(Q38:$R38)=0),1,0)</f>
        <v/>
      </c>
      <c r="Q38" s="45">
        <f>IF(AND('4 Season Planner'!Q9="",SUM(R38:$R38)=0),1,0)</f>
        <v/>
      </c>
      <c r="R38" s="45">
        <f>IF('4 Season Planner'!R9="",1,0)</f>
        <v/>
      </c>
      <c r="S38" s="45" t="n"/>
    </row>
    <row r="39" ht="14.25" customHeight="1" s="267">
      <c r="A39" s="234" t="n"/>
      <c r="B39" s="45" t="n"/>
      <c r="C39" s="45" t="n"/>
      <c r="D39" s="45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</row>
    <row r="40" ht="14.25" customHeight="1" s="267">
      <c r="A40" s="234" t="inlineStr">
        <is>
          <t>Parts wasted</t>
        </is>
      </c>
      <c r="B40" s="45" t="n"/>
      <c r="C40" s="45" t="n"/>
      <c r="D40" s="45" t="n"/>
      <c r="E40" s="45" t="n"/>
      <c r="F40" s="45" t="n"/>
      <c r="G40" s="45" t="n"/>
      <c r="H40" s="45" t="n"/>
      <c r="I40" s="45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</row>
    <row r="41" ht="14.25" customHeight="1" s="267">
      <c r="A41" s="235" t="inlineStr">
        <is>
          <t>Chassis</t>
        </is>
      </c>
      <c r="B41" s="239">
        <f>IF(B$38=1,MAX(0,0.95-'10 Calculated Part Data'!B137),0)+IF(LEFT('10 Calculated Part Data'!C5,5)="Level",MAX(0,0.95-'10 Calculated Part Data'!C72),0)</f>
        <v/>
      </c>
      <c r="C41" s="239">
        <f>IF(C$38=1,MAX(0,0.95-'10 Calculated Part Data'!C137),0)+IF(LEFT('10 Calculated Part Data'!D5,5)="Level",MAX(0,0.95-'10 Calculated Part Data'!D72),0)</f>
        <v/>
      </c>
      <c r="D41" s="239">
        <f>IF(D$38=1,MAX(0,0.95-'10 Calculated Part Data'!D137),0)+IF(LEFT('10 Calculated Part Data'!E5,5)="Level",MAX(0,0.95-'10 Calculated Part Data'!E72),0)</f>
        <v/>
      </c>
      <c r="E41" s="239">
        <f>IF(E$38=1,MAX(0,0.95-'10 Calculated Part Data'!E137),0)+IF(LEFT('10 Calculated Part Data'!F5,5)="Level",MAX(0,0.95-'10 Calculated Part Data'!F72),0)</f>
        <v/>
      </c>
      <c r="F41" s="239">
        <f>IF(F$38=1,MAX(0,0.95-'10 Calculated Part Data'!F137),0)+IF(LEFT('10 Calculated Part Data'!G5,5)="Level",MAX(0,0.95-'10 Calculated Part Data'!G72),0)</f>
        <v/>
      </c>
      <c r="G41" s="239">
        <f>IF(G$38=1,MAX(0,0.95-'10 Calculated Part Data'!G137),0)+IF(LEFT('10 Calculated Part Data'!H5,5)="Level",MAX(0,0.95-'10 Calculated Part Data'!H72),0)</f>
        <v/>
      </c>
      <c r="H41" s="239">
        <f>IF(H$38=1,MAX(0,0.95-'10 Calculated Part Data'!H137),0)+IF(LEFT('10 Calculated Part Data'!I5,5)="Level",MAX(0,0.95-'10 Calculated Part Data'!I72),0)</f>
        <v/>
      </c>
      <c r="I41" s="239">
        <f>IF(I$38=1,MAX(0,0.95-'10 Calculated Part Data'!I137),0)+IF(LEFT('10 Calculated Part Data'!J5,5)="Level",MAX(0,0.95-'10 Calculated Part Data'!J72),0)</f>
        <v/>
      </c>
      <c r="J41" s="239">
        <f>IF(J$38=1,MAX(0,0.95-'10 Calculated Part Data'!J137),0)+IF(LEFT('10 Calculated Part Data'!K5,5)="Level",MAX(0,0.95-'10 Calculated Part Data'!K72),0)</f>
        <v/>
      </c>
      <c r="K41" s="239">
        <f>IF(K$38=1,MAX(0,0.95-'10 Calculated Part Data'!K137),0)+IF(LEFT('10 Calculated Part Data'!L5,5)="Level",MAX(0,0.95-'10 Calculated Part Data'!L72),0)</f>
        <v/>
      </c>
      <c r="L41" s="239">
        <f>IF(L$38=1,MAX(0,0.95-'10 Calculated Part Data'!L137),0)+IF(LEFT('10 Calculated Part Data'!M5,5)="Level",MAX(0,0.95-'10 Calculated Part Data'!M72),0)</f>
        <v/>
      </c>
      <c r="M41" s="239">
        <f>IF(M$38=1,MAX(0,0.95-'10 Calculated Part Data'!M137),0)+IF(LEFT('10 Calculated Part Data'!N5,5)="Level",MAX(0,0.95-'10 Calculated Part Data'!N72),0)</f>
        <v/>
      </c>
      <c r="N41" s="239">
        <f>IF(N$38=1,MAX(0,0.95-'10 Calculated Part Data'!N137),0)+IF(LEFT('10 Calculated Part Data'!O5,5)="Level",MAX(0,0.95-'10 Calculated Part Data'!O72),0)</f>
        <v/>
      </c>
      <c r="O41" s="239">
        <f>IF(O$38=1,MAX(0,0.95-'10 Calculated Part Data'!O137),0)+IF(LEFT('10 Calculated Part Data'!P5,5)="Level",MAX(0,0.95-'10 Calculated Part Data'!P72),0)</f>
        <v/>
      </c>
      <c r="P41" s="239">
        <f>IF(P$38=1,MAX(0,0.95-'10 Calculated Part Data'!P137),0)+IF(LEFT('10 Calculated Part Data'!Q5,5)="Level",MAX(0,0.95-'10 Calculated Part Data'!Q72),0)</f>
        <v/>
      </c>
      <c r="Q41" s="239">
        <f>IF(Q$38=1,MAX(0,0.95-'10 Calculated Part Data'!Q137),0)+IF(LEFT('10 Calculated Part Data'!R5,5)="Level",MAX(0,0.95-'10 Calculated Part Data'!R72),0)</f>
        <v/>
      </c>
      <c r="R41" s="239">
        <f>IF(R$38=1,MAX(0,0.95-'10 Calculated Part Data'!R137),0)</f>
        <v/>
      </c>
      <c r="S41" s="45" t="n"/>
    </row>
    <row r="42" ht="14.25" customHeight="1" s="267">
      <c r="A42" s="235" t="inlineStr">
        <is>
          <t>Engine</t>
        </is>
      </c>
      <c r="B42" s="239">
        <f>IF(B$38=1,MAX(0,0.95-'10 Calculated Part Data'!B138),0)+IF(LEFT('10 Calculated Part Data'!C6,5)="Level",MAX(0,0.95-'10 Calculated Part Data'!C73),0)</f>
        <v/>
      </c>
      <c r="C42" s="239">
        <f>IF(C$38=1,MAX(0,0.95-'10 Calculated Part Data'!C138),0)+IF(LEFT('10 Calculated Part Data'!D6,5)="Level",MAX(0,0.95-'10 Calculated Part Data'!D73),0)</f>
        <v/>
      </c>
      <c r="D42" s="239">
        <f>IF(D$38=1,MAX(0,0.95-'10 Calculated Part Data'!D138),0)+IF(LEFT('10 Calculated Part Data'!E6,5)="Level",MAX(0,0.95-'10 Calculated Part Data'!E73),0)</f>
        <v/>
      </c>
      <c r="E42" s="239">
        <f>IF(E$38=1,MAX(0,0.95-'10 Calculated Part Data'!E138),0)+IF(LEFT('10 Calculated Part Data'!F6,5)="Level",MAX(0,0.95-'10 Calculated Part Data'!F73),0)</f>
        <v/>
      </c>
      <c r="F42" s="239">
        <f>IF(F$38=1,MAX(0,0.95-'10 Calculated Part Data'!F138),0)+IF(LEFT('10 Calculated Part Data'!G6,5)="Level",MAX(0,0.95-'10 Calculated Part Data'!G73),0)</f>
        <v/>
      </c>
      <c r="G42" s="239">
        <f>IF(G$38=1,MAX(0,0.95-'10 Calculated Part Data'!G138),0)+IF(LEFT('10 Calculated Part Data'!H6,5)="Level",MAX(0,0.95-'10 Calculated Part Data'!H73),0)</f>
        <v/>
      </c>
      <c r="H42" s="239">
        <f>IF(H$38=1,MAX(0,0.95-'10 Calculated Part Data'!H138),0)+IF(LEFT('10 Calculated Part Data'!I6,5)="Level",MAX(0,0.95-'10 Calculated Part Data'!I73),0)</f>
        <v/>
      </c>
      <c r="I42" s="239">
        <f>IF(I$38=1,MAX(0,0.95-'10 Calculated Part Data'!I138),0)+IF(LEFT('10 Calculated Part Data'!J6,5)="Level",MAX(0,0.95-'10 Calculated Part Data'!J73),0)</f>
        <v/>
      </c>
      <c r="J42" s="239">
        <f>IF(J$38=1,MAX(0,0.95-'10 Calculated Part Data'!J138),0)+IF(LEFT('10 Calculated Part Data'!K6,5)="Level",MAX(0,0.95-'10 Calculated Part Data'!K73),0)</f>
        <v/>
      </c>
      <c r="K42" s="239">
        <f>IF(K$38=1,MAX(0,0.95-'10 Calculated Part Data'!K138),0)+IF(LEFT('10 Calculated Part Data'!L6,5)="Level",MAX(0,0.95-'10 Calculated Part Data'!L73),0)</f>
        <v/>
      </c>
      <c r="L42" s="239">
        <f>IF(L$38=1,MAX(0,0.95-'10 Calculated Part Data'!L138),0)+IF(LEFT('10 Calculated Part Data'!M6,5)="Level",MAX(0,0.95-'10 Calculated Part Data'!M73),0)</f>
        <v/>
      </c>
      <c r="M42" s="239">
        <f>IF(M$38=1,MAX(0,0.95-'10 Calculated Part Data'!M138),0)+IF(LEFT('10 Calculated Part Data'!N6,5)="Level",MAX(0,0.95-'10 Calculated Part Data'!N73),0)</f>
        <v/>
      </c>
      <c r="N42" s="239">
        <f>IF(N$38=1,MAX(0,0.95-'10 Calculated Part Data'!N138),0)+IF(LEFT('10 Calculated Part Data'!O6,5)="Level",MAX(0,0.95-'10 Calculated Part Data'!O73),0)</f>
        <v/>
      </c>
      <c r="O42" s="239">
        <f>IF(O$38=1,MAX(0,0.95-'10 Calculated Part Data'!O138),0)+IF(LEFT('10 Calculated Part Data'!P6,5)="Level",MAX(0,0.95-'10 Calculated Part Data'!P73),0)</f>
        <v/>
      </c>
      <c r="P42" s="239">
        <f>IF(P$38=1,MAX(0,0.95-'10 Calculated Part Data'!P138),0)+IF(LEFT('10 Calculated Part Data'!Q6,5)="Level",MAX(0,0.95-'10 Calculated Part Data'!Q73),0)</f>
        <v/>
      </c>
      <c r="Q42" s="239">
        <f>IF(Q$38=1,MAX(0,0.95-'10 Calculated Part Data'!Q138),0)+IF(LEFT('10 Calculated Part Data'!R6,5)="Level",MAX(0,0.95-'10 Calculated Part Data'!R73),0)</f>
        <v/>
      </c>
      <c r="R42" s="239">
        <f>IF(R$38=1,MAX(0,0.95-'10 Calculated Part Data'!R138),0)</f>
        <v/>
      </c>
      <c r="S42" s="45" t="n"/>
    </row>
    <row r="43" ht="14.25" customHeight="1" s="267">
      <c r="A43" s="235" t="inlineStr">
        <is>
          <t>Front Wing</t>
        </is>
      </c>
      <c r="B43" s="239">
        <f>IF(B$38=1,MAX(0,0.95-'10 Calculated Part Data'!B139),0)+IF(LEFT('10 Calculated Part Data'!C7,5)="Level",MAX(0,0.95-'10 Calculated Part Data'!C74),0)</f>
        <v/>
      </c>
      <c r="C43" s="239">
        <f>IF(C$38=1,MAX(0,0.95-'10 Calculated Part Data'!C139),0)+IF(LEFT('10 Calculated Part Data'!D7,5)="Level",MAX(0,0.95-'10 Calculated Part Data'!D74),0)</f>
        <v/>
      </c>
      <c r="D43" s="239">
        <f>IF(D$38=1,MAX(0,0.95-'10 Calculated Part Data'!D139),0)+IF(LEFT('10 Calculated Part Data'!E7,5)="Level",MAX(0,0.95-'10 Calculated Part Data'!E74),0)</f>
        <v/>
      </c>
      <c r="E43" s="239">
        <f>IF(E$38=1,MAX(0,0.95-'10 Calculated Part Data'!E139),0)+IF(LEFT('10 Calculated Part Data'!F7,5)="Level",MAX(0,0.95-'10 Calculated Part Data'!F74),0)</f>
        <v/>
      </c>
      <c r="F43" s="239">
        <f>IF(F$38=1,MAX(0,0.95-'10 Calculated Part Data'!F139),0)+IF(LEFT('10 Calculated Part Data'!G7,5)="Level",MAX(0,0.95-'10 Calculated Part Data'!G74),0)</f>
        <v/>
      </c>
      <c r="G43" s="239">
        <f>IF(G$38=1,MAX(0,0.95-'10 Calculated Part Data'!G139),0)+IF(LEFT('10 Calculated Part Data'!H7,5)="Level",MAX(0,0.95-'10 Calculated Part Data'!H74),0)</f>
        <v/>
      </c>
      <c r="H43" s="239">
        <f>IF(H$38=1,MAX(0,0.95-'10 Calculated Part Data'!H139),0)+IF(LEFT('10 Calculated Part Data'!I7,5)="Level",MAX(0,0.95-'10 Calculated Part Data'!I74),0)</f>
        <v/>
      </c>
      <c r="I43" s="239">
        <f>IF(I$38=1,MAX(0,0.95-'10 Calculated Part Data'!I139),0)+IF(LEFT('10 Calculated Part Data'!J7,5)="Level",MAX(0,0.95-'10 Calculated Part Data'!J74),0)</f>
        <v/>
      </c>
      <c r="J43" s="239">
        <f>IF(J$38=1,MAX(0,0.95-'10 Calculated Part Data'!J139),0)+IF(LEFT('10 Calculated Part Data'!K7,5)="Level",MAX(0,0.95-'10 Calculated Part Data'!K74),0)</f>
        <v/>
      </c>
      <c r="K43" s="239">
        <f>IF(K$38=1,MAX(0,0.95-'10 Calculated Part Data'!K139),0)+IF(LEFT('10 Calculated Part Data'!L7,5)="Level",MAX(0,0.95-'10 Calculated Part Data'!L74),0)</f>
        <v/>
      </c>
      <c r="L43" s="239">
        <f>IF(L$38=1,MAX(0,0.95-'10 Calculated Part Data'!L139),0)+IF(LEFT('10 Calculated Part Data'!M7,5)="Level",MAX(0,0.95-'10 Calculated Part Data'!M74),0)</f>
        <v/>
      </c>
      <c r="M43" s="239">
        <f>IF(M$38=1,MAX(0,0.95-'10 Calculated Part Data'!M139),0)+IF(LEFT('10 Calculated Part Data'!N7,5)="Level",MAX(0,0.95-'10 Calculated Part Data'!N74),0)</f>
        <v/>
      </c>
      <c r="N43" s="239">
        <f>IF(N$38=1,MAX(0,0.95-'10 Calculated Part Data'!N139),0)+IF(LEFT('10 Calculated Part Data'!O7,5)="Level",MAX(0,0.95-'10 Calculated Part Data'!O74),0)</f>
        <v/>
      </c>
      <c r="O43" s="239">
        <f>IF(O$38=1,MAX(0,0.95-'10 Calculated Part Data'!O139),0)+IF(LEFT('10 Calculated Part Data'!P7,5)="Level",MAX(0,0.95-'10 Calculated Part Data'!P74),0)</f>
        <v/>
      </c>
      <c r="P43" s="239">
        <f>IF(P$38=1,MAX(0,0.95-'10 Calculated Part Data'!P139),0)+IF(LEFT('10 Calculated Part Data'!Q7,5)="Level",MAX(0,0.95-'10 Calculated Part Data'!Q74),0)</f>
        <v/>
      </c>
      <c r="Q43" s="239">
        <f>IF(Q$38=1,MAX(0,0.95-'10 Calculated Part Data'!Q139),0)+IF(LEFT('10 Calculated Part Data'!R7,5)="Level",MAX(0,0.95-'10 Calculated Part Data'!R74),0)</f>
        <v/>
      </c>
      <c r="R43" s="239">
        <f>IF(R$38=1,MAX(0,0.95-'10 Calculated Part Data'!R139),0)</f>
        <v/>
      </c>
      <c r="S43" s="45" t="n"/>
    </row>
    <row r="44" ht="14.25" customHeight="1" s="267">
      <c r="A44" s="235" t="inlineStr">
        <is>
          <t>Rear Wing</t>
        </is>
      </c>
      <c r="B44" s="239">
        <f>IF(B$38=1,MAX(0,0.95-'10 Calculated Part Data'!B140),0)+IF(LEFT('10 Calculated Part Data'!C8,5)="Level",MAX(0,0.95-'10 Calculated Part Data'!C75),0)</f>
        <v/>
      </c>
      <c r="C44" s="239">
        <f>IF(C$38=1,MAX(0,0.95-'10 Calculated Part Data'!C140),0)+IF(LEFT('10 Calculated Part Data'!D8,5)="Level",MAX(0,0.95-'10 Calculated Part Data'!D75),0)</f>
        <v/>
      </c>
      <c r="D44" s="239">
        <f>IF(D$38=1,MAX(0,0.95-'10 Calculated Part Data'!D140),0)+IF(LEFT('10 Calculated Part Data'!E8,5)="Level",MAX(0,0.95-'10 Calculated Part Data'!E75),0)</f>
        <v/>
      </c>
      <c r="E44" s="239">
        <f>IF(E$38=1,MAX(0,0.95-'10 Calculated Part Data'!E140),0)+IF(LEFT('10 Calculated Part Data'!F8,5)="Level",MAX(0,0.95-'10 Calculated Part Data'!F75),0)</f>
        <v/>
      </c>
      <c r="F44" s="239">
        <f>IF(F$38=1,MAX(0,0.95-'10 Calculated Part Data'!F140),0)+IF(LEFT('10 Calculated Part Data'!G8,5)="Level",MAX(0,0.95-'10 Calculated Part Data'!G75),0)</f>
        <v/>
      </c>
      <c r="G44" s="239">
        <f>IF(G$38=1,MAX(0,0.95-'10 Calculated Part Data'!G140),0)+IF(LEFT('10 Calculated Part Data'!H8,5)="Level",MAX(0,0.95-'10 Calculated Part Data'!H75),0)</f>
        <v/>
      </c>
      <c r="H44" s="239">
        <f>IF(H$38=1,MAX(0,0.95-'10 Calculated Part Data'!H140),0)+IF(LEFT('10 Calculated Part Data'!I8,5)="Level",MAX(0,0.95-'10 Calculated Part Data'!I75),0)</f>
        <v/>
      </c>
      <c r="I44" s="239">
        <f>IF(I$38=1,MAX(0,0.95-'10 Calculated Part Data'!I140),0)+IF(LEFT('10 Calculated Part Data'!J8,5)="Level",MAX(0,0.95-'10 Calculated Part Data'!J75),0)</f>
        <v/>
      </c>
      <c r="J44" s="239">
        <f>IF(J$38=1,MAX(0,0.95-'10 Calculated Part Data'!J140),0)+IF(LEFT('10 Calculated Part Data'!K8,5)="Level",MAX(0,0.95-'10 Calculated Part Data'!K75),0)</f>
        <v/>
      </c>
      <c r="K44" s="239">
        <f>IF(K$38=1,MAX(0,0.95-'10 Calculated Part Data'!K140),0)+IF(LEFT('10 Calculated Part Data'!L8,5)="Level",MAX(0,0.95-'10 Calculated Part Data'!L75),0)</f>
        <v/>
      </c>
      <c r="L44" s="239">
        <f>IF(L$38=1,MAX(0,0.95-'10 Calculated Part Data'!L140),0)+IF(LEFT('10 Calculated Part Data'!M8,5)="Level",MAX(0,0.95-'10 Calculated Part Data'!M75),0)</f>
        <v/>
      </c>
      <c r="M44" s="239">
        <f>IF(M$38=1,MAX(0,0.95-'10 Calculated Part Data'!M140),0)+IF(LEFT('10 Calculated Part Data'!N8,5)="Level",MAX(0,0.95-'10 Calculated Part Data'!N75),0)</f>
        <v/>
      </c>
      <c r="N44" s="239">
        <f>IF(N$38=1,MAX(0,0.95-'10 Calculated Part Data'!N140),0)+IF(LEFT('10 Calculated Part Data'!O8,5)="Level",MAX(0,0.95-'10 Calculated Part Data'!O75),0)</f>
        <v/>
      </c>
      <c r="O44" s="239">
        <f>IF(O$38=1,MAX(0,0.95-'10 Calculated Part Data'!O140),0)+IF(LEFT('10 Calculated Part Data'!P8,5)="Level",MAX(0,0.95-'10 Calculated Part Data'!P75),0)</f>
        <v/>
      </c>
      <c r="P44" s="239">
        <f>IF(P$38=1,MAX(0,0.95-'10 Calculated Part Data'!P140),0)+IF(LEFT('10 Calculated Part Data'!Q8,5)="Level",MAX(0,0.95-'10 Calculated Part Data'!Q75),0)</f>
        <v/>
      </c>
      <c r="Q44" s="239">
        <f>IF(Q$38=1,MAX(0,0.95-'10 Calculated Part Data'!Q140),0)+IF(LEFT('10 Calculated Part Data'!R8,5)="Level",MAX(0,0.95-'10 Calculated Part Data'!R75),0)</f>
        <v/>
      </c>
      <c r="R44" s="239">
        <f>IF(R$38=1,MAX(0,0.95-'10 Calculated Part Data'!R140),0)</f>
        <v/>
      </c>
      <c r="S44" s="45" t="n"/>
    </row>
    <row r="45" ht="14.25" customHeight="1" s="267">
      <c r="A45" s="235" t="inlineStr">
        <is>
          <t>Underbody</t>
        </is>
      </c>
      <c r="B45" s="239">
        <f>IF(B$38=1,MAX(0,0.95-'10 Calculated Part Data'!B141),0)+IF(LEFT('10 Calculated Part Data'!C9,5)="Level",MAX(0,0.95-'10 Calculated Part Data'!C76),0)</f>
        <v/>
      </c>
      <c r="C45" s="239">
        <f>IF(C$38=1,MAX(0,0.95-'10 Calculated Part Data'!C141),0)+IF(LEFT('10 Calculated Part Data'!D9,5)="Level",MAX(0,0.95-'10 Calculated Part Data'!D76),0)</f>
        <v/>
      </c>
      <c r="D45" s="239">
        <f>IF(D$38=1,MAX(0,0.95-'10 Calculated Part Data'!D141),0)+IF(LEFT('10 Calculated Part Data'!E9,5)="Level",MAX(0,0.95-'10 Calculated Part Data'!E76),0)</f>
        <v/>
      </c>
      <c r="E45" s="239">
        <f>IF(E$38=1,MAX(0,0.95-'10 Calculated Part Data'!E141),0)+IF(LEFT('10 Calculated Part Data'!F9,5)="Level",MAX(0,0.95-'10 Calculated Part Data'!F76),0)</f>
        <v/>
      </c>
      <c r="F45" s="239">
        <f>IF(F$38=1,MAX(0,0.95-'10 Calculated Part Data'!F141),0)+IF(LEFT('10 Calculated Part Data'!G9,5)="Level",MAX(0,0.95-'10 Calculated Part Data'!G76),0)</f>
        <v/>
      </c>
      <c r="G45" s="239">
        <f>IF(G$38=1,MAX(0,0.95-'10 Calculated Part Data'!G141),0)+IF(LEFT('10 Calculated Part Data'!H9,5)="Level",MAX(0,0.95-'10 Calculated Part Data'!H76),0)</f>
        <v/>
      </c>
      <c r="H45" s="239">
        <f>IF(H$38=1,MAX(0,0.95-'10 Calculated Part Data'!H141),0)+IF(LEFT('10 Calculated Part Data'!I9,5)="Level",MAX(0,0.95-'10 Calculated Part Data'!I76),0)</f>
        <v/>
      </c>
      <c r="I45" s="239">
        <f>IF(I$38=1,MAX(0,0.95-'10 Calculated Part Data'!I141),0)+IF(LEFT('10 Calculated Part Data'!J9,5)="Level",MAX(0,0.95-'10 Calculated Part Data'!J76),0)</f>
        <v/>
      </c>
      <c r="J45" s="239">
        <f>IF(J$38=1,MAX(0,0.95-'10 Calculated Part Data'!J141),0)+IF(LEFT('10 Calculated Part Data'!K9,5)="Level",MAX(0,0.95-'10 Calculated Part Data'!K76),0)</f>
        <v/>
      </c>
      <c r="K45" s="239">
        <f>IF(K$38=1,MAX(0,0.95-'10 Calculated Part Data'!K141),0)+IF(LEFT('10 Calculated Part Data'!L9,5)="Level",MAX(0,0.95-'10 Calculated Part Data'!L76),0)</f>
        <v/>
      </c>
      <c r="L45" s="239">
        <f>IF(L$38=1,MAX(0,0.95-'10 Calculated Part Data'!L141),0)+IF(LEFT('10 Calculated Part Data'!M9,5)="Level",MAX(0,0.95-'10 Calculated Part Data'!M76),0)</f>
        <v/>
      </c>
      <c r="M45" s="239">
        <f>IF(M$38=1,MAX(0,0.95-'10 Calculated Part Data'!M141),0)+IF(LEFT('10 Calculated Part Data'!N9,5)="Level",MAX(0,0.95-'10 Calculated Part Data'!N76),0)</f>
        <v/>
      </c>
      <c r="N45" s="239">
        <f>IF(N$38=1,MAX(0,0.95-'10 Calculated Part Data'!N141),0)+IF(LEFT('10 Calculated Part Data'!O9,5)="Level",MAX(0,0.95-'10 Calculated Part Data'!O76),0)</f>
        <v/>
      </c>
      <c r="O45" s="239">
        <f>IF(O$38=1,MAX(0,0.95-'10 Calculated Part Data'!O141),0)+IF(LEFT('10 Calculated Part Data'!P9,5)="Level",MAX(0,0.95-'10 Calculated Part Data'!P76),0)</f>
        <v/>
      </c>
      <c r="P45" s="239">
        <f>IF(P$38=1,MAX(0,0.95-'10 Calculated Part Data'!P141),0)+IF(LEFT('10 Calculated Part Data'!Q9,5)="Level",MAX(0,0.95-'10 Calculated Part Data'!Q76),0)</f>
        <v/>
      </c>
      <c r="Q45" s="239">
        <f>IF(Q$38=1,MAX(0,0.95-'10 Calculated Part Data'!Q141),0)+IF(LEFT('10 Calculated Part Data'!R9,5)="Level",MAX(0,0.95-'10 Calculated Part Data'!R76),0)</f>
        <v/>
      </c>
      <c r="R45" s="239">
        <f>IF(R$38=1,MAX(0,0.95-'10 Calculated Part Data'!R141),0)</f>
        <v/>
      </c>
      <c r="S45" s="45" t="n"/>
    </row>
    <row r="46" ht="14.25" customHeight="1" s="267">
      <c r="A46" s="235" t="inlineStr">
        <is>
          <t>Sidepods</t>
        </is>
      </c>
      <c r="B46" s="239">
        <f>IF(B$38=1,MAX(0,0.95-'10 Calculated Part Data'!B142),0)+IF(LEFT('10 Calculated Part Data'!C10,5)="Level",MAX(0,0.95-'10 Calculated Part Data'!C77),0)</f>
        <v/>
      </c>
      <c r="C46" s="239">
        <f>IF(C$38=1,MAX(0,0.95-'10 Calculated Part Data'!C142),0)+IF(LEFT('10 Calculated Part Data'!D10,5)="Level",MAX(0,0.95-'10 Calculated Part Data'!D77),0)</f>
        <v/>
      </c>
      <c r="D46" s="239">
        <f>IF(D$38=1,MAX(0,0.95-'10 Calculated Part Data'!D142),0)+IF(LEFT('10 Calculated Part Data'!E10,5)="Level",MAX(0,0.95-'10 Calculated Part Data'!E77),0)</f>
        <v/>
      </c>
      <c r="E46" s="239">
        <f>IF(E$38=1,MAX(0,0.95-'10 Calculated Part Data'!E142),0)+IF(LEFT('10 Calculated Part Data'!F10,5)="Level",MAX(0,0.95-'10 Calculated Part Data'!F77),0)</f>
        <v/>
      </c>
      <c r="F46" s="239">
        <f>IF(F$38=1,MAX(0,0.95-'10 Calculated Part Data'!F142),0)+IF(LEFT('10 Calculated Part Data'!G10,5)="Level",MAX(0,0.95-'10 Calculated Part Data'!G77),0)</f>
        <v/>
      </c>
      <c r="G46" s="239">
        <f>IF(G$38=1,MAX(0,0.95-'10 Calculated Part Data'!G142),0)+IF(LEFT('10 Calculated Part Data'!H10,5)="Level",MAX(0,0.95-'10 Calculated Part Data'!H77),0)</f>
        <v/>
      </c>
      <c r="H46" s="239">
        <f>IF(H$38=1,MAX(0,0.95-'10 Calculated Part Data'!H142),0)+IF(LEFT('10 Calculated Part Data'!I10,5)="Level",MAX(0,0.95-'10 Calculated Part Data'!I77),0)</f>
        <v/>
      </c>
      <c r="I46" s="239">
        <f>IF(I$38=1,MAX(0,0.95-'10 Calculated Part Data'!I142),0)+IF(LEFT('10 Calculated Part Data'!J10,5)="Level",MAX(0,0.95-'10 Calculated Part Data'!J77),0)</f>
        <v/>
      </c>
      <c r="J46" s="239">
        <f>IF(J$38=1,MAX(0,0.95-'10 Calculated Part Data'!J142),0)+IF(LEFT('10 Calculated Part Data'!K10,5)="Level",MAX(0,0.95-'10 Calculated Part Data'!K77),0)</f>
        <v/>
      </c>
      <c r="K46" s="239">
        <f>IF(K$38=1,MAX(0,0.95-'10 Calculated Part Data'!K142),0)+IF(LEFT('10 Calculated Part Data'!L10,5)="Level",MAX(0,0.95-'10 Calculated Part Data'!L77),0)</f>
        <v/>
      </c>
      <c r="L46" s="239">
        <f>IF(L$38=1,MAX(0,0.95-'10 Calculated Part Data'!L142),0)+IF(LEFT('10 Calculated Part Data'!M10,5)="Level",MAX(0,0.95-'10 Calculated Part Data'!M77),0)</f>
        <v/>
      </c>
      <c r="M46" s="239">
        <f>IF(M$38=1,MAX(0,0.95-'10 Calculated Part Data'!M142),0)+IF(LEFT('10 Calculated Part Data'!N10,5)="Level",MAX(0,0.95-'10 Calculated Part Data'!N77),0)</f>
        <v/>
      </c>
      <c r="N46" s="239">
        <f>IF(N$38=1,MAX(0,0.95-'10 Calculated Part Data'!N142),0)+IF(LEFT('10 Calculated Part Data'!O10,5)="Level",MAX(0,0.95-'10 Calculated Part Data'!O77),0)</f>
        <v/>
      </c>
      <c r="O46" s="239">
        <f>IF(O$38=1,MAX(0,0.95-'10 Calculated Part Data'!O142),0)+IF(LEFT('10 Calculated Part Data'!P10,5)="Level",MAX(0,0.95-'10 Calculated Part Data'!P77),0)</f>
        <v/>
      </c>
      <c r="P46" s="239">
        <f>IF(P$38=1,MAX(0,0.95-'10 Calculated Part Data'!P142),0)+IF(LEFT('10 Calculated Part Data'!Q10,5)="Level",MAX(0,0.95-'10 Calculated Part Data'!Q77),0)</f>
        <v/>
      </c>
      <c r="Q46" s="239">
        <f>IF(Q$38=1,MAX(0,0.95-'10 Calculated Part Data'!Q142),0)+IF(LEFT('10 Calculated Part Data'!R10,5)="Level",MAX(0,0.95-'10 Calculated Part Data'!R77),0)</f>
        <v/>
      </c>
      <c r="R46" s="239">
        <f>IF(R$38=1,MAX(0,0.95-'10 Calculated Part Data'!R142),0)</f>
        <v/>
      </c>
      <c r="S46" s="45" t="n"/>
    </row>
    <row r="47" ht="14.25" customHeight="1" s="267">
      <c r="A47" s="235" t="inlineStr">
        <is>
          <t>Cooling</t>
        </is>
      </c>
      <c r="B47" s="239">
        <f>IF(B$38=1,MAX(0,0.95-'10 Calculated Part Data'!B143),0)+IF(LEFT('10 Calculated Part Data'!C11,5)="Level",MAX(0,0.95-'10 Calculated Part Data'!C78),0)</f>
        <v/>
      </c>
      <c r="C47" s="239">
        <f>IF(C$38=1,MAX(0,0.95-'10 Calculated Part Data'!C143),0)+IF(LEFT('10 Calculated Part Data'!D11,5)="Level",MAX(0,0.95-'10 Calculated Part Data'!D78),0)</f>
        <v/>
      </c>
      <c r="D47" s="239">
        <f>IF(D$38=1,MAX(0,0.95-'10 Calculated Part Data'!D143),0)+IF(LEFT('10 Calculated Part Data'!E11,5)="Level",MAX(0,0.95-'10 Calculated Part Data'!E78),0)</f>
        <v/>
      </c>
      <c r="E47" s="239">
        <f>IF(E$38=1,MAX(0,0.95-'10 Calculated Part Data'!E143),0)+IF(LEFT('10 Calculated Part Data'!F11,5)="Level",MAX(0,0.95-'10 Calculated Part Data'!F78),0)</f>
        <v/>
      </c>
      <c r="F47" s="239">
        <f>IF(F$38=1,MAX(0,0.95-'10 Calculated Part Data'!F143),0)+IF(LEFT('10 Calculated Part Data'!G11,5)="Level",MAX(0,0.95-'10 Calculated Part Data'!G78),0)</f>
        <v/>
      </c>
      <c r="G47" s="239">
        <f>IF(G$38=1,MAX(0,0.95-'10 Calculated Part Data'!G143),0)+IF(LEFT('10 Calculated Part Data'!H11,5)="Level",MAX(0,0.95-'10 Calculated Part Data'!H78),0)</f>
        <v/>
      </c>
      <c r="H47" s="239">
        <f>IF(H$38=1,MAX(0,0.95-'10 Calculated Part Data'!H143),0)+IF(LEFT('10 Calculated Part Data'!I11,5)="Level",MAX(0,0.95-'10 Calculated Part Data'!I78),0)</f>
        <v/>
      </c>
      <c r="I47" s="239">
        <f>IF(I$38=1,MAX(0,0.95-'10 Calculated Part Data'!I143),0)+IF(LEFT('10 Calculated Part Data'!J11,5)="Level",MAX(0,0.95-'10 Calculated Part Data'!J78),0)</f>
        <v/>
      </c>
      <c r="J47" s="239">
        <f>IF(J$38=1,MAX(0,0.95-'10 Calculated Part Data'!J143),0)+IF(LEFT('10 Calculated Part Data'!K11,5)="Level",MAX(0,0.95-'10 Calculated Part Data'!K78),0)</f>
        <v/>
      </c>
      <c r="K47" s="239">
        <f>IF(K$38=1,MAX(0,0.95-'10 Calculated Part Data'!K143),0)+IF(LEFT('10 Calculated Part Data'!L11,5)="Level",MAX(0,0.95-'10 Calculated Part Data'!L78),0)</f>
        <v/>
      </c>
      <c r="L47" s="239">
        <f>IF(L$38=1,MAX(0,0.95-'10 Calculated Part Data'!L143),0)+IF(LEFT('10 Calculated Part Data'!M11,5)="Level",MAX(0,0.95-'10 Calculated Part Data'!M78),0)</f>
        <v/>
      </c>
      <c r="M47" s="239">
        <f>IF(M$38=1,MAX(0,0.95-'10 Calculated Part Data'!M143),0)+IF(LEFT('10 Calculated Part Data'!N11,5)="Level",MAX(0,0.95-'10 Calculated Part Data'!N78),0)</f>
        <v/>
      </c>
      <c r="N47" s="239">
        <f>IF(N$38=1,MAX(0,0.95-'10 Calculated Part Data'!N143),0)+IF(LEFT('10 Calculated Part Data'!O11,5)="Level",MAX(0,0.95-'10 Calculated Part Data'!O78),0)</f>
        <v/>
      </c>
      <c r="O47" s="239">
        <f>IF(O$38=1,MAX(0,0.95-'10 Calculated Part Data'!O143),0)+IF(LEFT('10 Calculated Part Data'!P11,5)="Level",MAX(0,0.95-'10 Calculated Part Data'!P78),0)</f>
        <v/>
      </c>
      <c r="P47" s="239">
        <f>IF(P$38=1,MAX(0,0.95-'10 Calculated Part Data'!P143),0)+IF(LEFT('10 Calculated Part Data'!Q11,5)="Level",MAX(0,0.95-'10 Calculated Part Data'!Q78),0)</f>
        <v/>
      </c>
      <c r="Q47" s="239">
        <f>IF(Q$38=1,MAX(0,0.95-'10 Calculated Part Data'!Q143),0)+IF(LEFT('10 Calculated Part Data'!R11,5)="Level",MAX(0,0.95-'10 Calculated Part Data'!R78),0)</f>
        <v/>
      </c>
      <c r="R47" s="239">
        <f>IF(R$38=1,MAX(0,0.95-'10 Calculated Part Data'!R143),0)</f>
        <v/>
      </c>
      <c r="S47" s="45" t="n"/>
    </row>
    <row r="48" ht="14.25" customHeight="1" s="267">
      <c r="A48" s="235" t="inlineStr">
        <is>
          <t>Gearbox</t>
        </is>
      </c>
      <c r="B48" s="239">
        <f>IF(B$38=1,MAX(0,0.95-'10 Calculated Part Data'!B144),0)+IF(LEFT('10 Calculated Part Data'!C12,5)="Level",MAX(0,0.95-'10 Calculated Part Data'!C79),0)</f>
        <v/>
      </c>
      <c r="C48" s="239">
        <f>IF(C$38=1,MAX(0,0.95-'10 Calculated Part Data'!C144),0)+IF(LEFT('10 Calculated Part Data'!D12,5)="Level",MAX(0,0.95-'10 Calculated Part Data'!D79),0)</f>
        <v/>
      </c>
      <c r="D48" s="239">
        <f>IF(D$38=1,MAX(0,0.95-'10 Calculated Part Data'!D144),0)+IF(LEFT('10 Calculated Part Data'!E12,5)="Level",MAX(0,0.95-'10 Calculated Part Data'!E79),0)</f>
        <v/>
      </c>
      <c r="E48" s="239">
        <f>IF(E$38=1,MAX(0,0.95-'10 Calculated Part Data'!E144),0)+IF(LEFT('10 Calculated Part Data'!F12,5)="Level",MAX(0,0.95-'10 Calculated Part Data'!F79),0)</f>
        <v/>
      </c>
      <c r="F48" s="239">
        <f>IF(F$38=1,MAX(0,0.95-'10 Calculated Part Data'!F144),0)+IF(LEFT('10 Calculated Part Data'!G12,5)="Level",MAX(0,0.95-'10 Calculated Part Data'!G79),0)</f>
        <v/>
      </c>
      <c r="G48" s="239">
        <f>IF(G$38=1,MAX(0,0.95-'10 Calculated Part Data'!G144),0)+IF(LEFT('10 Calculated Part Data'!H12,5)="Level",MAX(0,0.95-'10 Calculated Part Data'!H79),0)</f>
        <v/>
      </c>
      <c r="H48" s="239">
        <f>IF(H$38=1,MAX(0,0.95-'10 Calculated Part Data'!H144),0)+IF(LEFT('10 Calculated Part Data'!I12,5)="Level",MAX(0,0.95-'10 Calculated Part Data'!I79),0)</f>
        <v/>
      </c>
      <c r="I48" s="239">
        <f>IF(I$38=1,MAX(0,0.95-'10 Calculated Part Data'!I144),0)+IF(LEFT('10 Calculated Part Data'!J12,5)="Level",MAX(0,0.95-'10 Calculated Part Data'!J79),0)</f>
        <v/>
      </c>
      <c r="J48" s="239">
        <f>IF(J$38=1,MAX(0,0.95-'10 Calculated Part Data'!J144),0)+IF(LEFT('10 Calculated Part Data'!K12,5)="Level",MAX(0,0.95-'10 Calculated Part Data'!K79),0)</f>
        <v/>
      </c>
      <c r="K48" s="239">
        <f>IF(K$38=1,MAX(0,0.95-'10 Calculated Part Data'!K144),0)+IF(LEFT('10 Calculated Part Data'!L12,5)="Level",MAX(0,0.95-'10 Calculated Part Data'!L79),0)</f>
        <v/>
      </c>
      <c r="L48" s="239">
        <f>IF(L$38=1,MAX(0,0.95-'10 Calculated Part Data'!L144),0)+IF(LEFT('10 Calculated Part Data'!M12,5)="Level",MAX(0,0.95-'10 Calculated Part Data'!M79),0)</f>
        <v/>
      </c>
      <c r="M48" s="239">
        <f>IF(M$38=1,MAX(0,0.95-'10 Calculated Part Data'!M144),0)+IF(LEFT('10 Calculated Part Data'!N12,5)="Level",MAX(0,0.95-'10 Calculated Part Data'!N79),0)</f>
        <v/>
      </c>
      <c r="N48" s="239">
        <f>IF(N$38=1,MAX(0,0.95-'10 Calculated Part Data'!N144),0)+IF(LEFT('10 Calculated Part Data'!O12,5)="Level",MAX(0,0.95-'10 Calculated Part Data'!O79),0)</f>
        <v/>
      </c>
      <c r="O48" s="239">
        <f>IF(O$38=1,MAX(0,0.95-'10 Calculated Part Data'!O144),0)+IF(LEFT('10 Calculated Part Data'!P12,5)="Level",MAX(0,0.95-'10 Calculated Part Data'!P79),0)</f>
        <v/>
      </c>
      <c r="P48" s="239">
        <f>IF(P$38=1,MAX(0,0.95-'10 Calculated Part Data'!P144),0)+IF(LEFT('10 Calculated Part Data'!Q12,5)="Level",MAX(0,0.95-'10 Calculated Part Data'!Q79),0)</f>
        <v/>
      </c>
      <c r="Q48" s="239">
        <f>IF(Q$38=1,MAX(0,0.95-'10 Calculated Part Data'!Q144),0)+IF(LEFT('10 Calculated Part Data'!R12,5)="Level",MAX(0,0.95-'10 Calculated Part Data'!R79),0)</f>
        <v/>
      </c>
      <c r="R48" s="239">
        <f>IF(R$38=1,MAX(0,0.95-'10 Calculated Part Data'!R144),0)</f>
        <v/>
      </c>
      <c r="S48" s="45" t="n"/>
    </row>
    <row r="49" ht="14.25" customHeight="1" s="267">
      <c r="A49" s="235" t="inlineStr">
        <is>
          <t>Brakes</t>
        </is>
      </c>
      <c r="B49" s="239">
        <f>IF(B$38=1,MAX(0,0.95-'10 Calculated Part Data'!B145),0)+IF(LEFT('10 Calculated Part Data'!C13,5)="Level",MAX(0,0.95-'10 Calculated Part Data'!C80),0)</f>
        <v/>
      </c>
      <c r="C49" s="239">
        <f>IF(C$38=1,MAX(0,0.95-'10 Calculated Part Data'!C145),0)+IF(LEFT('10 Calculated Part Data'!D13,5)="Level",MAX(0,0.95-'10 Calculated Part Data'!D80),0)</f>
        <v/>
      </c>
      <c r="D49" s="239">
        <f>IF(D$38=1,MAX(0,0.95-'10 Calculated Part Data'!D145),0)+IF(LEFT('10 Calculated Part Data'!E13,5)="Level",MAX(0,0.95-'10 Calculated Part Data'!E80),0)</f>
        <v/>
      </c>
      <c r="E49" s="239">
        <f>IF(E$38=1,MAX(0,0.95-'10 Calculated Part Data'!E145),0)+IF(LEFT('10 Calculated Part Data'!F13,5)="Level",MAX(0,0.95-'10 Calculated Part Data'!F80),0)</f>
        <v/>
      </c>
      <c r="F49" s="239">
        <f>IF(F$38=1,MAX(0,0.95-'10 Calculated Part Data'!F145),0)+IF(LEFT('10 Calculated Part Data'!G13,5)="Level",MAX(0,0.95-'10 Calculated Part Data'!G80),0)</f>
        <v/>
      </c>
      <c r="G49" s="239">
        <f>IF(G$38=1,MAX(0,0.95-'10 Calculated Part Data'!G145),0)+IF(LEFT('10 Calculated Part Data'!H13,5)="Level",MAX(0,0.95-'10 Calculated Part Data'!H80),0)</f>
        <v/>
      </c>
      <c r="H49" s="239">
        <f>IF(H$38=1,MAX(0,0.95-'10 Calculated Part Data'!H145),0)+IF(LEFT('10 Calculated Part Data'!I13,5)="Level",MAX(0,0.95-'10 Calculated Part Data'!I80),0)</f>
        <v/>
      </c>
      <c r="I49" s="239">
        <f>IF(I$38=1,MAX(0,0.95-'10 Calculated Part Data'!I145),0)+IF(LEFT('10 Calculated Part Data'!J13,5)="Level",MAX(0,0.95-'10 Calculated Part Data'!J80),0)</f>
        <v/>
      </c>
      <c r="J49" s="239">
        <f>IF(J$38=1,MAX(0,0.95-'10 Calculated Part Data'!J145),0)+IF(LEFT('10 Calculated Part Data'!K13,5)="Level",MAX(0,0.95-'10 Calculated Part Data'!K80),0)</f>
        <v/>
      </c>
      <c r="K49" s="239">
        <f>IF(K$38=1,MAX(0,0.95-'10 Calculated Part Data'!K145),0)+IF(LEFT('10 Calculated Part Data'!L13,5)="Level",MAX(0,0.95-'10 Calculated Part Data'!L80),0)</f>
        <v/>
      </c>
      <c r="L49" s="239">
        <f>IF(L$38=1,MAX(0,0.95-'10 Calculated Part Data'!L145),0)+IF(LEFT('10 Calculated Part Data'!M13,5)="Level",MAX(0,0.95-'10 Calculated Part Data'!M80),0)</f>
        <v/>
      </c>
      <c r="M49" s="239">
        <f>IF(M$38=1,MAX(0,0.95-'10 Calculated Part Data'!M145),0)+IF(LEFT('10 Calculated Part Data'!N13,5)="Level",MAX(0,0.95-'10 Calculated Part Data'!N80),0)</f>
        <v/>
      </c>
      <c r="N49" s="239">
        <f>IF(N$38=1,MAX(0,0.95-'10 Calculated Part Data'!N145),0)+IF(LEFT('10 Calculated Part Data'!O13,5)="Level",MAX(0,0.95-'10 Calculated Part Data'!O80),0)</f>
        <v/>
      </c>
      <c r="O49" s="239">
        <f>IF(O$38=1,MAX(0,0.95-'10 Calculated Part Data'!O145),0)+IF(LEFT('10 Calculated Part Data'!P13,5)="Level",MAX(0,0.95-'10 Calculated Part Data'!P80),0)</f>
        <v/>
      </c>
      <c r="P49" s="239">
        <f>IF(P$38=1,MAX(0,0.95-'10 Calculated Part Data'!P145),0)+IF(LEFT('10 Calculated Part Data'!Q13,5)="Level",MAX(0,0.95-'10 Calculated Part Data'!Q80),0)</f>
        <v/>
      </c>
      <c r="Q49" s="239">
        <f>IF(Q$38=1,MAX(0,0.95-'10 Calculated Part Data'!Q145),0)+IF(LEFT('10 Calculated Part Data'!R13,5)="Level",MAX(0,0.95-'10 Calculated Part Data'!R80),0)</f>
        <v/>
      </c>
      <c r="R49" s="239">
        <f>IF(R$38=1,MAX(0,0.95-'10 Calculated Part Data'!R145),0)</f>
        <v/>
      </c>
      <c r="S49" s="45" t="n"/>
    </row>
    <row r="50" ht="14.25" customHeight="1" s="267">
      <c r="A50" s="235" t="inlineStr">
        <is>
          <t>Suspension</t>
        </is>
      </c>
      <c r="B50" s="239">
        <f>IF(B$38=1,MAX(0,0.95-'10 Calculated Part Data'!B146),0)+IF(LEFT('10 Calculated Part Data'!C14,5)="Level",MAX(0,0.95-'10 Calculated Part Data'!C81),0)</f>
        <v/>
      </c>
      <c r="C50" s="239">
        <f>IF(C$38=1,MAX(0,0.95-'10 Calculated Part Data'!C146),0)+IF(LEFT('10 Calculated Part Data'!D14,5)="Level",MAX(0,0.95-'10 Calculated Part Data'!D81),0)</f>
        <v/>
      </c>
      <c r="D50" s="239">
        <f>IF(D$38=1,MAX(0,0.95-'10 Calculated Part Data'!D146),0)+IF(LEFT('10 Calculated Part Data'!E14,5)="Level",MAX(0,0.95-'10 Calculated Part Data'!E81),0)</f>
        <v/>
      </c>
      <c r="E50" s="239">
        <f>IF(E$38=1,MAX(0,0.95-'10 Calculated Part Data'!E146),0)+IF(LEFT('10 Calculated Part Data'!F14,5)="Level",MAX(0,0.95-'10 Calculated Part Data'!F81),0)</f>
        <v/>
      </c>
      <c r="F50" s="239">
        <f>IF(F$38=1,MAX(0,0.95-'10 Calculated Part Data'!F146),0)+IF(LEFT('10 Calculated Part Data'!G14,5)="Level",MAX(0,0.95-'10 Calculated Part Data'!G81),0)</f>
        <v/>
      </c>
      <c r="G50" s="239">
        <f>IF(G$38=1,MAX(0,0.95-'10 Calculated Part Data'!G146),0)+IF(LEFT('10 Calculated Part Data'!H14,5)="Level",MAX(0,0.95-'10 Calculated Part Data'!H81),0)</f>
        <v/>
      </c>
      <c r="H50" s="239">
        <f>IF(H$38=1,MAX(0,0.95-'10 Calculated Part Data'!H146),0)+IF(LEFT('10 Calculated Part Data'!I14,5)="Level",MAX(0,0.95-'10 Calculated Part Data'!I81),0)</f>
        <v/>
      </c>
      <c r="I50" s="239">
        <f>IF(I$38=1,MAX(0,0.95-'10 Calculated Part Data'!I146),0)+IF(LEFT('10 Calculated Part Data'!J14,5)="Level",MAX(0,0.95-'10 Calculated Part Data'!J81),0)</f>
        <v/>
      </c>
      <c r="J50" s="239">
        <f>IF(J$38=1,MAX(0,0.95-'10 Calculated Part Data'!J146),0)+IF(LEFT('10 Calculated Part Data'!K14,5)="Level",MAX(0,0.95-'10 Calculated Part Data'!K81),0)</f>
        <v/>
      </c>
      <c r="K50" s="239">
        <f>IF(K$38=1,MAX(0,0.95-'10 Calculated Part Data'!K146),0)+IF(LEFT('10 Calculated Part Data'!L14,5)="Level",MAX(0,0.95-'10 Calculated Part Data'!L81),0)</f>
        <v/>
      </c>
      <c r="L50" s="239">
        <f>IF(L$38=1,MAX(0,0.95-'10 Calculated Part Data'!L146),0)+IF(LEFT('10 Calculated Part Data'!M14,5)="Level",MAX(0,0.95-'10 Calculated Part Data'!M81),0)</f>
        <v/>
      </c>
      <c r="M50" s="239">
        <f>IF(M$38=1,MAX(0,0.95-'10 Calculated Part Data'!M146),0)+IF(LEFT('10 Calculated Part Data'!N14,5)="Level",MAX(0,0.95-'10 Calculated Part Data'!N81),0)</f>
        <v/>
      </c>
      <c r="N50" s="239">
        <f>IF(N$38=1,MAX(0,0.95-'10 Calculated Part Data'!N146),0)+IF(LEFT('10 Calculated Part Data'!O14,5)="Level",MAX(0,0.95-'10 Calculated Part Data'!O81),0)</f>
        <v/>
      </c>
      <c r="O50" s="239">
        <f>IF(O$38=1,MAX(0,0.95-'10 Calculated Part Data'!O146),0)+IF(LEFT('10 Calculated Part Data'!P14,5)="Level",MAX(0,0.95-'10 Calculated Part Data'!P81),0)</f>
        <v/>
      </c>
      <c r="P50" s="239">
        <f>IF(P$38=1,MAX(0,0.95-'10 Calculated Part Data'!P146),0)+IF(LEFT('10 Calculated Part Data'!Q14,5)="Level",MAX(0,0.95-'10 Calculated Part Data'!Q81),0)</f>
        <v/>
      </c>
      <c r="Q50" s="239">
        <f>IF(Q$38=1,MAX(0,0.95-'10 Calculated Part Data'!Q146),0)+IF(LEFT('10 Calculated Part Data'!R14,5)="Level",MAX(0,0.95-'10 Calculated Part Data'!R81),0)</f>
        <v/>
      </c>
      <c r="R50" s="239">
        <f>IF(R$38=1,MAX(0,0.95-'10 Calculated Part Data'!R146),0)</f>
        <v/>
      </c>
      <c r="S50" s="45" t="n"/>
    </row>
    <row r="51" ht="14.25" customHeight="1" s="267">
      <c r="A51" s="235" t="inlineStr">
        <is>
          <t>Electronics</t>
        </is>
      </c>
      <c r="B51" s="239">
        <f>IF(B$38=1,MAX(0,0.95-'10 Calculated Part Data'!B147),0)+IF(LEFT('10 Calculated Part Data'!C15,5)="Level",MAX(0,0.95-'10 Calculated Part Data'!C82),0)</f>
        <v/>
      </c>
      <c r="C51" s="239">
        <f>IF(C$38=1,MAX(0,0.95-'10 Calculated Part Data'!C147),0)+IF(LEFT('10 Calculated Part Data'!D15,5)="Level",MAX(0,0.95-'10 Calculated Part Data'!D82),0)</f>
        <v/>
      </c>
      <c r="D51" s="239">
        <f>IF(D$38=1,MAX(0,0.95-'10 Calculated Part Data'!D147),0)+IF(LEFT('10 Calculated Part Data'!E15,5)="Level",MAX(0,0.95-'10 Calculated Part Data'!E82),0)</f>
        <v/>
      </c>
      <c r="E51" s="239">
        <f>IF(E$38=1,MAX(0,0.95-'10 Calculated Part Data'!E147),0)+IF(LEFT('10 Calculated Part Data'!F15,5)="Level",MAX(0,0.95-'10 Calculated Part Data'!F82),0)</f>
        <v/>
      </c>
      <c r="F51" s="239">
        <f>IF(F$38=1,MAX(0,0.95-'10 Calculated Part Data'!F147),0)+IF(LEFT('10 Calculated Part Data'!G15,5)="Level",MAX(0,0.95-'10 Calculated Part Data'!G82),0)</f>
        <v/>
      </c>
      <c r="G51" s="239">
        <f>IF(G$38=1,MAX(0,0.95-'10 Calculated Part Data'!G147),0)+IF(LEFT('10 Calculated Part Data'!H15,5)="Level",MAX(0,0.95-'10 Calculated Part Data'!H82),0)</f>
        <v/>
      </c>
      <c r="H51" s="239">
        <f>IF(H$38=1,MAX(0,0.95-'10 Calculated Part Data'!H147),0)+IF(LEFT('10 Calculated Part Data'!I15,5)="Level",MAX(0,0.95-'10 Calculated Part Data'!I82),0)</f>
        <v/>
      </c>
      <c r="I51" s="239">
        <f>IF(I$38=1,MAX(0,0.95-'10 Calculated Part Data'!I147),0)+IF(LEFT('10 Calculated Part Data'!J15,5)="Level",MAX(0,0.95-'10 Calculated Part Data'!J82),0)</f>
        <v/>
      </c>
      <c r="J51" s="239">
        <f>IF(J$38=1,MAX(0,0.95-'10 Calculated Part Data'!J147),0)+IF(LEFT('10 Calculated Part Data'!K15,5)="Level",MAX(0,0.95-'10 Calculated Part Data'!K82),0)</f>
        <v/>
      </c>
      <c r="K51" s="239">
        <f>IF(K$38=1,MAX(0,0.95-'10 Calculated Part Data'!K147),0)+IF(LEFT('10 Calculated Part Data'!L15,5)="Level",MAX(0,0.95-'10 Calculated Part Data'!L82),0)</f>
        <v/>
      </c>
      <c r="L51" s="239">
        <f>IF(L$38=1,MAX(0,0.95-'10 Calculated Part Data'!L147),0)+IF(LEFT('10 Calculated Part Data'!M15,5)="Level",MAX(0,0.95-'10 Calculated Part Data'!M82),0)</f>
        <v/>
      </c>
      <c r="M51" s="239">
        <f>IF(M$38=1,MAX(0,0.95-'10 Calculated Part Data'!M147),0)+IF(LEFT('10 Calculated Part Data'!N15,5)="Level",MAX(0,0.95-'10 Calculated Part Data'!N82),0)</f>
        <v/>
      </c>
      <c r="N51" s="239">
        <f>IF(N$38=1,MAX(0,0.95-'10 Calculated Part Data'!N147),0)+IF(LEFT('10 Calculated Part Data'!O15,5)="Level",MAX(0,0.95-'10 Calculated Part Data'!O82),0)</f>
        <v/>
      </c>
      <c r="O51" s="239">
        <f>IF(O$38=1,MAX(0,0.95-'10 Calculated Part Data'!O147),0)+IF(LEFT('10 Calculated Part Data'!P15,5)="Level",MAX(0,0.95-'10 Calculated Part Data'!P82),0)</f>
        <v/>
      </c>
      <c r="P51" s="239">
        <f>IF(P$38=1,MAX(0,0.95-'10 Calculated Part Data'!P147),0)+IF(LEFT('10 Calculated Part Data'!Q15,5)="Level",MAX(0,0.95-'10 Calculated Part Data'!Q82),0)</f>
        <v/>
      </c>
      <c r="Q51" s="239">
        <f>IF(Q$38=1,MAX(0,0.95-'10 Calculated Part Data'!Q147),0)+IF(LEFT('10 Calculated Part Data'!R15,5)="Level",MAX(0,0.95-'10 Calculated Part Data'!R82),0)</f>
        <v/>
      </c>
      <c r="R51" s="239">
        <f>IF(R$38=1,MAX(0,0.95-'10 Calculated Part Data'!R147),0)</f>
        <v/>
      </c>
      <c r="S51" s="45" t="n"/>
    </row>
    <row r="52" ht="14.25" customHeight="1" s="267">
      <c r="A52" s="45" t="n"/>
      <c r="B52" s="45" t="n"/>
      <c r="C52" s="45" t="n"/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</row>
    <row r="53" ht="14.25" customHeight="1" s="267">
      <c r="A53" s="234" t="inlineStr">
        <is>
          <t>Money wasted</t>
        </is>
      </c>
      <c r="B53" s="45" t="n"/>
      <c r="C53" s="45" t="n"/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</row>
    <row r="54" ht="14.25" customHeight="1" s="267">
      <c r="A54" s="235" t="inlineStr">
        <is>
          <t>Chassis</t>
        </is>
      </c>
      <c r="B54" s="240">
        <f t="array" ref="B54">INDEX('13 Miscellaneous Data'!$C13:$K13,1,'10 Calculated Part Data'!B18)*B41</f>
        <v/>
      </c>
      <c r="C54" s="240">
        <f t="array" ref="C54">INDEX('13 Miscellaneous Data'!$C13:$K13,1,'10 Calculated Part Data'!C18)*C41</f>
        <v/>
      </c>
      <c r="D54" s="240">
        <f t="array" ref="D54">INDEX('13 Miscellaneous Data'!$C13:$K13,1,'10 Calculated Part Data'!D18)*D41</f>
        <v/>
      </c>
      <c r="E54" s="240">
        <f t="array" ref="E54">INDEX('13 Miscellaneous Data'!$C13:$K13,1,'10 Calculated Part Data'!E18)*E41</f>
        <v/>
      </c>
      <c r="F54" s="240">
        <f t="array" ref="F54">INDEX('13 Miscellaneous Data'!$C13:$K13,1,'10 Calculated Part Data'!F18)*F41</f>
        <v/>
      </c>
      <c r="G54" s="240">
        <f t="array" ref="G54">INDEX('13 Miscellaneous Data'!$C13:$K13,1,'10 Calculated Part Data'!G18)*G41</f>
        <v/>
      </c>
      <c r="H54" s="240">
        <f t="array" ref="H54">INDEX('13 Miscellaneous Data'!$C13:$K13,1,'10 Calculated Part Data'!H18)*H41</f>
        <v/>
      </c>
      <c r="I54" s="240">
        <f t="array" ref="I54">INDEX('13 Miscellaneous Data'!$C13:$K13,1,'10 Calculated Part Data'!I18)*I41</f>
        <v/>
      </c>
      <c r="J54" s="240">
        <f t="array" ref="J54">INDEX('13 Miscellaneous Data'!$C13:$K13,1,'10 Calculated Part Data'!J18)*J41</f>
        <v/>
      </c>
      <c r="K54" s="240">
        <f t="array" ref="K54">INDEX('13 Miscellaneous Data'!$C13:$K13,1,'10 Calculated Part Data'!K18)*K41</f>
        <v/>
      </c>
      <c r="L54" s="240">
        <f t="array" ref="L54">INDEX('13 Miscellaneous Data'!$C13:$K13,1,'10 Calculated Part Data'!L18)*L41</f>
        <v/>
      </c>
      <c r="M54" s="240">
        <f t="array" ref="M54">INDEX('13 Miscellaneous Data'!$C13:$K13,1,'10 Calculated Part Data'!M18)*M41</f>
        <v/>
      </c>
      <c r="N54" s="240">
        <f t="array" ref="N54">INDEX('13 Miscellaneous Data'!$C13:$K13,1,'10 Calculated Part Data'!N18)*N41</f>
        <v/>
      </c>
      <c r="O54" s="240">
        <f t="array" ref="O54">INDEX('13 Miscellaneous Data'!$C13:$K13,1,'10 Calculated Part Data'!O18)*O41</f>
        <v/>
      </c>
      <c r="P54" s="240">
        <f t="array" ref="P54">INDEX('13 Miscellaneous Data'!$C13:$K13,1,'10 Calculated Part Data'!P18)*P41</f>
        <v/>
      </c>
      <c r="Q54" s="240">
        <f t="array" ref="Q54">INDEX('13 Miscellaneous Data'!$C13:$K13,1,'10 Calculated Part Data'!Q18)*Q41</f>
        <v/>
      </c>
      <c r="R54" s="240">
        <f t="array" ref="R54">INDEX('13 Miscellaneous Data'!$C13:$K13,1,'10 Calculated Part Data'!R18)*R41</f>
        <v/>
      </c>
      <c r="S54" s="45" t="n"/>
    </row>
    <row r="55" ht="14.25" customHeight="1" s="267">
      <c r="A55" s="235" t="inlineStr">
        <is>
          <t>Engine</t>
        </is>
      </c>
      <c r="B55" s="240">
        <f t="array" ref="B55">INDEX('13 Miscellaneous Data'!$C14:$K14,1,'10 Calculated Part Data'!B19)*B42</f>
        <v/>
      </c>
      <c r="C55" s="240">
        <f t="array" ref="C55">INDEX('13 Miscellaneous Data'!$C14:$K14,1,'10 Calculated Part Data'!C19)*C42</f>
        <v/>
      </c>
      <c r="D55" s="240">
        <f t="array" ref="D55">INDEX('13 Miscellaneous Data'!$C14:$K14,1,'10 Calculated Part Data'!D19)*D42</f>
        <v/>
      </c>
      <c r="E55" s="240">
        <f t="array" ref="E55">INDEX('13 Miscellaneous Data'!$C14:$K14,1,'10 Calculated Part Data'!E19)*E42</f>
        <v/>
      </c>
      <c r="F55" s="240">
        <f t="array" ref="F55">INDEX('13 Miscellaneous Data'!$C14:$K14,1,'10 Calculated Part Data'!F19)*F42</f>
        <v/>
      </c>
      <c r="G55" s="240">
        <f t="array" ref="G55">INDEX('13 Miscellaneous Data'!$C14:$K14,1,'10 Calculated Part Data'!G19)*G42</f>
        <v/>
      </c>
      <c r="H55" s="240">
        <f t="array" ref="H55">INDEX('13 Miscellaneous Data'!$C14:$K14,1,'10 Calculated Part Data'!H19)*H42</f>
        <v/>
      </c>
      <c r="I55" s="240">
        <f t="array" ref="I55">INDEX('13 Miscellaneous Data'!$C14:$K14,1,'10 Calculated Part Data'!I19)*I42</f>
        <v/>
      </c>
      <c r="J55" s="240">
        <f t="array" ref="J55">INDEX('13 Miscellaneous Data'!$C14:$K14,1,'10 Calculated Part Data'!J19)*J42</f>
        <v/>
      </c>
      <c r="K55" s="240">
        <f t="array" ref="K55">INDEX('13 Miscellaneous Data'!$C14:$K14,1,'10 Calculated Part Data'!K19)*K42</f>
        <v/>
      </c>
      <c r="L55" s="240">
        <f t="array" ref="L55">INDEX('13 Miscellaneous Data'!$C14:$K14,1,'10 Calculated Part Data'!L19)*L42</f>
        <v/>
      </c>
      <c r="M55" s="240">
        <f t="array" ref="M55">INDEX('13 Miscellaneous Data'!$C14:$K14,1,'10 Calculated Part Data'!M19)*M42</f>
        <v/>
      </c>
      <c r="N55" s="240">
        <f t="array" ref="N55">INDEX('13 Miscellaneous Data'!$C14:$K14,1,'10 Calculated Part Data'!N19)*N42</f>
        <v/>
      </c>
      <c r="O55" s="240">
        <f t="array" ref="O55">INDEX('13 Miscellaneous Data'!$C14:$K14,1,'10 Calculated Part Data'!O19)*O42</f>
        <v/>
      </c>
      <c r="P55" s="240">
        <f t="array" ref="P55">INDEX('13 Miscellaneous Data'!$C14:$K14,1,'10 Calculated Part Data'!P19)*P42</f>
        <v/>
      </c>
      <c r="Q55" s="240">
        <f t="array" ref="Q55">INDEX('13 Miscellaneous Data'!$C14:$K14,1,'10 Calculated Part Data'!Q19)*Q42</f>
        <v/>
      </c>
      <c r="R55" s="240">
        <f t="array" ref="R55">INDEX('13 Miscellaneous Data'!$C14:$K14,1,'10 Calculated Part Data'!R19)*R42</f>
        <v/>
      </c>
      <c r="S55" s="45" t="n"/>
    </row>
    <row r="56" ht="14.25" customHeight="1" s="267">
      <c r="A56" s="235" t="inlineStr">
        <is>
          <t>Front Wing</t>
        </is>
      </c>
      <c r="B56" s="240">
        <f t="array" ref="B56">INDEX('13 Miscellaneous Data'!$C15:$K15,1,'10 Calculated Part Data'!B20)*B43</f>
        <v/>
      </c>
      <c r="C56" s="240">
        <f t="array" ref="C56">INDEX('13 Miscellaneous Data'!$C15:$K15,1,'10 Calculated Part Data'!C20)*C43</f>
        <v/>
      </c>
      <c r="D56" s="240">
        <f t="array" ref="D56">INDEX('13 Miscellaneous Data'!$C15:$K15,1,'10 Calculated Part Data'!D20)*D43</f>
        <v/>
      </c>
      <c r="E56" s="240">
        <f t="array" ref="E56">INDEX('13 Miscellaneous Data'!$C15:$K15,1,'10 Calculated Part Data'!E20)*E43</f>
        <v/>
      </c>
      <c r="F56" s="240">
        <f t="array" ref="F56">INDEX('13 Miscellaneous Data'!$C15:$K15,1,'10 Calculated Part Data'!F20)*F43</f>
        <v/>
      </c>
      <c r="G56" s="240">
        <f t="array" ref="G56">INDEX('13 Miscellaneous Data'!$C15:$K15,1,'10 Calculated Part Data'!G20)*G43</f>
        <v/>
      </c>
      <c r="H56" s="240">
        <f t="array" ref="H56">INDEX('13 Miscellaneous Data'!$C15:$K15,1,'10 Calculated Part Data'!H20)*H43</f>
        <v/>
      </c>
      <c r="I56" s="240">
        <f t="array" ref="I56">INDEX('13 Miscellaneous Data'!$C15:$K15,1,'10 Calculated Part Data'!I20)*I43</f>
        <v/>
      </c>
      <c r="J56" s="240">
        <f t="array" ref="J56">INDEX('13 Miscellaneous Data'!$C15:$K15,1,'10 Calculated Part Data'!J20)*J43</f>
        <v/>
      </c>
      <c r="K56" s="240">
        <f t="array" ref="K56">INDEX('13 Miscellaneous Data'!$C15:$K15,1,'10 Calculated Part Data'!K20)*K43</f>
        <v/>
      </c>
      <c r="L56" s="240">
        <f t="array" ref="L56">INDEX('13 Miscellaneous Data'!$C15:$K15,1,'10 Calculated Part Data'!L20)*L43</f>
        <v/>
      </c>
      <c r="M56" s="240">
        <f t="array" ref="M56">INDEX('13 Miscellaneous Data'!$C15:$K15,1,'10 Calculated Part Data'!M20)*M43</f>
        <v/>
      </c>
      <c r="N56" s="240">
        <f t="array" ref="N56">INDEX('13 Miscellaneous Data'!$C15:$K15,1,'10 Calculated Part Data'!N20)*N43</f>
        <v/>
      </c>
      <c r="O56" s="240">
        <f t="array" ref="O56">INDEX('13 Miscellaneous Data'!$C15:$K15,1,'10 Calculated Part Data'!O20)*O43</f>
        <v/>
      </c>
      <c r="P56" s="240">
        <f t="array" ref="P56">INDEX('13 Miscellaneous Data'!$C15:$K15,1,'10 Calculated Part Data'!P20)*P43</f>
        <v/>
      </c>
      <c r="Q56" s="240">
        <f t="array" ref="Q56">INDEX('13 Miscellaneous Data'!$C15:$K15,1,'10 Calculated Part Data'!Q20)*Q43</f>
        <v/>
      </c>
      <c r="R56" s="240">
        <f t="array" ref="R56">INDEX('13 Miscellaneous Data'!$C15:$K15,1,'10 Calculated Part Data'!R20)*R43</f>
        <v/>
      </c>
      <c r="S56" s="45" t="n"/>
    </row>
    <row r="57" ht="14.25" customHeight="1" s="267">
      <c r="A57" s="235" t="inlineStr">
        <is>
          <t>Rear Wing</t>
        </is>
      </c>
      <c r="B57" s="240">
        <f t="array" ref="B57">INDEX('13 Miscellaneous Data'!$C16:$K16,1,'10 Calculated Part Data'!B21)*B44</f>
        <v/>
      </c>
      <c r="C57" s="240">
        <f t="array" ref="C57">INDEX('13 Miscellaneous Data'!$C16:$K16,1,'10 Calculated Part Data'!C21)*C44</f>
        <v/>
      </c>
      <c r="D57" s="240">
        <f t="array" ref="D57">INDEX('13 Miscellaneous Data'!$C16:$K16,1,'10 Calculated Part Data'!D21)*D44</f>
        <v/>
      </c>
      <c r="E57" s="240">
        <f t="array" ref="E57">INDEX('13 Miscellaneous Data'!$C16:$K16,1,'10 Calculated Part Data'!E21)*E44</f>
        <v/>
      </c>
      <c r="F57" s="240">
        <f t="array" ref="F57">INDEX('13 Miscellaneous Data'!$C16:$K16,1,'10 Calculated Part Data'!F21)*F44</f>
        <v/>
      </c>
      <c r="G57" s="240">
        <f t="array" ref="G57">INDEX('13 Miscellaneous Data'!$C16:$K16,1,'10 Calculated Part Data'!G21)*G44</f>
        <v/>
      </c>
      <c r="H57" s="240">
        <f t="array" ref="H57">INDEX('13 Miscellaneous Data'!$C16:$K16,1,'10 Calculated Part Data'!H21)*H44</f>
        <v/>
      </c>
      <c r="I57" s="240">
        <f t="array" ref="I57">INDEX('13 Miscellaneous Data'!$C16:$K16,1,'10 Calculated Part Data'!I21)*I44</f>
        <v/>
      </c>
      <c r="J57" s="240">
        <f t="array" ref="J57">INDEX('13 Miscellaneous Data'!$C16:$K16,1,'10 Calculated Part Data'!J21)*J44</f>
        <v/>
      </c>
      <c r="K57" s="240">
        <f t="array" ref="K57">INDEX('13 Miscellaneous Data'!$C16:$K16,1,'10 Calculated Part Data'!K21)*K44</f>
        <v/>
      </c>
      <c r="L57" s="240">
        <f t="array" ref="L57">INDEX('13 Miscellaneous Data'!$C16:$K16,1,'10 Calculated Part Data'!L21)*L44</f>
        <v/>
      </c>
      <c r="M57" s="240">
        <f t="array" ref="M57">INDEX('13 Miscellaneous Data'!$C16:$K16,1,'10 Calculated Part Data'!M21)*M44</f>
        <v/>
      </c>
      <c r="N57" s="240">
        <f t="array" ref="N57">INDEX('13 Miscellaneous Data'!$C16:$K16,1,'10 Calculated Part Data'!N21)*N44</f>
        <v/>
      </c>
      <c r="O57" s="240">
        <f t="array" ref="O57">INDEX('13 Miscellaneous Data'!$C16:$K16,1,'10 Calculated Part Data'!O21)*O44</f>
        <v/>
      </c>
      <c r="P57" s="240">
        <f t="array" ref="P57">INDEX('13 Miscellaneous Data'!$C16:$K16,1,'10 Calculated Part Data'!P21)*P44</f>
        <v/>
      </c>
      <c r="Q57" s="240">
        <f t="array" ref="Q57">INDEX('13 Miscellaneous Data'!$C16:$K16,1,'10 Calculated Part Data'!Q21)*Q44</f>
        <v/>
      </c>
      <c r="R57" s="240">
        <f t="array" ref="R57">INDEX('13 Miscellaneous Data'!$C16:$K16,1,'10 Calculated Part Data'!R21)*R44</f>
        <v/>
      </c>
      <c r="S57" s="45" t="n"/>
    </row>
    <row r="58" ht="14.25" customHeight="1" s="267">
      <c r="A58" s="235" t="inlineStr">
        <is>
          <t>Underbody</t>
        </is>
      </c>
      <c r="B58" s="240">
        <f t="array" ref="B58">INDEX('13 Miscellaneous Data'!$C17:$K17,1,'10 Calculated Part Data'!B22)*B45</f>
        <v/>
      </c>
      <c r="C58" s="240">
        <f t="array" ref="C58">INDEX('13 Miscellaneous Data'!$C17:$K17,1,'10 Calculated Part Data'!C22)*C45</f>
        <v/>
      </c>
      <c r="D58" s="240">
        <f t="array" ref="D58">INDEX('13 Miscellaneous Data'!$C17:$K17,1,'10 Calculated Part Data'!D22)*D45</f>
        <v/>
      </c>
      <c r="E58" s="240">
        <f t="array" ref="E58">INDEX('13 Miscellaneous Data'!$C17:$K17,1,'10 Calculated Part Data'!E22)*E45</f>
        <v/>
      </c>
      <c r="F58" s="240">
        <f t="array" ref="F58">INDEX('13 Miscellaneous Data'!$C17:$K17,1,'10 Calculated Part Data'!F22)*F45</f>
        <v/>
      </c>
      <c r="G58" s="240">
        <f t="array" ref="G58">INDEX('13 Miscellaneous Data'!$C17:$K17,1,'10 Calculated Part Data'!G22)*G45</f>
        <v/>
      </c>
      <c r="H58" s="240">
        <f t="array" ref="H58">INDEX('13 Miscellaneous Data'!$C17:$K17,1,'10 Calculated Part Data'!H22)*H45</f>
        <v/>
      </c>
      <c r="I58" s="240">
        <f t="array" ref="I58">INDEX('13 Miscellaneous Data'!$C17:$K17,1,'10 Calculated Part Data'!I22)*I45</f>
        <v/>
      </c>
      <c r="J58" s="240">
        <f t="array" ref="J58">INDEX('13 Miscellaneous Data'!$C17:$K17,1,'10 Calculated Part Data'!J22)*J45</f>
        <v/>
      </c>
      <c r="K58" s="240">
        <f t="array" ref="K58">INDEX('13 Miscellaneous Data'!$C17:$K17,1,'10 Calculated Part Data'!K22)*K45</f>
        <v/>
      </c>
      <c r="L58" s="240">
        <f t="array" ref="L58">INDEX('13 Miscellaneous Data'!$C17:$K17,1,'10 Calculated Part Data'!L22)*L45</f>
        <v/>
      </c>
      <c r="M58" s="240">
        <f t="array" ref="M58">INDEX('13 Miscellaneous Data'!$C17:$K17,1,'10 Calculated Part Data'!M22)*M45</f>
        <v/>
      </c>
      <c r="N58" s="240">
        <f t="array" ref="N58">INDEX('13 Miscellaneous Data'!$C17:$K17,1,'10 Calculated Part Data'!N22)*N45</f>
        <v/>
      </c>
      <c r="O58" s="240">
        <f t="array" ref="O58">INDEX('13 Miscellaneous Data'!$C17:$K17,1,'10 Calculated Part Data'!O22)*O45</f>
        <v/>
      </c>
      <c r="P58" s="240">
        <f t="array" ref="P58">INDEX('13 Miscellaneous Data'!$C17:$K17,1,'10 Calculated Part Data'!P22)*P45</f>
        <v/>
      </c>
      <c r="Q58" s="240">
        <f t="array" ref="Q58">INDEX('13 Miscellaneous Data'!$C17:$K17,1,'10 Calculated Part Data'!Q22)*Q45</f>
        <v/>
      </c>
      <c r="R58" s="240">
        <f t="array" ref="R58">INDEX('13 Miscellaneous Data'!$C17:$K17,1,'10 Calculated Part Data'!R22)*R45</f>
        <v/>
      </c>
      <c r="S58" s="45" t="n"/>
    </row>
    <row r="59" ht="14.25" customHeight="1" s="267">
      <c r="A59" s="235" t="inlineStr">
        <is>
          <t>Sidepods</t>
        </is>
      </c>
      <c r="B59" s="240">
        <f t="array" ref="B59">INDEX('13 Miscellaneous Data'!$C18:$K18,1,'10 Calculated Part Data'!B23)*B46</f>
        <v/>
      </c>
      <c r="C59" s="240">
        <f t="array" ref="C59">INDEX('13 Miscellaneous Data'!$C18:$K18,1,'10 Calculated Part Data'!C23)*C46</f>
        <v/>
      </c>
      <c r="D59" s="240">
        <f t="array" ref="D59">INDEX('13 Miscellaneous Data'!$C18:$K18,1,'10 Calculated Part Data'!D23)*D46</f>
        <v/>
      </c>
      <c r="E59" s="240">
        <f t="array" ref="E59">INDEX('13 Miscellaneous Data'!$C18:$K18,1,'10 Calculated Part Data'!E23)*E46</f>
        <v/>
      </c>
      <c r="F59" s="240">
        <f t="array" ref="F59">INDEX('13 Miscellaneous Data'!$C18:$K18,1,'10 Calculated Part Data'!F23)*F46</f>
        <v/>
      </c>
      <c r="G59" s="240">
        <f t="array" ref="G59">INDEX('13 Miscellaneous Data'!$C18:$K18,1,'10 Calculated Part Data'!G23)*G46</f>
        <v/>
      </c>
      <c r="H59" s="240">
        <f t="array" ref="H59">INDEX('13 Miscellaneous Data'!$C18:$K18,1,'10 Calculated Part Data'!H23)*H46</f>
        <v/>
      </c>
      <c r="I59" s="240">
        <f t="array" ref="I59">INDEX('13 Miscellaneous Data'!$C18:$K18,1,'10 Calculated Part Data'!I23)*I46</f>
        <v/>
      </c>
      <c r="J59" s="240">
        <f t="array" ref="J59">INDEX('13 Miscellaneous Data'!$C18:$K18,1,'10 Calculated Part Data'!J23)*J46</f>
        <v/>
      </c>
      <c r="K59" s="240">
        <f t="array" ref="K59">INDEX('13 Miscellaneous Data'!$C18:$K18,1,'10 Calculated Part Data'!K23)*K46</f>
        <v/>
      </c>
      <c r="L59" s="240">
        <f t="array" ref="L59">INDEX('13 Miscellaneous Data'!$C18:$K18,1,'10 Calculated Part Data'!L23)*L46</f>
        <v/>
      </c>
      <c r="M59" s="240">
        <f t="array" ref="M59">INDEX('13 Miscellaneous Data'!$C18:$K18,1,'10 Calculated Part Data'!M23)*M46</f>
        <v/>
      </c>
      <c r="N59" s="240">
        <f t="array" ref="N59">INDEX('13 Miscellaneous Data'!$C18:$K18,1,'10 Calculated Part Data'!N23)*N46</f>
        <v/>
      </c>
      <c r="O59" s="240">
        <f t="array" ref="O59">INDEX('13 Miscellaneous Data'!$C18:$K18,1,'10 Calculated Part Data'!O23)*O46</f>
        <v/>
      </c>
      <c r="P59" s="240">
        <f t="array" ref="P59">INDEX('13 Miscellaneous Data'!$C18:$K18,1,'10 Calculated Part Data'!P23)*P46</f>
        <v/>
      </c>
      <c r="Q59" s="240">
        <f t="array" ref="Q59">INDEX('13 Miscellaneous Data'!$C18:$K18,1,'10 Calculated Part Data'!Q23)*Q46</f>
        <v/>
      </c>
      <c r="R59" s="240">
        <f t="array" ref="R59">INDEX('13 Miscellaneous Data'!$C18:$K18,1,'10 Calculated Part Data'!R23)*R46</f>
        <v/>
      </c>
      <c r="S59" s="45" t="n"/>
    </row>
    <row r="60" ht="14.25" customHeight="1" s="267">
      <c r="A60" s="235" t="inlineStr">
        <is>
          <t>Cooling</t>
        </is>
      </c>
      <c r="B60" s="240">
        <f t="array" ref="B60">INDEX('13 Miscellaneous Data'!$C19:$K19,1,'10 Calculated Part Data'!B24)*B47</f>
        <v/>
      </c>
      <c r="C60" s="240">
        <f t="array" ref="C60">INDEX('13 Miscellaneous Data'!$C19:$K19,1,'10 Calculated Part Data'!C24)*C47</f>
        <v/>
      </c>
      <c r="D60" s="240">
        <f t="array" ref="D60">INDEX('13 Miscellaneous Data'!$C19:$K19,1,'10 Calculated Part Data'!D24)*D47</f>
        <v/>
      </c>
      <c r="E60" s="240">
        <f t="array" ref="E60">INDEX('13 Miscellaneous Data'!$C19:$K19,1,'10 Calculated Part Data'!E24)*E47</f>
        <v/>
      </c>
      <c r="F60" s="240">
        <f t="array" ref="F60">INDEX('13 Miscellaneous Data'!$C19:$K19,1,'10 Calculated Part Data'!F24)*F47</f>
        <v/>
      </c>
      <c r="G60" s="240">
        <f t="array" ref="G60">INDEX('13 Miscellaneous Data'!$C19:$K19,1,'10 Calculated Part Data'!G24)*G47</f>
        <v/>
      </c>
      <c r="H60" s="240">
        <f t="array" ref="H60">INDEX('13 Miscellaneous Data'!$C19:$K19,1,'10 Calculated Part Data'!H24)*H47</f>
        <v/>
      </c>
      <c r="I60" s="240">
        <f t="array" ref="I60">INDEX('13 Miscellaneous Data'!$C19:$K19,1,'10 Calculated Part Data'!I24)*I47</f>
        <v/>
      </c>
      <c r="J60" s="240">
        <f t="array" ref="J60">INDEX('13 Miscellaneous Data'!$C19:$K19,1,'10 Calculated Part Data'!J24)*J47</f>
        <v/>
      </c>
      <c r="K60" s="240">
        <f t="array" ref="K60">INDEX('13 Miscellaneous Data'!$C19:$K19,1,'10 Calculated Part Data'!K24)*K47</f>
        <v/>
      </c>
      <c r="L60" s="240">
        <f t="array" ref="L60">INDEX('13 Miscellaneous Data'!$C19:$K19,1,'10 Calculated Part Data'!L24)*L47</f>
        <v/>
      </c>
      <c r="M60" s="240">
        <f t="array" ref="M60">INDEX('13 Miscellaneous Data'!$C19:$K19,1,'10 Calculated Part Data'!M24)*M47</f>
        <v/>
      </c>
      <c r="N60" s="240">
        <f t="array" ref="N60">INDEX('13 Miscellaneous Data'!$C19:$K19,1,'10 Calculated Part Data'!N24)*N47</f>
        <v/>
      </c>
      <c r="O60" s="240">
        <f t="array" ref="O60">INDEX('13 Miscellaneous Data'!$C19:$K19,1,'10 Calculated Part Data'!O24)*O47</f>
        <v/>
      </c>
      <c r="P60" s="240">
        <f t="array" ref="P60">INDEX('13 Miscellaneous Data'!$C19:$K19,1,'10 Calculated Part Data'!P24)*P47</f>
        <v/>
      </c>
      <c r="Q60" s="240">
        <f t="array" ref="Q60">INDEX('13 Miscellaneous Data'!$C19:$K19,1,'10 Calculated Part Data'!Q24)*Q47</f>
        <v/>
      </c>
      <c r="R60" s="240">
        <f t="array" ref="R60">INDEX('13 Miscellaneous Data'!$C19:$K19,1,'10 Calculated Part Data'!R24)*R47</f>
        <v/>
      </c>
      <c r="S60" s="45" t="n"/>
    </row>
    <row r="61" ht="14.25" customHeight="1" s="267">
      <c r="A61" s="235" t="inlineStr">
        <is>
          <t>Gearbox</t>
        </is>
      </c>
      <c r="B61" s="240">
        <f t="array" ref="B61">INDEX('13 Miscellaneous Data'!$C20:$K20,1,'10 Calculated Part Data'!B25)*B48</f>
        <v/>
      </c>
      <c r="C61" s="240">
        <f t="array" ref="C61">INDEX('13 Miscellaneous Data'!$C20:$K20,1,'10 Calculated Part Data'!C25)*C48</f>
        <v/>
      </c>
      <c r="D61" s="240">
        <f t="array" ref="D61">INDEX('13 Miscellaneous Data'!$C20:$K20,1,'10 Calculated Part Data'!D25)*D48</f>
        <v/>
      </c>
      <c r="E61" s="240">
        <f t="array" ref="E61">INDEX('13 Miscellaneous Data'!$C20:$K20,1,'10 Calculated Part Data'!E25)*E48</f>
        <v/>
      </c>
      <c r="F61" s="240">
        <f t="array" ref="F61">INDEX('13 Miscellaneous Data'!$C20:$K20,1,'10 Calculated Part Data'!F25)*F48</f>
        <v/>
      </c>
      <c r="G61" s="240">
        <f t="array" ref="G61">INDEX('13 Miscellaneous Data'!$C20:$K20,1,'10 Calculated Part Data'!G25)*G48</f>
        <v/>
      </c>
      <c r="H61" s="240">
        <f t="array" ref="H61">INDEX('13 Miscellaneous Data'!$C20:$K20,1,'10 Calculated Part Data'!H25)*H48</f>
        <v/>
      </c>
      <c r="I61" s="240">
        <f t="array" ref="I61">INDEX('13 Miscellaneous Data'!$C20:$K20,1,'10 Calculated Part Data'!I25)*I48</f>
        <v/>
      </c>
      <c r="J61" s="240">
        <f t="array" ref="J61">INDEX('13 Miscellaneous Data'!$C20:$K20,1,'10 Calculated Part Data'!J25)*J48</f>
        <v/>
      </c>
      <c r="K61" s="240">
        <f t="array" ref="K61">INDEX('13 Miscellaneous Data'!$C20:$K20,1,'10 Calculated Part Data'!K25)*K48</f>
        <v/>
      </c>
      <c r="L61" s="240">
        <f t="array" ref="L61">INDEX('13 Miscellaneous Data'!$C20:$K20,1,'10 Calculated Part Data'!L25)*L48</f>
        <v/>
      </c>
      <c r="M61" s="240">
        <f t="array" ref="M61">INDEX('13 Miscellaneous Data'!$C20:$K20,1,'10 Calculated Part Data'!M25)*M48</f>
        <v/>
      </c>
      <c r="N61" s="240">
        <f t="array" ref="N61">INDEX('13 Miscellaneous Data'!$C20:$K20,1,'10 Calculated Part Data'!N25)*N48</f>
        <v/>
      </c>
      <c r="O61" s="240">
        <f t="array" ref="O61">INDEX('13 Miscellaneous Data'!$C20:$K20,1,'10 Calculated Part Data'!O25)*O48</f>
        <v/>
      </c>
      <c r="P61" s="240">
        <f t="array" ref="P61">INDEX('13 Miscellaneous Data'!$C20:$K20,1,'10 Calculated Part Data'!P25)*P48</f>
        <v/>
      </c>
      <c r="Q61" s="240">
        <f t="array" ref="Q61">INDEX('13 Miscellaneous Data'!$C20:$K20,1,'10 Calculated Part Data'!Q25)*Q48</f>
        <v/>
      </c>
      <c r="R61" s="240">
        <f t="array" ref="R61">INDEX('13 Miscellaneous Data'!$C20:$K20,1,'10 Calculated Part Data'!R25)*R48</f>
        <v/>
      </c>
      <c r="S61" s="45" t="n"/>
    </row>
    <row r="62" ht="14.25" customHeight="1" s="267">
      <c r="A62" s="235" t="inlineStr">
        <is>
          <t>Brakes</t>
        </is>
      </c>
      <c r="B62" s="240">
        <f t="array" ref="B62">INDEX('13 Miscellaneous Data'!$C21:$K21,1,'10 Calculated Part Data'!B26)*B49</f>
        <v/>
      </c>
      <c r="C62" s="240">
        <f t="array" ref="C62">INDEX('13 Miscellaneous Data'!$C21:$K21,1,'10 Calculated Part Data'!C26)*C49</f>
        <v/>
      </c>
      <c r="D62" s="240">
        <f t="array" ref="D62">INDEX('13 Miscellaneous Data'!$C21:$K21,1,'10 Calculated Part Data'!D26)*D49</f>
        <v/>
      </c>
      <c r="E62" s="240">
        <f t="array" ref="E62">INDEX('13 Miscellaneous Data'!$C21:$K21,1,'10 Calculated Part Data'!E26)*E49</f>
        <v/>
      </c>
      <c r="F62" s="240">
        <f t="array" ref="F62">INDEX('13 Miscellaneous Data'!$C21:$K21,1,'10 Calculated Part Data'!F26)*F49</f>
        <v/>
      </c>
      <c r="G62" s="240">
        <f t="array" ref="G62">INDEX('13 Miscellaneous Data'!$C21:$K21,1,'10 Calculated Part Data'!G26)*G49</f>
        <v/>
      </c>
      <c r="H62" s="240">
        <f t="array" ref="H62">INDEX('13 Miscellaneous Data'!$C21:$K21,1,'10 Calculated Part Data'!H26)*H49</f>
        <v/>
      </c>
      <c r="I62" s="240">
        <f t="array" ref="I62">INDEX('13 Miscellaneous Data'!$C21:$K21,1,'10 Calculated Part Data'!I26)*I49</f>
        <v/>
      </c>
      <c r="J62" s="240">
        <f t="array" ref="J62">INDEX('13 Miscellaneous Data'!$C21:$K21,1,'10 Calculated Part Data'!J26)*J49</f>
        <v/>
      </c>
      <c r="K62" s="240">
        <f t="array" ref="K62">INDEX('13 Miscellaneous Data'!$C21:$K21,1,'10 Calculated Part Data'!K26)*K49</f>
        <v/>
      </c>
      <c r="L62" s="240">
        <f t="array" ref="L62">INDEX('13 Miscellaneous Data'!$C21:$K21,1,'10 Calculated Part Data'!L26)*L49</f>
        <v/>
      </c>
      <c r="M62" s="240">
        <f t="array" ref="M62">INDEX('13 Miscellaneous Data'!$C21:$K21,1,'10 Calculated Part Data'!M26)*M49</f>
        <v/>
      </c>
      <c r="N62" s="240">
        <f t="array" ref="N62">INDEX('13 Miscellaneous Data'!$C21:$K21,1,'10 Calculated Part Data'!N26)*N49</f>
        <v/>
      </c>
      <c r="O62" s="240">
        <f t="array" ref="O62">INDEX('13 Miscellaneous Data'!$C21:$K21,1,'10 Calculated Part Data'!O26)*O49</f>
        <v/>
      </c>
      <c r="P62" s="240">
        <f t="array" ref="P62">INDEX('13 Miscellaneous Data'!$C21:$K21,1,'10 Calculated Part Data'!P26)*P49</f>
        <v/>
      </c>
      <c r="Q62" s="240">
        <f t="array" ref="Q62">INDEX('13 Miscellaneous Data'!$C21:$K21,1,'10 Calculated Part Data'!Q26)*Q49</f>
        <v/>
      </c>
      <c r="R62" s="240">
        <f t="array" ref="R62">INDEX('13 Miscellaneous Data'!$C21:$K21,1,'10 Calculated Part Data'!R26)*R49</f>
        <v/>
      </c>
      <c r="S62" s="45" t="n"/>
    </row>
    <row r="63" ht="14.25" customHeight="1" s="267">
      <c r="A63" s="235" t="inlineStr">
        <is>
          <t>Suspension</t>
        </is>
      </c>
      <c r="B63" s="240">
        <f t="array" ref="B63">INDEX('13 Miscellaneous Data'!$C22:$K22,1,'10 Calculated Part Data'!B27)*B50</f>
        <v/>
      </c>
      <c r="C63" s="240">
        <f t="array" ref="C63">INDEX('13 Miscellaneous Data'!$C22:$K22,1,'10 Calculated Part Data'!C27)*C50</f>
        <v/>
      </c>
      <c r="D63" s="240">
        <f t="array" ref="D63">INDEX('13 Miscellaneous Data'!$C22:$K22,1,'10 Calculated Part Data'!D27)*D50</f>
        <v/>
      </c>
      <c r="E63" s="240">
        <f t="array" ref="E63">INDEX('13 Miscellaneous Data'!$C22:$K22,1,'10 Calculated Part Data'!E27)*E50</f>
        <v/>
      </c>
      <c r="F63" s="240">
        <f t="array" ref="F63">INDEX('13 Miscellaneous Data'!$C22:$K22,1,'10 Calculated Part Data'!F27)*F50</f>
        <v/>
      </c>
      <c r="G63" s="240">
        <f t="array" ref="G63">INDEX('13 Miscellaneous Data'!$C22:$K22,1,'10 Calculated Part Data'!G27)*G50</f>
        <v/>
      </c>
      <c r="H63" s="240">
        <f t="array" ref="H63">INDEX('13 Miscellaneous Data'!$C22:$K22,1,'10 Calculated Part Data'!H27)*H50</f>
        <v/>
      </c>
      <c r="I63" s="240">
        <f t="array" ref="I63">INDEX('13 Miscellaneous Data'!$C22:$K22,1,'10 Calculated Part Data'!I27)*I50</f>
        <v/>
      </c>
      <c r="J63" s="240">
        <f t="array" ref="J63">INDEX('13 Miscellaneous Data'!$C22:$K22,1,'10 Calculated Part Data'!J27)*J50</f>
        <v/>
      </c>
      <c r="K63" s="240">
        <f t="array" ref="K63">INDEX('13 Miscellaneous Data'!$C22:$K22,1,'10 Calculated Part Data'!K27)*K50</f>
        <v/>
      </c>
      <c r="L63" s="240">
        <f t="array" ref="L63">INDEX('13 Miscellaneous Data'!$C22:$K22,1,'10 Calculated Part Data'!L27)*L50</f>
        <v/>
      </c>
      <c r="M63" s="240">
        <f t="array" ref="M63">INDEX('13 Miscellaneous Data'!$C22:$K22,1,'10 Calculated Part Data'!M27)*M50</f>
        <v/>
      </c>
      <c r="N63" s="240">
        <f t="array" ref="N63">INDEX('13 Miscellaneous Data'!$C22:$K22,1,'10 Calculated Part Data'!N27)*N50</f>
        <v/>
      </c>
      <c r="O63" s="240">
        <f t="array" ref="O63">INDEX('13 Miscellaneous Data'!$C22:$K22,1,'10 Calculated Part Data'!O27)*O50</f>
        <v/>
      </c>
      <c r="P63" s="240">
        <f t="array" ref="P63">INDEX('13 Miscellaneous Data'!$C22:$K22,1,'10 Calculated Part Data'!P27)*P50</f>
        <v/>
      </c>
      <c r="Q63" s="240">
        <f t="array" ref="Q63">INDEX('13 Miscellaneous Data'!$C22:$K22,1,'10 Calculated Part Data'!Q27)*Q50</f>
        <v/>
      </c>
      <c r="R63" s="240">
        <f t="array" ref="R63">INDEX('13 Miscellaneous Data'!$C22:$K22,1,'10 Calculated Part Data'!R27)*R50</f>
        <v/>
      </c>
      <c r="S63" s="45" t="n"/>
    </row>
    <row r="64" ht="14.25" customHeight="1" s="267">
      <c r="A64" s="235" t="inlineStr">
        <is>
          <t>Electronics</t>
        </is>
      </c>
      <c r="B64" s="240">
        <f t="array" ref="B64">INDEX('13 Miscellaneous Data'!$C23:$K23,1,'10 Calculated Part Data'!B28)*B51</f>
        <v/>
      </c>
      <c r="C64" s="240">
        <f t="array" ref="C64">INDEX('13 Miscellaneous Data'!$C23:$K23,1,'10 Calculated Part Data'!C28)*C51</f>
        <v/>
      </c>
      <c r="D64" s="240">
        <f t="array" ref="D64">INDEX('13 Miscellaneous Data'!$C23:$K23,1,'10 Calculated Part Data'!D28)*D51</f>
        <v/>
      </c>
      <c r="E64" s="240">
        <f t="array" ref="E64">INDEX('13 Miscellaneous Data'!$C23:$K23,1,'10 Calculated Part Data'!E28)*E51</f>
        <v/>
      </c>
      <c r="F64" s="240">
        <f t="array" ref="F64">INDEX('13 Miscellaneous Data'!$C23:$K23,1,'10 Calculated Part Data'!F28)*F51</f>
        <v/>
      </c>
      <c r="G64" s="240">
        <f t="array" ref="G64">INDEX('13 Miscellaneous Data'!$C23:$K23,1,'10 Calculated Part Data'!G28)*G51</f>
        <v/>
      </c>
      <c r="H64" s="240">
        <f t="array" ref="H64">INDEX('13 Miscellaneous Data'!$C23:$K23,1,'10 Calculated Part Data'!H28)*H51</f>
        <v/>
      </c>
      <c r="I64" s="240">
        <f t="array" ref="I64">INDEX('13 Miscellaneous Data'!$C23:$K23,1,'10 Calculated Part Data'!I28)*I51</f>
        <v/>
      </c>
      <c r="J64" s="240">
        <f t="array" ref="J64">INDEX('13 Miscellaneous Data'!$C23:$K23,1,'10 Calculated Part Data'!J28)*J51</f>
        <v/>
      </c>
      <c r="K64" s="240">
        <f t="array" ref="K64">INDEX('13 Miscellaneous Data'!$C23:$K23,1,'10 Calculated Part Data'!K28)*K51</f>
        <v/>
      </c>
      <c r="L64" s="240">
        <f t="array" ref="L64">INDEX('13 Miscellaneous Data'!$C23:$K23,1,'10 Calculated Part Data'!L28)*L51</f>
        <v/>
      </c>
      <c r="M64" s="240">
        <f t="array" ref="M64">INDEX('13 Miscellaneous Data'!$C23:$K23,1,'10 Calculated Part Data'!M28)*M51</f>
        <v/>
      </c>
      <c r="N64" s="240">
        <f t="array" ref="N64">INDEX('13 Miscellaneous Data'!$C23:$K23,1,'10 Calculated Part Data'!N28)*N51</f>
        <v/>
      </c>
      <c r="O64" s="240">
        <f t="array" ref="O64">INDEX('13 Miscellaneous Data'!$C23:$K23,1,'10 Calculated Part Data'!O28)*O51</f>
        <v/>
      </c>
      <c r="P64" s="240">
        <f t="array" ref="P64">INDEX('13 Miscellaneous Data'!$C23:$K23,1,'10 Calculated Part Data'!P28)*P51</f>
        <v/>
      </c>
      <c r="Q64" s="240">
        <f t="array" ref="Q64">INDEX('13 Miscellaneous Data'!$C23:$K23,1,'10 Calculated Part Data'!Q28)*Q51</f>
        <v/>
      </c>
      <c r="R64" s="240">
        <f t="array" ref="R64">INDEX('13 Miscellaneous Data'!$C23:$K23,1,'10 Calculated Part Data'!R28)*R51</f>
        <v/>
      </c>
      <c r="S64" s="45" t="n"/>
    </row>
    <row r="65" ht="14.25" customHeight="1" s="267">
      <c r="A65" s="45" t="n"/>
      <c r="B65" s="240">
        <f>SUM(B54:B64)</f>
        <v/>
      </c>
      <c r="C65" s="240">
        <f>SUM(C54:C64)</f>
        <v/>
      </c>
      <c r="D65" s="240">
        <f>SUM(D54:D64)</f>
        <v/>
      </c>
      <c r="E65" s="240">
        <f>SUM(E54:E64)</f>
        <v/>
      </c>
      <c r="F65" s="240">
        <f>SUM(F54:F64)</f>
        <v/>
      </c>
      <c r="G65" s="240">
        <f>SUM(G54:G64)</f>
        <v/>
      </c>
      <c r="H65" s="240">
        <f>SUM(H54:H64)</f>
        <v/>
      </c>
      <c r="I65" s="240">
        <f>SUM(I54:I64)</f>
        <v/>
      </c>
      <c r="J65" s="240">
        <f>SUM(J54:J64)</f>
        <v/>
      </c>
      <c r="K65" s="240">
        <f>SUM(K54:K64)</f>
        <v/>
      </c>
      <c r="L65" s="240">
        <f>SUM(L54:L64)</f>
        <v/>
      </c>
      <c r="M65" s="240">
        <f>SUM(M54:M64)</f>
        <v/>
      </c>
      <c r="N65" s="240">
        <f>SUM(N54:N64)</f>
        <v/>
      </c>
      <c r="O65" s="240">
        <f>SUM(O54:O64)</f>
        <v/>
      </c>
      <c r="P65" s="240">
        <f>SUM(P54:P64)</f>
        <v/>
      </c>
      <c r="Q65" s="240">
        <f>SUM(Q54:Q64)</f>
        <v/>
      </c>
      <c r="R65" s="240">
        <f>SUM(R54:R64)</f>
        <v/>
      </c>
      <c r="S65" s="240">
        <f>SUM(B65:R65)</f>
        <v/>
      </c>
    </row>
    <row r="66" ht="14.25" customHeight="1" s="267">
      <c r="A66" s="45" t="n"/>
      <c r="B66" s="45" t="n"/>
      <c r="C66" s="45" t="n"/>
      <c r="D66" s="45" t="n"/>
      <c r="E66" s="45" t="n"/>
      <c r="F66" s="45" t="n"/>
      <c r="G66" s="45" t="n"/>
      <c r="H66" s="45" t="n"/>
      <c r="I66" s="45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</row>
    <row r="67" ht="14.25" customHeight="1" s="267">
      <c r="A67" s="234" t="inlineStr">
        <is>
          <t>Test points</t>
        </is>
      </c>
      <c r="B67" s="45" t="n"/>
      <c r="C67" s="45" t="n"/>
      <c r="D67" s="45" t="n"/>
      <c r="E67" s="45" t="n"/>
      <c r="F67" s="45" t="n"/>
      <c r="G67" s="45" t="n"/>
      <c r="H67" s="45" t="n"/>
      <c r="I67" s="45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</row>
    <row r="68" ht="14.25" customHeight="1" s="267">
      <c r="A68" s="45" t="inlineStr">
        <is>
          <t>Power</t>
        </is>
      </c>
      <c r="B68" s="45">
        <f>('5 Testing'!B6*8+'5 Testing'!B7*1+'5 Testing'!B8*1+'5 Testing'!B9*2.5+'5 Testing'!B10*5+'5 Testing'!B11*2.5+'5 Testing'!B12*3.33)/1000*(0.261*'9 Calculated Stuff Data'!B40+0.093*'9 Calculated Stuff Data'!B29+0.118*'9 Calculated Stuff Data'!B10+62.319)</f>
        <v/>
      </c>
      <c r="C68" s="45">
        <f>('5 Testing'!C6*8+'5 Testing'!C7*1+'5 Testing'!C8*1+'5 Testing'!C9*2.5+'5 Testing'!C10*5+'5 Testing'!C11*2.5+'5 Testing'!C12*3.33)/1000*(0.261*'9 Calculated Stuff Data'!C40+0.093*'9 Calculated Stuff Data'!C29+0.118*'9 Calculated Stuff Data'!C10+62.319)</f>
        <v/>
      </c>
      <c r="D68" s="45">
        <f>('5 Testing'!D6*8+'5 Testing'!D7*1+'5 Testing'!D8*1+'5 Testing'!D9*2.5+'5 Testing'!D10*5+'5 Testing'!D11*2.5+'5 Testing'!D12*3.33)/1000*(0.261*'9 Calculated Stuff Data'!D40+0.093*'9 Calculated Stuff Data'!D29+0.118*'9 Calculated Stuff Data'!D10+62.319)</f>
        <v/>
      </c>
      <c r="E68" s="45">
        <f>('5 Testing'!E6*8+'5 Testing'!E7*1+'5 Testing'!E8*1+'5 Testing'!E9*2.5+'5 Testing'!E10*5+'5 Testing'!E11*2.5+'5 Testing'!E12*3.33)/1000*(0.261*'9 Calculated Stuff Data'!E40+0.093*'9 Calculated Stuff Data'!E29+0.118*'9 Calculated Stuff Data'!E10+62.319)</f>
        <v/>
      </c>
      <c r="F68" s="45">
        <f>('5 Testing'!F6*8+'5 Testing'!F7*1+'5 Testing'!F8*1+'5 Testing'!F9*2.5+'5 Testing'!F10*5+'5 Testing'!F11*2.5+'5 Testing'!F12*3.33)/1000*(0.261*'9 Calculated Stuff Data'!F40+0.093*'9 Calculated Stuff Data'!F29+0.118*'9 Calculated Stuff Data'!F10+62.319)</f>
        <v/>
      </c>
      <c r="G68" s="45">
        <f>('5 Testing'!G6*8+'5 Testing'!G7*1+'5 Testing'!G8*1+'5 Testing'!G9*2.5+'5 Testing'!G10*5+'5 Testing'!G11*2.5+'5 Testing'!G12*3.33)/1000*(0.261*'9 Calculated Stuff Data'!G40+0.093*'9 Calculated Stuff Data'!G29+0.118*'9 Calculated Stuff Data'!G10+62.319)</f>
        <v/>
      </c>
      <c r="H68" s="45">
        <f>('5 Testing'!H6*8+'5 Testing'!H7*1+'5 Testing'!H8*1+'5 Testing'!H9*2.5+'5 Testing'!H10*5+'5 Testing'!H11*2.5+'5 Testing'!H12*3.33)/1000*(0.261*'9 Calculated Stuff Data'!H40+0.093*'9 Calculated Stuff Data'!H29+0.118*'9 Calculated Stuff Data'!H10+62.319)</f>
        <v/>
      </c>
      <c r="I68" s="45">
        <f>('5 Testing'!I6*8+'5 Testing'!I7*1+'5 Testing'!I8*1+'5 Testing'!I9*2.5+'5 Testing'!I10*5+'5 Testing'!I11*2.5+'5 Testing'!I12*3.33)/1000*(0.261*'9 Calculated Stuff Data'!I40+0.093*'9 Calculated Stuff Data'!I29+0.118*'9 Calculated Stuff Data'!I10+62.319)</f>
        <v/>
      </c>
      <c r="J68" s="45">
        <f>('5 Testing'!J6*8+'5 Testing'!J7*1+'5 Testing'!J8*1+'5 Testing'!J9*2.5+'5 Testing'!J10*5+'5 Testing'!J11*2.5+'5 Testing'!J12*3.33)/1000*(0.261*'9 Calculated Stuff Data'!J40+0.093*'9 Calculated Stuff Data'!J29+0.118*'9 Calculated Stuff Data'!J10+62.319)</f>
        <v/>
      </c>
      <c r="K68" s="45">
        <f>('5 Testing'!K6*8+'5 Testing'!K7*1+'5 Testing'!K8*1+'5 Testing'!K9*2.5+'5 Testing'!K10*5+'5 Testing'!K11*2.5+'5 Testing'!K12*3.33)/1000*(0.261*'9 Calculated Stuff Data'!K40+0.093*'9 Calculated Stuff Data'!K29+0.118*'9 Calculated Stuff Data'!K10+62.319)</f>
        <v/>
      </c>
      <c r="L68" s="45">
        <f>('5 Testing'!L6*8+'5 Testing'!L7*1+'5 Testing'!L8*1+'5 Testing'!L9*2.5+'5 Testing'!L10*5+'5 Testing'!L11*2.5+'5 Testing'!L12*3.33)/1000*(0.261*'9 Calculated Stuff Data'!L40+0.093*'9 Calculated Stuff Data'!L29+0.118*'9 Calculated Stuff Data'!L10+62.319)</f>
        <v/>
      </c>
      <c r="M68" s="45">
        <f>('5 Testing'!M6*8+'5 Testing'!M7*1+'5 Testing'!M8*1+'5 Testing'!M9*2.5+'5 Testing'!M10*5+'5 Testing'!M11*2.5+'5 Testing'!M12*3.33)/1000*(0.261*'9 Calculated Stuff Data'!M40+0.093*'9 Calculated Stuff Data'!M29+0.118*'9 Calculated Stuff Data'!M10+62.319)</f>
        <v/>
      </c>
      <c r="N68" s="45">
        <f>('5 Testing'!N6*8+'5 Testing'!N7*1+'5 Testing'!N8*1+'5 Testing'!N9*2.5+'5 Testing'!N10*5+'5 Testing'!N11*2.5+'5 Testing'!N12*3.33)/1000*(0.261*'9 Calculated Stuff Data'!N40+0.093*'9 Calculated Stuff Data'!N29+0.118*'9 Calculated Stuff Data'!N10+62.319)</f>
        <v/>
      </c>
      <c r="O68" s="45">
        <f>('5 Testing'!O6*8+'5 Testing'!O7*1+'5 Testing'!O8*1+'5 Testing'!O9*2.5+'5 Testing'!O10*5+'5 Testing'!O11*2.5+'5 Testing'!O12*3.33)/1000*(0.261*'9 Calculated Stuff Data'!O40+0.093*'9 Calculated Stuff Data'!O29+0.118*'9 Calculated Stuff Data'!O10+62.319)</f>
        <v/>
      </c>
      <c r="P68" s="45">
        <f>('5 Testing'!P6*8+'5 Testing'!P7*1+'5 Testing'!P8*1+'5 Testing'!P9*2.5+'5 Testing'!P10*5+'5 Testing'!P11*2.5+'5 Testing'!P12*3.33)/1000*(0.261*'9 Calculated Stuff Data'!P40+0.093*'9 Calculated Stuff Data'!P29+0.118*'9 Calculated Stuff Data'!P10+62.319)</f>
        <v/>
      </c>
      <c r="Q68" s="45">
        <f>('5 Testing'!Q6*8+'5 Testing'!Q7*1+'5 Testing'!Q8*1+'5 Testing'!Q9*2.5+'5 Testing'!Q10*5+'5 Testing'!Q11*2.5+'5 Testing'!Q12*3.33)/1000*(0.261*'9 Calculated Stuff Data'!Q40+0.093*'9 Calculated Stuff Data'!Q29+0.118*'9 Calculated Stuff Data'!Q10+62.319)</f>
        <v/>
      </c>
      <c r="R68" s="45">
        <f>('5 Testing'!R6*8+'5 Testing'!R7*1+'5 Testing'!R8*1+'5 Testing'!R9*2.5+'5 Testing'!R10*5+'5 Testing'!R11*2.5+'5 Testing'!R12*3.33)/1000*(0.261*'9 Calculated Stuff Data'!R40+0.093*'9 Calculated Stuff Data'!R29+0.118*'9 Calculated Stuff Data'!R10+62.319)</f>
        <v/>
      </c>
      <c r="S68" s="45" t="n"/>
    </row>
    <row r="69" ht="14.25" customHeight="1" s="267">
      <c r="A69" s="45" t="inlineStr">
        <is>
          <t>Handling</t>
        </is>
      </c>
      <c r="B69" s="45">
        <f>('5 Testing'!B6*1+'5 Testing'!B7*8+'5 Testing'!B8*1+'5 Testing'!B9*5+'5 Testing'!B10*2.5+'5 Testing'!B11*2.5+'5 Testing'!B12*3.33)/1000*(0.261*'9 Calculated Stuff Data'!B40+0.093*'9 Calculated Stuff Data'!B29+0.118*'9 Calculated Stuff Data'!B10+62.319)</f>
        <v/>
      </c>
      <c r="C69" s="45">
        <f>('5 Testing'!C6*1+'5 Testing'!C7*8+'5 Testing'!C8*1+'5 Testing'!C9*5+'5 Testing'!C10*2.5+'5 Testing'!C11*2.5+'5 Testing'!C12*3.33)/1000*(0.261*'9 Calculated Stuff Data'!C40+0.093*'9 Calculated Stuff Data'!C29+0.118*'9 Calculated Stuff Data'!C10+62.319)</f>
        <v/>
      </c>
      <c r="D69" s="45">
        <f>('5 Testing'!D6*1+'5 Testing'!D7*8+'5 Testing'!D8*1+'5 Testing'!D9*5+'5 Testing'!D10*2.5+'5 Testing'!D11*2.5+'5 Testing'!D12*3.33)/1000*(0.261*'9 Calculated Stuff Data'!D40+0.093*'9 Calculated Stuff Data'!D29+0.118*'9 Calculated Stuff Data'!D10+62.319)</f>
        <v/>
      </c>
      <c r="E69" s="45">
        <f>('5 Testing'!E6*1+'5 Testing'!E7*8+'5 Testing'!E8*1+'5 Testing'!E9*5+'5 Testing'!E10*2.5+'5 Testing'!E11*2.5+'5 Testing'!E12*3.33)/1000*(0.261*'9 Calculated Stuff Data'!E40+0.093*'9 Calculated Stuff Data'!E29+0.118*'9 Calculated Stuff Data'!E10+62.319)</f>
        <v/>
      </c>
      <c r="F69" s="45">
        <f>('5 Testing'!F6*1+'5 Testing'!F7*8+'5 Testing'!F8*1+'5 Testing'!F9*5+'5 Testing'!F10*2.5+'5 Testing'!F11*2.5+'5 Testing'!F12*3.33)/1000*(0.261*'9 Calculated Stuff Data'!F40+0.093*'9 Calculated Stuff Data'!F29+0.118*'9 Calculated Stuff Data'!F10+62.319)</f>
        <v/>
      </c>
      <c r="G69" s="45">
        <f>('5 Testing'!G6*1+'5 Testing'!G7*8+'5 Testing'!G8*1+'5 Testing'!G9*5+'5 Testing'!G10*2.5+'5 Testing'!G11*2.5+'5 Testing'!G12*3.33)/1000*(0.261*'9 Calculated Stuff Data'!G40+0.093*'9 Calculated Stuff Data'!G29+0.118*'9 Calculated Stuff Data'!G10+62.319)</f>
        <v/>
      </c>
      <c r="H69" s="45">
        <f>('5 Testing'!H6*1+'5 Testing'!H7*8+'5 Testing'!H8*1+'5 Testing'!H9*5+'5 Testing'!H10*2.5+'5 Testing'!H11*2.5+'5 Testing'!H12*3.33)/1000*(0.261*'9 Calculated Stuff Data'!H40+0.093*'9 Calculated Stuff Data'!H29+0.118*'9 Calculated Stuff Data'!H10+62.319)</f>
        <v/>
      </c>
      <c r="I69" s="45">
        <f>('5 Testing'!I6*1+'5 Testing'!I7*8+'5 Testing'!I8*1+'5 Testing'!I9*5+'5 Testing'!I10*2.5+'5 Testing'!I11*2.5+'5 Testing'!I12*3.33)/1000*(0.261*'9 Calculated Stuff Data'!I40+0.093*'9 Calculated Stuff Data'!I29+0.118*'9 Calculated Stuff Data'!I10+62.319)</f>
        <v/>
      </c>
      <c r="J69" s="45">
        <f>('5 Testing'!J6*1+'5 Testing'!J7*8+'5 Testing'!J8*1+'5 Testing'!J9*5+'5 Testing'!J10*2.5+'5 Testing'!J11*2.5+'5 Testing'!J12*3.33)/1000*(0.261*'9 Calculated Stuff Data'!J40+0.093*'9 Calculated Stuff Data'!J29+0.118*'9 Calculated Stuff Data'!J10+62.319)</f>
        <v/>
      </c>
      <c r="K69" s="45">
        <f>('5 Testing'!K6*1+'5 Testing'!K7*8+'5 Testing'!K8*1+'5 Testing'!K9*5+'5 Testing'!K10*2.5+'5 Testing'!K11*2.5+'5 Testing'!K12*3.33)/1000*(0.261*'9 Calculated Stuff Data'!K40+0.093*'9 Calculated Stuff Data'!K29+0.118*'9 Calculated Stuff Data'!K10+62.319)</f>
        <v/>
      </c>
      <c r="L69" s="45">
        <f>('5 Testing'!L6*1+'5 Testing'!L7*8+'5 Testing'!L8*1+'5 Testing'!L9*5+'5 Testing'!L10*2.5+'5 Testing'!L11*2.5+'5 Testing'!L12*3.33)/1000*(0.261*'9 Calculated Stuff Data'!L40+0.093*'9 Calculated Stuff Data'!L29+0.118*'9 Calculated Stuff Data'!L10+62.319)</f>
        <v/>
      </c>
      <c r="M69" s="45">
        <f>('5 Testing'!M6*1+'5 Testing'!M7*8+'5 Testing'!M8*1+'5 Testing'!M9*5+'5 Testing'!M10*2.5+'5 Testing'!M11*2.5+'5 Testing'!M12*3.33)/1000*(0.261*'9 Calculated Stuff Data'!M40+0.093*'9 Calculated Stuff Data'!M29+0.118*'9 Calculated Stuff Data'!M10+62.319)</f>
        <v/>
      </c>
      <c r="N69" s="45">
        <f>('5 Testing'!N6*1+'5 Testing'!N7*8+'5 Testing'!N8*1+'5 Testing'!N9*5+'5 Testing'!N10*2.5+'5 Testing'!N11*2.5+'5 Testing'!N12*3.33)/1000*(0.261*'9 Calculated Stuff Data'!N40+0.093*'9 Calculated Stuff Data'!N29+0.118*'9 Calculated Stuff Data'!N10+62.319)</f>
        <v/>
      </c>
      <c r="O69" s="45">
        <f>('5 Testing'!O6*1+'5 Testing'!O7*8+'5 Testing'!O8*1+'5 Testing'!O9*5+'5 Testing'!O10*2.5+'5 Testing'!O11*2.5+'5 Testing'!O12*3.33)/1000*(0.261*'9 Calculated Stuff Data'!O40+0.093*'9 Calculated Stuff Data'!O29+0.118*'9 Calculated Stuff Data'!O10+62.319)</f>
        <v/>
      </c>
      <c r="P69" s="45">
        <f>('5 Testing'!P6*1+'5 Testing'!P7*8+'5 Testing'!P8*1+'5 Testing'!P9*5+'5 Testing'!P10*2.5+'5 Testing'!P11*2.5+'5 Testing'!P12*3.33)/1000*(0.261*'9 Calculated Stuff Data'!P40+0.093*'9 Calculated Stuff Data'!P29+0.118*'9 Calculated Stuff Data'!P10+62.319)</f>
        <v/>
      </c>
      <c r="Q69" s="45">
        <f>('5 Testing'!Q6*1+'5 Testing'!Q7*8+'5 Testing'!Q8*1+'5 Testing'!Q9*5+'5 Testing'!Q10*2.5+'5 Testing'!Q11*2.5+'5 Testing'!Q12*3.33)/1000*(0.261*'9 Calculated Stuff Data'!Q40+0.093*'9 Calculated Stuff Data'!Q29+0.118*'9 Calculated Stuff Data'!Q10+62.319)</f>
        <v/>
      </c>
      <c r="R69" s="45">
        <f>('5 Testing'!R6*1+'5 Testing'!R7*8+'5 Testing'!R8*1+'5 Testing'!R9*5+'5 Testing'!R10*2.5+'5 Testing'!R11*2.5+'5 Testing'!R12*3.33)/1000*(0.261*'9 Calculated Stuff Data'!R40+0.093*'9 Calculated Stuff Data'!R29+0.118*'9 Calculated Stuff Data'!R10+62.319)</f>
        <v/>
      </c>
      <c r="S69" s="45" t="n"/>
    </row>
    <row r="70" ht="14.25" customHeight="1" s="267">
      <c r="A70" s="45" t="inlineStr">
        <is>
          <t>Acceleration</t>
        </is>
      </c>
      <c r="B70" s="45">
        <f>('5 Testing'!B6*1+'5 Testing'!B7*1+'5 Testing'!B8*8+'5 Testing'!B9*2.5+'5 Testing'!B10*2.5+'5 Testing'!B11*5+'5 Testing'!B12*3.33)/1000*(0.261*'9 Calculated Stuff Data'!B40+0.093*'9 Calculated Stuff Data'!B29+0.118*'9 Calculated Stuff Data'!B10+62.319)</f>
        <v/>
      </c>
      <c r="C70" s="45">
        <f>('5 Testing'!C6*1+'5 Testing'!C7*1+'5 Testing'!C8*8+'5 Testing'!C9*2.5+'5 Testing'!C10*2.5+'5 Testing'!C11*5+'5 Testing'!C12*3.33)/1000*(0.261*'9 Calculated Stuff Data'!C40+0.093*'9 Calculated Stuff Data'!C29+0.118*'9 Calculated Stuff Data'!C10+62.319)</f>
        <v/>
      </c>
      <c r="D70" s="45">
        <f>('5 Testing'!D6*1+'5 Testing'!D7*1+'5 Testing'!D8*8+'5 Testing'!D9*2.5+'5 Testing'!D10*2.5+'5 Testing'!D11*5+'5 Testing'!D12*3.33)/1000*(0.261*'9 Calculated Stuff Data'!D40+0.093*'9 Calculated Stuff Data'!D29+0.118*'9 Calculated Stuff Data'!D10+62.319)</f>
        <v/>
      </c>
      <c r="E70" s="45">
        <f>('5 Testing'!E6*1+'5 Testing'!E7*1+'5 Testing'!E8*8+'5 Testing'!E9*2.5+'5 Testing'!E10*2.5+'5 Testing'!E11*5+'5 Testing'!E12*3.33)/1000*(0.261*'9 Calculated Stuff Data'!E40+0.093*'9 Calculated Stuff Data'!E29+0.118*'9 Calculated Stuff Data'!E10+62.319)</f>
        <v/>
      </c>
      <c r="F70" s="45">
        <f>('5 Testing'!F6*1+'5 Testing'!F7*1+'5 Testing'!F8*8+'5 Testing'!F9*2.5+'5 Testing'!F10*2.5+'5 Testing'!F11*5+'5 Testing'!F12*3.33)/1000*(0.261*'9 Calculated Stuff Data'!F40+0.093*'9 Calculated Stuff Data'!F29+0.118*'9 Calculated Stuff Data'!F10+62.319)</f>
        <v/>
      </c>
      <c r="G70" s="45">
        <f>('5 Testing'!G6*1+'5 Testing'!G7*1+'5 Testing'!G8*8+'5 Testing'!G9*2.5+'5 Testing'!G10*2.5+'5 Testing'!G11*5+'5 Testing'!G12*3.33)/1000*(0.261*'9 Calculated Stuff Data'!G40+0.093*'9 Calculated Stuff Data'!G29+0.118*'9 Calculated Stuff Data'!G10+62.319)</f>
        <v/>
      </c>
      <c r="H70" s="45">
        <f>('5 Testing'!H6*1+'5 Testing'!H7*1+'5 Testing'!H8*8+'5 Testing'!H9*2.5+'5 Testing'!H10*2.5+'5 Testing'!H11*5+'5 Testing'!H12*3.33)/1000*(0.261*'9 Calculated Stuff Data'!H40+0.093*'9 Calculated Stuff Data'!H29+0.118*'9 Calculated Stuff Data'!H10+62.319)</f>
        <v/>
      </c>
      <c r="I70" s="45">
        <f>('5 Testing'!I6*1+'5 Testing'!I7*1+'5 Testing'!I8*8+'5 Testing'!I9*2.5+'5 Testing'!I10*2.5+'5 Testing'!I11*5+'5 Testing'!I12*3.33)/1000*(0.261*'9 Calculated Stuff Data'!I40+0.093*'9 Calculated Stuff Data'!I29+0.118*'9 Calculated Stuff Data'!I10+62.319)</f>
        <v/>
      </c>
      <c r="J70" s="45">
        <f>('5 Testing'!J6*1+'5 Testing'!J7*1+'5 Testing'!J8*8+'5 Testing'!J9*2.5+'5 Testing'!J10*2.5+'5 Testing'!J11*5+'5 Testing'!J12*3.33)/1000*(0.261*'9 Calculated Stuff Data'!J40+0.093*'9 Calculated Stuff Data'!J29+0.118*'9 Calculated Stuff Data'!J10+62.319)</f>
        <v/>
      </c>
      <c r="K70" s="45">
        <f>('5 Testing'!K6*1+'5 Testing'!K7*1+'5 Testing'!K8*8+'5 Testing'!K9*2.5+'5 Testing'!K10*2.5+'5 Testing'!K11*5+'5 Testing'!K12*3.33)/1000*(0.261*'9 Calculated Stuff Data'!K40+0.093*'9 Calculated Stuff Data'!K29+0.118*'9 Calculated Stuff Data'!K10+62.319)</f>
        <v/>
      </c>
      <c r="L70" s="45">
        <f>('5 Testing'!L6*1+'5 Testing'!L7*1+'5 Testing'!L8*8+'5 Testing'!L9*2.5+'5 Testing'!L10*2.5+'5 Testing'!L11*5+'5 Testing'!L12*3.33)/1000*(0.261*'9 Calculated Stuff Data'!L40+0.093*'9 Calculated Stuff Data'!L29+0.118*'9 Calculated Stuff Data'!L10+62.319)</f>
        <v/>
      </c>
      <c r="M70" s="45">
        <f>('5 Testing'!M6*1+'5 Testing'!M7*1+'5 Testing'!M8*8+'5 Testing'!M9*2.5+'5 Testing'!M10*2.5+'5 Testing'!M11*5+'5 Testing'!M12*3.33)/1000*(0.261*'9 Calculated Stuff Data'!M40+0.093*'9 Calculated Stuff Data'!M29+0.118*'9 Calculated Stuff Data'!M10+62.319)</f>
        <v/>
      </c>
      <c r="N70" s="45">
        <f>('5 Testing'!N6*1+'5 Testing'!N7*1+'5 Testing'!N8*8+'5 Testing'!N9*2.5+'5 Testing'!N10*2.5+'5 Testing'!N11*5+'5 Testing'!N12*3.33)/1000*(0.261*'9 Calculated Stuff Data'!N40+0.093*'9 Calculated Stuff Data'!N29+0.118*'9 Calculated Stuff Data'!N10+62.319)</f>
        <v/>
      </c>
      <c r="O70" s="45">
        <f>('5 Testing'!O6*1+'5 Testing'!O7*1+'5 Testing'!O8*8+'5 Testing'!O9*2.5+'5 Testing'!O10*2.5+'5 Testing'!O11*5+'5 Testing'!O12*3.33)/1000*(0.261*'9 Calculated Stuff Data'!O40+0.093*'9 Calculated Stuff Data'!O29+0.118*'9 Calculated Stuff Data'!O10+62.319)</f>
        <v/>
      </c>
      <c r="P70" s="45">
        <f>('5 Testing'!P6*1+'5 Testing'!P7*1+'5 Testing'!P8*8+'5 Testing'!P9*2.5+'5 Testing'!P10*2.5+'5 Testing'!P11*5+'5 Testing'!P12*3.33)/1000*(0.261*'9 Calculated Stuff Data'!P40+0.093*'9 Calculated Stuff Data'!P29+0.118*'9 Calculated Stuff Data'!P10+62.319)</f>
        <v/>
      </c>
      <c r="Q70" s="45">
        <f>('5 Testing'!Q6*1+'5 Testing'!Q7*1+'5 Testing'!Q8*8+'5 Testing'!Q9*2.5+'5 Testing'!Q10*2.5+'5 Testing'!Q11*5+'5 Testing'!Q12*3.33)/1000*(0.261*'9 Calculated Stuff Data'!Q40+0.093*'9 Calculated Stuff Data'!Q29+0.118*'9 Calculated Stuff Data'!Q10+62.319)</f>
        <v/>
      </c>
      <c r="R70" s="45">
        <f>('5 Testing'!R6*1+'5 Testing'!R7*1+'5 Testing'!R8*8+'5 Testing'!R9*2.5+'5 Testing'!R10*2.5+'5 Testing'!R11*5+'5 Testing'!R12*3.33)/1000*(0.261*'9 Calculated Stuff Data'!R40+0.093*'9 Calculated Stuff Data'!R29+0.118*'9 Calculated Stuff Data'!R10+62.319)</f>
        <v/>
      </c>
      <c r="S70" s="45" t="n"/>
    </row>
    <row r="71" ht="14.25" customHeight="1" s="267">
      <c r="A71" s="45" t="n"/>
      <c r="B71" s="45" t="n"/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</row>
    <row r="72" ht="14.25" customHeight="1" s="267">
      <c r="A72" s="234" t="inlineStr">
        <is>
          <t>R&amp;D Points</t>
        </is>
      </c>
      <c r="B72" s="45" t="n"/>
      <c r="C72" s="45" t="n"/>
      <c r="D72" s="45" t="n"/>
      <c r="E72" s="45" t="n"/>
      <c r="F72" s="45" t="n"/>
      <c r="G72" s="45" t="n"/>
      <c r="H72" s="45" t="n"/>
      <c r="I72" s="45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</row>
    <row r="73" ht="14.25" customHeight="1" s="267">
      <c r="A73" s="45" t="inlineStr">
        <is>
          <t>Power</t>
        </is>
      </c>
      <c r="B73" s="45">
        <f>'5 Testing'!B15</f>
        <v/>
      </c>
      <c r="C73" s="45">
        <f>IF('5 Testing'!C15="",B68*(0.824+0.000172*'9 Calculated Stuff Data'!B28+0.000297*'9 Calculated Stuff Data'!B27+0.000421*'9 Calculated Stuff Data'!B26+0.000596*'9 Calculated Stuff Data'!B48+0.000431*'9 Calculated Stuff Data'!B51+0.000419*'9 Calculated Stuff Data'!B50+0.001453*'9 Calculated Stuff Data'!B42+0.000882*'9 Calculated Stuff Data'!B40),'5 Testing'!C15)</f>
        <v/>
      </c>
      <c r="D73" s="45">
        <f>IF('5 Testing'!D15="",C68*(0.824+0.000172*'9 Calculated Stuff Data'!C28+0.000297*'9 Calculated Stuff Data'!C27+0.000421*'9 Calculated Stuff Data'!C26+0.000596*'9 Calculated Stuff Data'!C48+0.000431*'9 Calculated Stuff Data'!C51+0.000419*'9 Calculated Stuff Data'!C50+0.001453*'9 Calculated Stuff Data'!C42+0.000882*'9 Calculated Stuff Data'!C40),'5 Testing'!D15)</f>
        <v/>
      </c>
      <c r="E73" s="45">
        <f>IF('5 Testing'!E15="",D68*(0.824+0.000172*'9 Calculated Stuff Data'!D28+0.000297*'9 Calculated Stuff Data'!D27+0.000421*'9 Calculated Stuff Data'!D26+0.000596*'9 Calculated Stuff Data'!D48+0.000431*'9 Calculated Stuff Data'!D51+0.000419*'9 Calculated Stuff Data'!D50+0.001453*'9 Calculated Stuff Data'!D42+0.000882*'9 Calculated Stuff Data'!D40),'5 Testing'!E15)</f>
        <v/>
      </c>
      <c r="F73" s="45">
        <f>IF('5 Testing'!F15="",E68*(0.824+0.000172*'9 Calculated Stuff Data'!E28+0.000297*'9 Calculated Stuff Data'!E27+0.000421*'9 Calculated Stuff Data'!E26+0.000596*'9 Calculated Stuff Data'!E48+0.000431*'9 Calculated Stuff Data'!E51+0.000419*'9 Calculated Stuff Data'!E50+0.001453*'9 Calculated Stuff Data'!E42+0.000882*'9 Calculated Stuff Data'!E40),'5 Testing'!F15)</f>
        <v/>
      </c>
      <c r="G73" s="45">
        <f>IF('5 Testing'!G15="",F68*(0.824+0.000172*'9 Calculated Stuff Data'!F28+0.000297*'9 Calculated Stuff Data'!F27+0.000421*'9 Calculated Stuff Data'!F26+0.000596*'9 Calculated Stuff Data'!F48+0.000431*'9 Calculated Stuff Data'!F51+0.000419*'9 Calculated Stuff Data'!F50+0.001453*'9 Calculated Stuff Data'!F42+0.000882*'9 Calculated Stuff Data'!F40),'5 Testing'!G15)</f>
        <v/>
      </c>
      <c r="H73" s="45">
        <f>IF('5 Testing'!H15="",G68*(0.824+0.000172*'9 Calculated Stuff Data'!G28+0.000297*'9 Calculated Stuff Data'!G27+0.000421*'9 Calculated Stuff Data'!G26+0.000596*'9 Calculated Stuff Data'!G48+0.000431*'9 Calculated Stuff Data'!G51+0.000419*'9 Calculated Stuff Data'!G50+0.001453*'9 Calculated Stuff Data'!G42+0.000882*'9 Calculated Stuff Data'!G40),'5 Testing'!H15)</f>
        <v/>
      </c>
      <c r="I73" s="45">
        <f>IF('5 Testing'!I15="",H68*(0.824+0.000172*'9 Calculated Stuff Data'!H28+0.000297*'9 Calculated Stuff Data'!H27+0.000421*'9 Calculated Stuff Data'!H26+0.000596*'9 Calculated Stuff Data'!H48+0.000431*'9 Calculated Stuff Data'!H51+0.000419*'9 Calculated Stuff Data'!H50+0.001453*'9 Calculated Stuff Data'!H42+0.000882*'9 Calculated Stuff Data'!H40),'5 Testing'!I15)</f>
        <v/>
      </c>
      <c r="J73" s="45">
        <f>IF('5 Testing'!J15="",I68*(0.824+0.000172*'9 Calculated Stuff Data'!I28+0.000297*'9 Calculated Stuff Data'!I27+0.000421*'9 Calculated Stuff Data'!I26+0.000596*'9 Calculated Stuff Data'!I48+0.000431*'9 Calculated Stuff Data'!I51+0.000419*'9 Calculated Stuff Data'!I50+0.001453*'9 Calculated Stuff Data'!I42+0.000882*'9 Calculated Stuff Data'!I40),'5 Testing'!J15)</f>
        <v/>
      </c>
      <c r="K73" s="45">
        <f>IF('5 Testing'!K15="",J68*(0.824+0.000172*'9 Calculated Stuff Data'!J28+0.000297*'9 Calculated Stuff Data'!J27+0.000421*'9 Calculated Stuff Data'!J26+0.000596*'9 Calculated Stuff Data'!J48+0.000431*'9 Calculated Stuff Data'!J51+0.000419*'9 Calculated Stuff Data'!J50+0.001453*'9 Calculated Stuff Data'!J42+0.000882*'9 Calculated Stuff Data'!J40),'5 Testing'!K15)</f>
        <v/>
      </c>
      <c r="L73" s="45">
        <f>IF('5 Testing'!L15="",K68*(0.824+0.000172*'9 Calculated Stuff Data'!K28+0.000297*'9 Calculated Stuff Data'!K27+0.000421*'9 Calculated Stuff Data'!K26+0.000596*'9 Calculated Stuff Data'!K48+0.000431*'9 Calculated Stuff Data'!K51+0.000419*'9 Calculated Stuff Data'!K50+0.001453*'9 Calculated Stuff Data'!K42+0.000882*'9 Calculated Stuff Data'!K40),'5 Testing'!L15)</f>
        <v/>
      </c>
      <c r="M73" s="45">
        <f>IF('5 Testing'!M15="",L68*(0.824+0.000172*'9 Calculated Stuff Data'!L28+0.000297*'9 Calculated Stuff Data'!L27+0.000421*'9 Calculated Stuff Data'!L26+0.000596*'9 Calculated Stuff Data'!L48+0.000431*'9 Calculated Stuff Data'!L51+0.000419*'9 Calculated Stuff Data'!L50+0.001453*'9 Calculated Stuff Data'!L42+0.000882*'9 Calculated Stuff Data'!L40),'5 Testing'!M15)</f>
        <v/>
      </c>
      <c r="N73" s="45">
        <f>IF('5 Testing'!N15="",M68*(0.824+0.000172*'9 Calculated Stuff Data'!M28+0.000297*'9 Calculated Stuff Data'!M27+0.000421*'9 Calculated Stuff Data'!M26+0.000596*'9 Calculated Stuff Data'!M48+0.000431*'9 Calculated Stuff Data'!M51+0.000419*'9 Calculated Stuff Data'!M50+0.001453*'9 Calculated Stuff Data'!M42+0.000882*'9 Calculated Stuff Data'!M40),'5 Testing'!N15)</f>
        <v/>
      </c>
      <c r="O73" s="45">
        <f>IF('5 Testing'!O15="",N68*(0.824+0.000172*'9 Calculated Stuff Data'!N28+0.000297*'9 Calculated Stuff Data'!N27+0.000421*'9 Calculated Stuff Data'!N26+0.000596*'9 Calculated Stuff Data'!N48+0.000431*'9 Calculated Stuff Data'!N51+0.000419*'9 Calculated Stuff Data'!N50+0.001453*'9 Calculated Stuff Data'!N42+0.000882*'9 Calculated Stuff Data'!N40),'5 Testing'!O15)</f>
        <v/>
      </c>
      <c r="P73" s="45">
        <f>IF('5 Testing'!P15="",O68*(0.824+0.000172*'9 Calculated Stuff Data'!O28+0.000297*'9 Calculated Stuff Data'!O27+0.000421*'9 Calculated Stuff Data'!O26+0.000596*'9 Calculated Stuff Data'!O48+0.000431*'9 Calculated Stuff Data'!O51+0.000419*'9 Calculated Stuff Data'!O50+0.001453*'9 Calculated Stuff Data'!O42+0.000882*'9 Calculated Stuff Data'!O40),'5 Testing'!P15)</f>
        <v/>
      </c>
      <c r="Q73" s="45">
        <f>IF('5 Testing'!Q15="",P68*(0.824+0.000172*'9 Calculated Stuff Data'!P28+0.000297*'9 Calculated Stuff Data'!P27+0.000421*'9 Calculated Stuff Data'!P26+0.000596*'9 Calculated Stuff Data'!P48+0.000431*'9 Calculated Stuff Data'!P51+0.000419*'9 Calculated Stuff Data'!P50+0.001453*'9 Calculated Stuff Data'!P42+0.000882*'9 Calculated Stuff Data'!P40),'5 Testing'!Q15)</f>
        <v/>
      </c>
      <c r="R73" s="45">
        <f>IF('5 Testing'!R15="",Q68*(0.824+0.000172*'9 Calculated Stuff Data'!Q28+0.000297*'9 Calculated Stuff Data'!Q27+0.000421*'9 Calculated Stuff Data'!Q26+0.000596*'9 Calculated Stuff Data'!Q48+0.000431*'9 Calculated Stuff Data'!Q51+0.000419*'9 Calculated Stuff Data'!Q50+0.001453*'9 Calculated Stuff Data'!Q42+0.000882*'9 Calculated Stuff Data'!Q40),'5 Testing'!R15)</f>
        <v/>
      </c>
      <c r="S73" s="45">
        <f>IF('5 Testing'!S15="",R68*(0.824+0.000172*'9 Calculated Stuff Data'!R28+0.000297*'9 Calculated Stuff Data'!R27+0.000421*'9 Calculated Stuff Data'!R26+0.000596*'9 Calculated Stuff Data'!R48+0.000431*'9 Calculated Stuff Data'!R51+0.000419*'9 Calculated Stuff Data'!R50+0.001453*'9 Calculated Stuff Data'!R42+0.000882*'9 Calculated Stuff Data'!R40),'5 Testing'!S15)</f>
        <v/>
      </c>
    </row>
    <row r="74" ht="14.25" customHeight="1" s="267">
      <c r="A74" s="45" t="inlineStr">
        <is>
          <t>Handling</t>
        </is>
      </c>
      <c r="B74" s="45">
        <f>'5 Testing'!B16</f>
        <v/>
      </c>
      <c r="C74" s="45">
        <f>IF('5 Testing'!C16="",B69*(0.823+0.000586*'9 Calculated Stuff Data'!B28+0.000037*'9 Calculated Stuff Data'!B27+0.000267*'9 Calculated Stuff Data'!B26+0.000995*'9 Calculated Stuff Data'!B48+0.000221*'9 Calculated Stuff Data'!B51+0.000229*'9 Calculated Stuff Data'!B50+0.001473*'9 Calculated Stuff Data'!B42+0.000875*'9 Calculated Stuff Data'!B40),'5 Testing'!C16)</f>
        <v/>
      </c>
      <c r="D74" s="45">
        <f>IF('5 Testing'!D16="",C69*(0.823+0.000586*'9 Calculated Stuff Data'!C28+0.000037*'9 Calculated Stuff Data'!C27+0.000267*'9 Calculated Stuff Data'!C26+0.000995*'9 Calculated Stuff Data'!C48+0.000221*'9 Calculated Stuff Data'!C51+0.000229*'9 Calculated Stuff Data'!C50+0.001473*'9 Calculated Stuff Data'!C42+0.000875*'9 Calculated Stuff Data'!C40),'5 Testing'!D16)</f>
        <v/>
      </c>
      <c r="E74" s="45">
        <f>IF('5 Testing'!E16="",D69*(0.823+0.000586*'9 Calculated Stuff Data'!D28+0.000037*'9 Calculated Stuff Data'!D27+0.000267*'9 Calculated Stuff Data'!D26+0.000995*'9 Calculated Stuff Data'!D48+0.000221*'9 Calculated Stuff Data'!D51+0.000229*'9 Calculated Stuff Data'!D50+0.001473*'9 Calculated Stuff Data'!D42+0.000875*'9 Calculated Stuff Data'!D40),'5 Testing'!E16)</f>
        <v/>
      </c>
      <c r="F74" s="45">
        <f>IF('5 Testing'!F16="",E69*(0.823+0.000586*'9 Calculated Stuff Data'!E28+0.000037*'9 Calculated Stuff Data'!E27+0.000267*'9 Calculated Stuff Data'!E26+0.000995*'9 Calculated Stuff Data'!E48+0.000221*'9 Calculated Stuff Data'!E51+0.000229*'9 Calculated Stuff Data'!E50+0.001473*'9 Calculated Stuff Data'!E42+0.000875*'9 Calculated Stuff Data'!E40),'5 Testing'!F16)</f>
        <v/>
      </c>
      <c r="G74" s="45">
        <f>IF('5 Testing'!G16="",F69*(0.823+0.000586*'9 Calculated Stuff Data'!F28+0.000037*'9 Calculated Stuff Data'!F27+0.000267*'9 Calculated Stuff Data'!F26+0.000995*'9 Calculated Stuff Data'!F48+0.000221*'9 Calculated Stuff Data'!F51+0.000229*'9 Calculated Stuff Data'!F50+0.001473*'9 Calculated Stuff Data'!F42+0.000875*'9 Calculated Stuff Data'!F40),'5 Testing'!G16)</f>
        <v/>
      </c>
      <c r="H74" s="45">
        <f>IF('5 Testing'!H16="",G69*(0.823+0.000586*'9 Calculated Stuff Data'!G28+0.000037*'9 Calculated Stuff Data'!G27+0.000267*'9 Calculated Stuff Data'!G26+0.000995*'9 Calculated Stuff Data'!G48+0.000221*'9 Calculated Stuff Data'!G51+0.000229*'9 Calculated Stuff Data'!G50+0.001473*'9 Calculated Stuff Data'!G42+0.000875*'9 Calculated Stuff Data'!G40),'5 Testing'!H16)</f>
        <v/>
      </c>
      <c r="I74" s="45">
        <f>IF('5 Testing'!I16="",H69*(0.823+0.000586*'9 Calculated Stuff Data'!H28+0.000037*'9 Calculated Stuff Data'!H27+0.000267*'9 Calculated Stuff Data'!H26+0.000995*'9 Calculated Stuff Data'!H48+0.000221*'9 Calculated Stuff Data'!H51+0.000229*'9 Calculated Stuff Data'!H50+0.001473*'9 Calculated Stuff Data'!H42+0.000875*'9 Calculated Stuff Data'!H40),'5 Testing'!I16)</f>
        <v/>
      </c>
      <c r="J74" s="45">
        <f>IF('5 Testing'!J16="",I69*(0.823+0.000586*'9 Calculated Stuff Data'!I28+0.000037*'9 Calculated Stuff Data'!I27+0.000267*'9 Calculated Stuff Data'!I26+0.000995*'9 Calculated Stuff Data'!I48+0.000221*'9 Calculated Stuff Data'!I51+0.000229*'9 Calculated Stuff Data'!I50+0.001473*'9 Calculated Stuff Data'!I42+0.000875*'9 Calculated Stuff Data'!I40),'5 Testing'!J16)</f>
        <v/>
      </c>
      <c r="K74" s="45">
        <f>IF('5 Testing'!K16="",J69*(0.823+0.000586*'9 Calculated Stuff Data'!J28+0.000037*'9 Calculated Stuff Data'!J27+0.000267*'9 Calculated Stuff Data'!J26+0.000995*'9 Calculated Stuff Data'!J48+0.000221*'9 Calculated Stuff Data'!J51+0.000229*'9 Calculated Stuff Data'!J50+0.001473*'9 Calculated Stuff Data'!J42+0.000875*'9 Calculated Stuff Data'!J40),'5 Testing'!K16)</f>
        <v/>
      </c>
      <c r="L74" s="45">
        <f>IF('5 Testing'!L16="",K69*(0.823+0.000586*'9 Calculated Stuff Data'!K28+0.000037*'9 Calculated Stuff Data'!K27+0.000267*'9 Calculated Stuff Data'!K26+0.000995*'9 Calculated Stuff Data'!K48+0.000221*'9 Calculated Stuff Data'!K51+0.000229*'9 Calculated Stuff Data'!K50+0.001473*'9 Calculated Stuff Data'!K42+0.000875*'9 Calculated Stuff Data'!K40),'5 Testing'!L16)</f>
        <v/>
      </c>
      <c r="M74" s="45">
        <f>IF('5 Testing'!M16="",L69*(0.823+0.000586*'9 Calculated Stuff Data'!L28+0.000037*'9 Calculated Stuff Data'!L27+0.000267*'9 Calculated Stuff Data'!L26+0.000995*'9 Calculated Stuff Data'!L48+0.000221*'9 Calculated Stuff Data'!L51+0.000229*'9 Calculated Stuff Data'!L50+0.001473*'9 Calculated Stuff Data'!L42+0.000875*'9 Calculated Stuff Data'!L40),'5 Testing'!M16)</f>
        <v/>
      </c>
      <c r="N74" s="45">
        <f>IF('5 Testing'!N16="",M69*(0.823+0.000586*'9 Calculated Stuff Data'!M28+0.000037*'9 Calculated Stuff Data'!M27+0.000267*'9 Calculated Stuff Data'!M26+0.000995*'9 Calculated Stuff Data'!M48+0.000221*'9 Calculated Stuff Data'!M51+0.000229*'9 Calculated Stuff Data'!M50+0.001473*'9 Calculated Stuff Data'!M42+0.000875*'9 Calculated Stuff Data'!M40),'5 Testing'!N16)</f>
        <v/>
      </c>
      <c r="O74" s="45">
        <f>IF('5 Testing'!O16="",N69*(0.823+0.000586*'9 Calculated Stuff Data'!N28+0.000037*'9 Calculated Stuff Data'!N27+0.000267*'9 Calculated Stuff Data'!N26+0.000995*'9 Calculated Stuff Data'!N48+0.000221*'9 Calculated Stuff Data'!N51+0.000229*'9 Calculated Stuff Data'!N50+0.001473*'9 Calculated Stuff Data'!N42+0.000875*'9 Calculated Stuff Data'!N40),'5 Testing'!O16)</f>
        <v/>
      </c>
      <c r="P74" s="45">
        <f>IF('5 Testing'!P16="",O69*(0.823+0.000586*'9 Calculated Stuff Data'!O28+0.000037*'9 Calculated Stuff Data'!O27+0.000267*'9 Calculated Stuff Data'!O26+0.000995*'9 Calculated Stuff Data'!O48+0.000221*'9 Calculated Stuff Data'!O51+0.000229*'9 Calculated Stuff Data'!O50+0.001473*'9 Calculated Stuff Data'!O42+0.000875*'9 Calculated Stuff Data'!O40),'5 Testing'!P16)</f>
        <v/>
      </c>
      <c r="Q74" s="45">
        <f>IF('5 Testing'!Q16="",P69*(0.823+0.000586*'9 Calculated Stuff Data'!P28+0.000037*'9 Calculated Stuff Data'!P27+0.000267*'9 Calculated Stuff Data'!P26+0.000995*'9 Calculated Stuff Data'!P48+0.000221*'9 Calculated Stuff Data'!P51+0.000229*'9 Calculated Stuff Data'!P50+0.001473*'9 Calculated Stuff Data'!P42+0.000875*'9 Calculated Stuff Data'!P40),'5 Testing'!Q16)</f>
        <v/>
      </c>
      <c r="R74" s="45">
        <f>IF('5 Testing'!R16="",Q69*(0.823+0.000586*'9 Calculated Stuff Data'!Q28+0.000037*'9 Calculated Stuff Data'!Q27+0.000267*'9 Calculated Stuff Data'!Q26+0.000995*'9 Calculated Stuff Data'!Q48+0.000221*'9 Calculated Stuff Data'!Q51+0.000229*'9 Calculated Stuff Data'!Q50+0.001473*'9 Calculated Stuff Data'!Q42+0.000875*'9 Calculated Stuff Data'!Q40),'5 Testing'!R16)</f>
        <v/>
      </c>
      <c r="S74" s="45">
        <f>IF('5 Testing'!S16="",R69*(0.823+0.000586*'9 Calculated Stuff Data'!R28+0.000037*'9 Calculated Stuff Data'!R27+0.000267*'9 Calculated Stuff Data'!R26+0.000995*'9 Calculated Stuff Data'!R48+0.000221*'9 Calculated Stuff Data'!R51+0.000229*'9 Calculated Stuff Data'!R50+0.001473*'9 Calculated Stuff Data'!R42+0.000875*'9 Calculated Stuff Data'!R40),'5 Testing'!S16)</f>
        <v/>
      </c>
    </row>
    <row r="75" ht="14.25" customHeight="1" s="267">
      <c r="A75" s="45" t="inlineStr">
        <is>
          <t>Acceleration</t>
        </is>
      </c>
      <c r="B75" s="45">
        <f>'5 Testing'!B17</f>
        <v/>
      </c>
      <c r="C75" s="45">
        <f>IF('5 Testing'!C17="",B70*(0.823+0.000249*'9 Calculated Stuff Data'!B28+0.000272*'9 Calculated Stuff Data'!B27+0.000369*'9 Calculated Stuff Data'!B26+0.000667*'9 Calculated Stuff Data'!B48+0.000315*'9 Calculated Stuff Data'!B51+0.00045*'9 Calculated Stuff Data'!B50+0.001471*'9 Calculated Stuff Data'!B42+0.000899*'9 Calculated Stuff Data'!B40),'5 Testing'!C17)</f>
        <v/>
      </c>
      <c r="D75" s="45">
        <f>IF('5 Testing'!D17="",C70*(0.823+0.000249*'9 Calculated Stuff Data'!C28+0.000272*'9 Calculated Stuff Data'!C27+0.000369*'9 Calculated Stuff Data'!C26+0.000667*'9 Calculated Stuff Data'!C48+0.000315*'9 Calculated Stuff Data'!C51+0.00045*'9 Calculated Stuff Data'!C50+0.001471*'9 Calculated Stuff Data'!C42+0.000899*'9 Calculated Stuff Data'!C40),'5 Testing'!D17)</f>
        <v/>
      </c>
      <c r="E75" s="45">
        <f>IF('5 Testing'!E17="",D70*(0.823+0.000249*'9 Calculated Stuff Data'!D28+0.000272*'9 Calculated Stuff Data'!D27+0.000369*'9 Calculated Stuff Data'!D26+0.000667*'9 Calculated Stuff Data'!D48+0.000315*'9 Calculated Stuff Data'!D51+0.00045*'9 Calculated Stuff Data'!D50+0.001471*'9 Calculated Stuff Data'!D42+0.000899*'9 Calculated Stuff Data'!D40),'5 Testing'!E17)</f>
        <v/>
      </c>
      <c r="F75" s="45">
        <f>IF('5 Testing'!F17="",E70*(0.823+0.000249*'9 Calculated Stuff Data'!E28+0.000272*'9 Calculated Stuff Data'!E27+0.000369*'9 Calculated Stuff Data'!E26+0.000667*'9 Calculated Stuff Data'!E48+0.000315*'9 Calculated Stuff Data'!E51+0.00045*'9 Calculated Stuff Data'!E50+0.001471*'9 Calculated Stuff Data'!E42+0.000899*'9 Calculated Stuff Data'!E40),'5 Testing'!F17)</f>
        <v/>
      </c>
      <c r="G75" s="45">
        <f>IF('5 Testing'!G17="",F70*(0.823+0.000249*'9 Calculated Stuff Data'!F28+0.000272*'9 Calculated Stuff Data'!F27+0.000369*'9 Calculated Stuff Data'!F26+0.000667*'9 Calculated Stuff Data'!F48+0.000315*'9 Calculated Stuff Data'!F51+0.00045*'9 Calculated Stuff Data'!F50+0.001471*'9 Calculated Stuff Data'!F42+0.000899*'9 Calculated Stuff Data'!F40),'5 Testing'!G17)</f>
        <v/>
      </c>
      <c r="H75" s="45">
        <f>IF('5 Testing'!H17="",G70*(0.823+0.000249*'9 Calculated Stuff Data'!G28+0.000272*'9 Calculated Stuff Data'!G27+0.000369*'9 Calculated Stuff Data'!G26+0.000667*'9 Calculated Stuff Data'!G48+0.000315*'9 Calculated Stuff Data'!G51+0.00045*'9 Calculated Stuff Data'!G50+0.001471*'9 Calculated Stuff Data'!G42+0.000899*'9 Calculated Stuff Data'!G40),'5 Testing'!H17)</f>
        <v/>
      </c>
      <c r="I75" s="45">
        <f>IF('5 Testing'!I17="",H70*(0.823+0.000249*'9 Calculated Stuff Data'!H28+0.000272*'9 Calculated Stuff Data'!H27+0.000369*'9 Calculated Stuff Data'!H26+0.000667*'9 Calculated Stuff Data'!H48+0.000315*'9 Calculated Stuff Data'!H51+0.00045*'9 Calculated Stuff Data'!H50+0.001471*'9 Calculated Stuff Data'!H42+0.000899*'9 Calculated Stuff Data'!H40),'5 Testing'!I17)</f>
        <v/>
      </c>
      <c r="J75" s="45">
        <f>IF('5 Testing'!J17="",I70*(0.823+0.000249*'9 Calculated Stuff Data'!I28+0.000272*'9 Calculated Stuff Data'!I27+0.000369*'9 Calculated Stuff Data'!I26+0.000667*'9 Calculated Stuff Data'!I48+0.000315*'9 Calculated Stuff Data'!I51+0.00045*'9 Calculated Stuff Data'!I50+0.001471*'9 Calculated Stuff Data'!I42+0.000899*'9 Calculated Stuff Data'!I40),'5 Testing'!J17)</f>
        <v/>
      </c>
      <c r="K75" s="45">
        <f>IF('5 Testing'!K17="",J70*(0.823+0.000249*'9 Calculated Stuff Data'!J28+0.000272*'9 Calculated Stuff Data'!J27+0.000369*'9 Calculated Stuff Data'!J26+0.000667*'9 Calculated Stuff Data'!J48+0.000315*'9 Calculated Stuff Data'!J51+0.00045*'9 Calculated Stuff Data'!J50+0.001471*'9 Calculated Stuff Data'!J42+0.000899*'9 Calculated Stuff Data'!J40),'5 Testing'!K17)</f>
        <v/>
      </c>
      <c r="L75" s="45">
        <f>IF('5 Testing'!L17="",K70*(0.823+0.000249*'9 Calculated Stuff Data'!K28+0.000272*'9 Calculated Stuff Data'!K27+0.000369*'9 Calculated Stuff Data'!K26+0.000667*'9 Calculated Stuff Data'!K48+0.000315*'9 Calculated Stuff Data'!K51+0.00045*'9 Calculated Stuff Data'!K50+0.001471*'9 Calculated Stuff Data'!K42+0.000899*'9 Calculated Stuff Data'!K40),'5 Testing'!L17)</f>
        <v/>
      </c>
      <c r="M75" s="45">
        <f>IF('5 Testing'!M17="",L70*(0.823+0.000249*'9 Calculated Stuff Data'!L28+0.000272*'9 Calculated Stuff Data'!L27+0.000369*'9 Calculated Stuff Data'!L26+0.000667*'9 Calculated Stuff Data'!L48+0.000315*'9 Calculated Stuff Data'!L51+0.00045*'9 Calculated Stuff Data'!L50+0.001471*'9 Calculated Stuff Data'!L42+0.000899*'9 Calculated Stuff Data'!L40),'5 Testing'!M17)</f>
        <v/>
      </c>
      <c r="N75" s="45">
        <f>IF('5 Testing'!N17="",M70*(0.823+0.000249*'9 Calculated Stuff Data'!M28+0.000272*'9 Calculated Stuff Data'!M27+0.000369*'9 Calculated Stuff Data'!M26+0.000667*'9 Calculated Stuff Data'!M48+0.000315*'9 Calculated Stuff Data'!M51+0.00045*'9 Calculated Stuff Data'!M50+0.001471*'9 Calculated Stuff Data'!M42+0.000899*'9 Calculated Stuff Data'!M40),'5 Testing'!N17)</f>
        <v/>
      </c>
      <c r="O75" s="45">
        <f>IF('5 Testing'!O17="",N70*(0.823+0.000249*'9 Calculated Stuff Data'!N28+0.000272*'9 Calculated Stuff Data'!N27+0.000369*'9 Calculated Stuff Data'!N26+0.000667*'9 Calculated Stuff Data'!N48+0.000315*'9 Calculated Stuff Data'!N51+0.00045*'9 Calculated Stuff Data'!N50+0.001471*'9 Calculated Stuff Data'!N42+0.000899*'9 Calculated Stuff Data'!N40),'5 Testing'!O17)</f>
        <v/>
      </c>
      <c r="P75" s="45">
        <f>IF('5 Testing'!P17="",O70*(0.823+0.000249*'9 Calculated Stuff Data'!O28+0.000272*'9 Calculated Stuff Data'!O27+0.000369*'9 Calculated Stuff Data'!O26+0.000667*'9 Calculated Stuff Data'!O48+0.000315*'9 Calculated Stuff Data'!O51+0.00045*'9 Calculated Stuff Data'!O50+0.001471*'9 Calculated Stuff Data'!O42+0.000899*'9 Calculated Stuff Data'!O40),'5 Testing'!P17)</f>
        <v/>
      </c>
      <c r="Q75" s="45">
        <f>IF('5 Testing'!Q17="",P70*(0.823+0.000249*'9 Calculated Stuff Data'!P28+0.000272*'9 Calculated Stuff Data'!P27+0.000369*'9 Calculated Stuff Data'!P26+0.000667*'9 Calculated Stuff Data'!P48+0.000315*'9 Calculated Stuff Data'!P51+0.00045*'9 Calculated Stuff Data'!P50+0.001471*'9 Calculated Stuff Data'!P42+0.000899*'9 Calculated Stuff Data'!P40),'5 Testing'!Q17)</f>
        <v/>
      </c>
      <c r="R75" s="45">
        <f>IF('5 Testing'!R17="",Q70*(0.823+0.000249*'9 Calculated Stuff Data'!Q28+0.000272*'9 Calculated Stuff Data'!Q27+0.000369*'9 Calculated Stuff Data'!Q26+0.000667*'9 Calculated Stuff Data'!Q48+0.000315*'9 Calculated Stuff Data'!Q51+0.00045*'9 Calculated Stuff Data'!Q50+0.001471*'9 Calculated Stuff Data'!Q42+0.000899*'9 Calculated Stuff Data'!Q40),'5 Testing'!R17)</f>
        <v/>
      </c>
      <c r="S75" s="45">
        <f>IF('5 Testing'!S17="",R70*(0.823+0.000249*'9 Calculated Stuff Data'!R28+0.000272*'9 Calculated Stuff Data'!R27+0.000369*'9 Calculated Stuff Data'!R26+0.000667*'9 Calculated Stuff Data'!R48+0.000315*'9 Calculated Stuff Data'!R51+0.00045*'9 Calculated Stuff Data'!R50+0.001471*'9 Calculated Stuff Data'!R42+0.000899*'9 Calculated Stuff Data'!R40),'5 Testing'!S17)</f>
        <v/>
      </c>
    </row>
    <row r="76" ht="14.25" customHeight="1" s="267">
      <c r="A76" s="45" t="n"/>
      <c r="B76" s="45" t="n"/>
      <c r="C76" s="45" t="n"/>
      <c r="D76" s="45" t="n"/>
      <c r="E76" s="45" t="n"/>
      <c r="F76" s="45" t="n"/>
      <c r="G76" s="45" t="n"/>
      <c r="H76" s="45" t="n"/>
      <c r="I76" s="45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</row>
    <row r="77" ht="14.25" customHeight="1" s="267">
      <c r="A77" s="234" t="inlineStr">
        <is>
          <t>Engineering points</t>
        </is>
      </c>
      <c r="B77" s="45" t="n"/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</row>
    <row r="78" ht="14.25" customHeight="1" s="267">
      <c r="A78" s="45" t="inlineStr">
        <is>
          <t>Power</t>
        </is>
      </c>
      <c r="B78" s="45">
        <f>'5 Testing'!B20</f>
        <v/>
      </c>
      <c r="C78" s="45">
        <f>IF('5 Testing'!C20="",B73*(0.72+0.00048*'9 Calculated Stuff Data'!B25+0.000507*'9 Calculated Stuff Data'!B31+0.000554*'9 Calculated Stuff Data'!B53+0.000625*'9 Calculated Stuff Data'!B52+0.000732*'9 Calculated Stuff Data'!B42+0.001092*'9 Calculated Stuff Data'!B40),'5 Testing'!C20)</f>
        <v/>
      </c>
      <c r="D78" s="45">
        <f>IF('5 Testing'!D20="",C73*(0.72+0.00048*'9 Calculated Stuff Data'!C25+0.000507*'9 Calculated Stuff Data'!C31+0.000554*'9 Calculated Stuff Data'!C53+0.000625*'9 Calculated Stuff Data'!C52+0.000732*'9 Calculated Stuff Data'!C42+0.001092*'9 Calculated Stuff Data'!C40),'5 Testing'!D20)</f>
        <v/>
      </c>
      <c r="E78" s="45">
        <f>IF('5 Testing'!E20="",D73*(0.72+0.00048*'9 Calculated Stuff Data'!D25+0.000507*'9 Calculated Stuff Data'!D31+0.000554*'9 Calculated Stuff Data'!D53+0.000625*'9 Calculated Stuff Data'!D52+0.000732*'9 Calculated Stuff Data'!D42+0.001092*'9 Calculated Stuff Data'!D40),'5 Testing'!E20)</f>
        <v/>
      </c>
      <c r="F78" s="45">
        <f>IF('5 Testing'!F20="",E73*(0.72+0.00048*'9 Calculated Stuff Data'!E25+0.000507*'9 Calculated Stuff Data'!E31+0.000554*'9 Calculated Stuff Data'!E53+0.000625*'9 Calculated Stuff Data'!E52+0.000732*'9 Calculated Stuff Data'!E42+0.001092*'9 Calculated Stuff Data'!E40),'5 Testing'!F20)</f>
        <v/>
      </c>
      <c r="G78" s="45">
        <f>IF('5 Testing'!G20="",F73*(0.72+0.00048*'9 Calculated Stuff Data'!F25+0.000507*'9 Calculated Stuff Data'!F31+0.000554*'9 Calculated Stuff Data'!F53+0.000625*'9 Calculated Stuff Data'!F52+0.000732*'9 Calculated Stuff Data'!F42+0.001092*'9 Calculated Stuff Data'!F40),'5 Testing'!G20)</f>
        <v/>
      </c>
      <c r="H78" s="45">
        <f>IF('5 Testing'!H20="",G73*(0.72+0.00048*'9 Calculated Stuff Data'!G25+0.000507*'9 Calculated Stuff Data'!G31+0.000554*'9 Calculated Stuff Data'!G53+0.000625*'9 Calculated Stuff Data'!G52+0.000732*'9 Calculated Stuff Data'!G42+0.001092*'9 Calculated Stuff Data'!G40),'5 Testing'!H20)</f>
        <v/>
      </c>
      <c r="I78" s="45">
        <f>IF('5 Testing'!I20="",H73*(0.72+0.00048*'9 Calculated Stuff Data'!H25+0.000507*'9 Calculated Stuff Data'!H31+0.000554*'9 Calculated Stuff Data'!H53+0.000625*'9 Calculated Stuff Data'!H52+0.000732*'9 Calculated Stuff Data'!H42+0.001092*'9 Calculated Stuff Data'!H40),'5 Testing'!I20)</f>
        <v/>
      </c>
      <c r="J78" s="45">
        <f>IF('5 Testing'!J20="",I73*(0.72+0.00048*'9 Calculated Stuff Data'!I25+0.000507*'9 Calculated Stuff Data'!I31+0.000554*'9 Calculated Stuff Data'!I53+0.000625*'9 Calculated Stuff Data'!I52+0.000732*'9 Calculated Stuff Data'!I42+0.001092*'9 Calculated Stuff Data'!I40),'5 Testing'!J20)</f>
        <v/>
      </c>
      <c r="K78" s="45">
        <f>IF('5 Testing'!K20="",J73*(0.72+0.00048*'9 Calculated Stuff Data'!J25+0.000507*'9 Calculated Stuff Data'!J31+0.000554*'9 Calculated Stuff Data'!J53+0.000625*'9 Calculated Stuff Data'!J52+0.000732*'9 Calculated Stuff Data'!J42+0.001092*'9 Calculated Stuff Data'!J40),'5 Testing'!K20)</f>
        <v/>
      </c>
      <c r="L78" s="45">
        <f>IF('5 Testing'!L20="",K73*(0.72+0.00048*'9 Calculated Stuff Data'!K25+0.000507*'9 Calculated Stuff Data'!K31+0.000554*'9 Calculated Stuff Data'!K53+0.000625*'9 Calculated Stuff Data'!K52+0.000732*'9 Calculated Stuff Data'!K42+0.001092*'9 Calculated Stuff Data'!K40),'5 Testing'!L20)</f>
        <v/>
      </c>
      <c r="M78" s="45">
        <f>IF('5 Testing'!M20="",L73*(0.72+0.00048*'9 Calculated Stuff Data'!L25+0.000507*'9 Calculated Stuff Data'!L31+0.000554*'9 Calculated Stuff Data'!L53+0.000625*'9 Calculated Stuff Data'!L52+0.000732*'9 Calculated Stuff Data'!L42+0.001092*'9 Calculated Stuff Data'!L40),'5 Testing'!M20)</f>
        <v/>
      </c>
      <c r="N78" s="45">
        <f>IF('5 Testing'!N20="",M73*(0.72+0.00048*'9 Calculated Stuff Data'!M25+0.000507*'9 Calculated Stuff Data'!M31+0.000554*'9 Calculated Stuff Data'!M53+0.000625*'9 Calculated Stuff Data'!M52+0.000732*'9 Calculated Stuff Data'!M42+0.001092*'9 Calculated Stuff Data'!M40),'5 Testing'!N20)</f>
        <v/>
      </c>
      <c r="O78" s="45">
        <f>IF('5 Testing'!O20="",N73*(0.72+0.00048*'9 Calculated Stuff Data'!N25+0.000507*'9 Calculated Stuff Data'!N31+0.000554*'9 Calculated Stuff Data'!N53+0.000625*'9 Calculated Stuff Data'!N52+0.000732*'9 Calculated Stuff Data'!N42+0.001092*'9 Calculated Stuff Data'!N40),'5 Testing'!O20)</f>
        <v/>
      </c>
      <c r="P78" s="45">
        <f>IF('5 Testing'!P20="",O73*(0.72+0.00048*'9 Calculated Stuff Data'!O25+0.000507*'9 Calculated Stuff Data'!O31+0.000554*'9 Calculated Stuff Data'!O53+0.000625*'9 Calculated Stuff Data'!O52+0.000732*'9 Calculated Stuff Data'!O42+0.001092*'9 Calculated Stuff Data'!O40),'5 Testing'!P20)</f>
        <v/>
      </c>
      <c r="Q78" s="45">
        <f>IF('5 Testing'!Q20="",P73*(0.72+0.00048*'9 Calculated Stuff Data'!P25+0.000507*'9 Calculated Stuff Data'!P31+0.000554*'9 Calculated Stuff Data'!P53+0.000625*'9 Calculated Stuff Data'!P52+0.000732*'9 Calculated Stuff Data'!P42+0.001092*'9 Calculated Stuff Data'!P40),'5 Testing'!Q20)</f>
        <v/>
      </c>
      <c r="R78" s="45">
        <f>IF('5 Testing'!R20="",Q73*(0.72+0.00048*'9 Calculated Stuff Data'!Q25+0.000507*'9 Calculated Stuff Data'!Q31+0.000554*'9 Calculated Stuff Data'!Q53+0.000625*'9 Calculated Stuff Data'!Q52+0.000732*'9 Calculated Stuff Data'!Q42+0.001092*'9 Calculated Stuff Data'!Q40),'5 Testing'!R20)</f>
        <v/>
      </c>
      <c r="S78" s="45">
        <f>IF('5 Testing'!S20="",R73*(0.72+0.00048*'9 Calculated Stuff Data'!R25+0.000507*'9 Calculated Stuff Data'!R31+0.000554*'9 Calculated Stuff Data'!R53+0.000625*'9 Calculated Stuff Data'!R52+0.000732*'9 Calculated Stuff Data'!R42+0.001092*'9 Calculated Stuff Data'!R40),'5 Testing'!S20)</f>
        <v/>
      </c>
    </row>
    <row r="79" ht="14.25" customHeight="1" s="267">
      <c r="A79" s="45" t="inlineStr">
        <is>
          <t>Handling</t>
        </is>
      </c>
      <c r="B79" s="45">
        <f>'5 Testing'!B21</f>
        <v/>
      </c>
      <c r="C79" s="45">
        <f>IF('5 Testing'!C21="",B74*(0.72+0.000482*'9 Calculated Stuff Data'!B25+0.00051*'9 Calculated Stuff Data'!B31+0.000642*'9 Calculated Stuff Data'!B53+0.000541*'9 Calculated Stuff Data'!B52+0.00073*'9 Calculated Stuff Data'!B42+0.001119*'9 Calculated Stuff Data'!B40),'5 Testing'!C21)</f>
        <v/>
      </c>
      <c r="D79" s="45">
        <f>IF('5 Testing'!D21="",C74*(0.72+0.000482*'9 Calculated Stuff Data'!C25+0.00051*'9 Calculated Stuff Data'!C31+0.000642*'9 Calculated Stuff Data'!C53+0.000541*'9 Calculated Stuff Data'!C52+0.00073*'9 Calculated Stuff Data'!C42+0.001119*'9 Calculated Stuff Data'!C40),'5 Testing'!D21)</f>
        <v/>
      </c>
      <c r="E79" s="45">
        <f>IF('5 Testing'!E21="",D74*(0.72+0.000482*'9 Calculated Stuff Data'!D25+0.00051*'9 Calculated Stuff Data'!D31+0.000642*'9 Calculated Stuff Data'!D53+0.000541*'9 Calculated Stuff Data'!D52+0.00073*'9 Calculated Stuff Data'!D42+0.001119*'9 Calculated Stuff Data'!D40),'5 Testing'!E21)</f>
        <v/>
      </c>
      <c r="F79" s="45">
        <f>IF('5 Testing'!F21="",E74*(0.72+0.000482*'9 Calculated Stuff Data'!E25+0.00051*'9 Calculated Stuff Data'!E31+0.000642*'9 Calculated Stuff Data'!E53+0.000541*'9 Calculated Stuff Data'!E52+0.00073*'9 Calculated Stuff Data'!E42+0.001119*'9 Calculated Stuff Data'!E40),'5 Testing'!F21)</f>
        <v/>
      </c>
      <c r="G79" s="45">
        <f>IF('5 Testing'!G21="",F74*(0.72+0.000482*'9 Calculated Stuff Data'!F25+0.00051*'9 Calculated Stuff Data'!F31+0.000642*'9 Calculated Stuff Data'!F53+0.000541*'9 Calculated Stuff Data'!F52+0.00073*'9 Calculated Stuff Data'!F42+0.001119*'9 Calculated Stuff Data'!F40),'5 Testing'!G21)</f>
        <v/>
      </c>
      <c r="H79" s="45">
        <f>IF('5 Testing'!H21="",G74*(0.72+0.000482*'9 Calculated Stuff Data'!G25+0.00051*'9 Calculated Stuff Data'!G31+0.000642*'9 Calculated Stuff Data'!G53+0.000541*'9 Calculated Stuff Data'!G52+0.00073*'9 Calculated Stuff Data'!G42+0.001119*'9 Calculated Stuff Data'!G40),'5 Testing'!H21)</f>
        <v/>
      </c>
      <c r="I79" s="45">
        <f>IF('5 Testing'!I21="",H74*(0.72+0.000482*'9 Calculated Stuff Data'!H25+0.00051*'9 Calculated Stuff Data'!H31+0.000642*'9 Calculated Stuff Data'!H53+0.000541*'9 Calculated Stuff Data'!H52+0.00073*'9 Calculated Stuff Data'!H42+0.001119*'9 Calculated Stuff Data'!H40),'5 Testing'!I21)</f>
        <v/>
      </c>
      <c r="J79" s="45">
        <f>IF('5 Testing'!J21="",I74*(0.72+0.000482*'9 Calculated Stuff Data'!I25+0.00051*'9 Calculated Stuff Data'!I31+0.000642*'9 Calculated Stuff Data'!I53+0.000541*'9 Calculated Stuff Data'!I52+0.00073*'9 Calculated Stuff Data'!I42+0.001119*'9 Calculated Stuff Data'!I40),'5 Testing'!J21)</f>
        <v/>
      </c>
      <c r="K79" s="45">
        <f>IF('5 Testing'!K21="",J74*(0.72+0.000482*'9 Calculated Stuff Data'!J25+0.00051*'9 Calculated Stuff Data'!J31+0.000642*'9 Calculated Stuff Data'!J53+0.000541*'9 Calculated Stuff Data'!J52+0.00073*'9 Calculated Stuff Data'!J42+0.001119*'9 Calculated Stuff Data'!J40),'5 Testing'!K21)</f>
        <v/>
      </c>
      <c r="L79" s="45">
        <f>IF('5 Testing'!L21="",K74*(0.72+0.000482*'9 Calculated Stuff Data'!K25+0.00051*'9 Calculated Stuff Data'!K31+0.000642*'9 Calculated Stuff Data'!K53+0.000541*'9 Calculated Stuff Data'!K52+0.00073*'9 Calculated Stuff Data'!K42+0.001119*'9 Calculated Stuff Data'!K40),'5 Testing'!L21)</f>
        <v/>
      </c>
      <c r="M79" s="45">
        <f>IF('5 Testing'!M21="",L74*(0.72+0.000482*'9 Calculated Stuff Data'!L25+0.00051*'9 Calculated Stuff Data'!L31+0.000642*'9 Calculated Stuff Data'!L53+0.000541*'9 Calculated Stuff Data'!L52+0.00073*'9 Calculated Stuff Data'!L42+0.001119*'9 Calculated Stuff Data'!L40),'5 Testing'!M21)</f>
        <v/>
      </c>
      <c r="N79" s="45">
        <f>IF('5 Testing'!N21="",M74*(0.72+0.000482*'9 Calculated Stuff Data'!M25+0.00051*'9 Calculated Stuff Data'!M31+0.000642*'9 Calculated Stuff Data'!M53+0.000541*'9 Calculated Stuff Data'!M52+0.00073*'9 Calculated Stuff Data'!M42+0.001119*'9 Calculated Stuff Data'!M40),'5 Testing'!N21)</f>
        <v/>
      </c>
      <c r="O79" s="45">
        <f>IF('5 Testing'!O21="",N74*(0.72+0.000482*'9 Calculated Stuff Data'!N25+0.00051*'9 Calculated Stuff Data'!N31+0.000642*'9 Calculated Stuff Data'!N53+0.000541*'9 Calculated Stuff Data'!N52+0.00073*'9 Calculated Stuff Data'!N42+0.001119*'9 Calculated Stuff Data'!N40),'5 Testing'!O21)</f>
        <v/>
      </c>
      <c r="P79" s="45">
        <f>IF('5 Testing'!P21="",O74*(0.72+0.000482*'9 Calculated Stuff Data'!O25+0.00051*'9 Calculated Stuff Data'!O31+0.000642*'9 Calculated Stuff Data'!O53+0.000541*'9 Calculated Stuff Data'!O52+0.00073*'9 Calculated Stuff Data'!O42+0.001119*'9 Calculated Stuff Data'!O40),'5 Testing'!P21)</f>
        <v/>
      </c>
      <c r="Q79" s="45">
        <f>IF('5 Testing'!Q21="",P74*(0.72+0.000482*'9 Calculated Stuff Data'!P25+0.00051*'9 Calculated Stuff Data'!P31+0.000642*'9 Calculated Stuff Data'!P53+0.000541*'9 Calculated Stuff Data'!P52+0.00073*'9 Calculated Stuff Data'!P42+0.001119*'9 Calculated Stuff Data'!P40),'5 Testing'!Q21)</f>
        <v/>
      </c>
      <c r="R79" s="45">
        <f>IF('5 Testing'!R21="",Q74*(0.72+0.000482*'9 Calculated Stuff Data'!Q25+0.00051*'9 Calculated Stuff Data'!Q31+0.000642*'9 Calculated Stuff Data'!Q53+0.000541*'9 Calculated Stuff Data'!Q52+0.00073*'9 Calculated Stuff Data'!Q42+0.001119*'9 Calculated Stuff Data'!Q40),'5 Testing'!R21)</f>
        <v/>
      </c>
      <c r="S79" s="45">
        <f>IF('5 Testing'!S21="",R74*(0.72+0.000482*'9 Calculated Stuff Data'!R25+0.00051*'9 Calculated Stuff Data'!R31+0.000642*'9 Calculated Stuff Data'!R53+0.000541*'9 Calculated Stuff Data'!R52+0.00073*'9 Calculated Stuff Data'!R42+0.001119*'9 Calculated Stuff Data'!R40),'5 Testing'!S21)</f>
        <v/>
      </c>
    </row>
    <row r="80" ht="14.25" customHeight="1" s="267">
      <c r="A80" s="45" t="inlineStr">
        <is>
          <t>Acceleration</t>
        </is>
      </c>
      <c r="B80" s="45">
        <f>'5 Testing'!B22</f>
        <v/>
      </c>
      <c r="C80" s="45">
        <f>IF('5 Testing'!C22="",B75*(0.72+0.00048*'9 Calculated Stuff Data'!B25+0.000507*'9 Calculated Stuff Data'!B31+0.000554*'9 Calculated Stuff Data'!B53+0.000625*'9 Calculated Stuff Data'!B52+0.000732*'9 Calculated Stuff Data'!B42+0.001092*'9 Calculated Stuff Data'!B40),'5 Testing'!C22)</f>
        <v/>
      </c>
      <c r="D80" s="45">
        <f>IF('5 Testing'!D22="",C75*(0.72+0.00048*'9 Calculated Stuff Data'!C25+0.000507*'9 Calculated Stuff Data'!C31+0.000554*'9 Calculated Stuff Data'!C53+0.000625*'9 Calculated Stuff Data'!C52+0.000732*'9 Calculated Stuff Data'!C42+0.001092*'9 Calculated Stuff Data'!C40),'5 Testing'!D22)</f>
        <v/>
      </c>
      <c r="E80" s="45">
        <f>IF('5 Testing'!E22="",D75*(0.72+0.00048*'9 Calculated Stuff Data'!D25+0.000507*'9 Calculated Stuff Data'!D31+0.000554*'9 Calculated Stuff Data'!D53+0.000625*'9 Calculated Stuff Data'!D52+0.000732*'9 Calculated Stuff Data'!D42+0.001092*'9 Calculated Stuff Data'!D40),'5 Testing'!E22)</f>
        <v/>
      </c>
      <c r="F80" s="45">
        <f>IF('5 Testing'!F22="",E75*(0.72+0.00048*'9 Calculated Stuff Data'!E25+0.000507*'9 Calculated Stuff Data'!E31+0.000554*'9 Calculated Stuff Data'!E53+0.000625*'9 Calculated Stuff Data'!E52+0.000732*'9 Calculated Stuff Data'!E42+0.001092*'9 Calculated Stuff Data'!E40),'5 Testing'!F22)</f>
        <v/>
      </c>
      <c r="G80" s="45">
        <f>IF('5 Testing'!G22="",F75*(0.72+0.00048*'9 Calculated Stuff Data'!F25+0.000507*'9 Calculated Stuff Data'!F31+0.000554*'9 Calculated Stuff Data'!F53+0.000625*'9 Calculated Stuff Data'!F52+0.000732*'9 Calculated Stuff Data'!F42+0.001092*'9 Calculated Stuff Data'!F40),'5 Testing'!G22)</f>
        <v/>
      </c>
      <c r="H80" s="45">
        <f>IF('5 Testing'!H22="",G75*(0.72+0.00048*'9 Calculated Stuff Data'!G25+0.000507*'9 Calculated Stuff Data'!G31+0.000554*'9 Calculated Stuff Data'!G53+0.000625*'9 Calculated Stuff Data'!G52+0.000732*'9 Calculated Stuff Data'!G42+0.001092*'9 Calculated Stuff Data'!G40),'5 Testing'!H22)</f>
        <v/>
      </c>
      <c r="I80" s="45">
        <f>IF('5 Testing'!I22="",H75*(0.72+0.00048*'9 Calculated Stuff Data'!H25+0.000507*'9 Calculated Stuff Data'!H31+0.000554*'9 Calculated Stuff Data'!H53+0.000625*'9 Calculated Stuff Data'!H52+0.000732*'9 Calculated Stuff Data'!H42+0.001092*'9 Calculated Stuff Data'!H40),'5 Testing'!I22)</f>
        <v/>
      </c>
      <c r="J80" s="45">
        <f>IF('5 Testing'!J22="",I75*(0.72+0.00048*'9 Calculated Stuff Data'!I25+0.000507*'9 Calculated Stuff Data'!I31+0.000554*'9 Calculated Stuff Data'!I53+0.000625*'9 Calculated Stuff Data'!I52+0.000732*'9 Calculated Stuff Data'!I42+0.001092*'9 Calculated Stuff Data'!I40),'5 Testing'!J22)</f>
        <v/>
      </c>
      <c r="K80" s="45">
        <f>IF('5 Testing'!K22="",J75*(0.72+0.00048*'9 Calculated Stuff Data'!J25+0.000507*'9 Calculated Stuff Data'!J31+0.000554*'9 Calculated Stuff Data'!J53+0.000625*'9 Calculated Stuff Data'!J52+0.000732*'9 Calculated Stuff Data'!J42+0.001092*'9 Calculated Stuff Data'!J40),'5 Testing'!K22)</f>
        <v/>
      </c>
      <c r="L80" s="45">
        <f>IF('5 Testing'!L22="",K75*(0.72+0.00048*'9 Calculated Stuff Data'!K25+0.000507*'9 Calculated Stuff Data'!K31+0.000554*'9 Calculated Stuff Data'!K53+0.000625*'9 Calculated Stuff Data'!K52+0.000732*'9 Calculated Stuff Data'!K42+0.001092*'9 Calculated Stuff Data'!K40),'5 Testing'!L22)</f>
        <v/>
      </c>
      <c r="M80" s="45">
        <f>IF('5 Testing'!M22="",L75*(0.72+0.00048*'9 Calculated Stuff Data'!L25+0.000507*'9 Calculated Stuff Data'!L31+0.000554*'9 Calculated Stuff Data'!L53+0.000625*'9 Calculated Stuff Data'!L52+0.000732*'9 Calculated Stuff Data'!L42+0.001092*'9 Calculated Stuff Data'!L40),'5 Testing'!M22)</f>
        <v/>
      </c>
      <c r="N80" s="45">
        <f>IF('5 Testing'!N22="",M75*(0.72+0.00048*'9 Calculated Stuff Data'!M25+0.000507*'9 Calculated Stuff Data'!M31+0.000554*'9 Calculated Stuff Data'!M53+0.000625*'9 Calculated Stuff Data'!M52+0.000732*'9 Calculated Stuff Data'!M42+0.001092*'9 Calculated Stuff Data'!M40),'5 Testing'!N22)</f>
        <v/>
      </c>
      <c r="O80" s="45">
        <f>IF('5 Testing'!O22="",N75*(0.72+0.00048*'9 Calculated Stuff Data'!N25+0.000507*'9 Calculated Stuff Data'!N31+0.000554*'9 Calculated Stuff Data'!N53+0.000625*'9 Calculated Stuff Data'!N52+0.000732*'9 Calculated Stuff Data'!N42+0.001092*'9 Calculated Stuff Data'!N40),'5 Testing'!O22)</f>
        <v/>
      </c>
      <c r="P80" s="45">
        <f>IF('5 Testing'!P22="",O75*(0.72+0.00048*'9 Calculated Stuff Data'!O25+0.000507*'9 Calculated Stuff Data'!O31+0.000554*'9 Calculated Stuff Data'!O53+0.000625*'9 Calculated Stuff Data'!O52+0.000732*'9 Calculated Stuff Data'!O42+0.001092*'9 Calculated Stuff Data'!O40),'5 Testing'!P22)</f>
        <v/>
      </c>
      <c r="Q80" s="45">
        <f>IF('5 Testing'!Q22="",P75*(0.72+0.00048*'9 Calculated Stuff Data'!P25+0.000507*'9 Calculated Stuff Data'!P31+0.000554*'9 Calculated Stuff Data'!P53+0.000625*'9 Calculated Stuff Data'!P52+0.000732*'9 Calculated Stuff Data'!P42+0.001092*'9 Calculated Stuff Data'!P40),'5 Testing'!Q22)</f>
        <v/>
      </c>
      <c r="R80" s="45">
        <f>IF('5 Testing'!R22="",Q75*(0.72+0.00048*'9 Calculated Stuff Data'!Q25+0.000507*'9 Calculated Stuff Data'!Q31+0.000554*'9 Calculated Stuff Data'!Q53+0.000625*'9 Calculated Stuff Data'!Q52+0.000732*'9 Calculated Stuff Data'!Q42+0.001092*'9 Calculated Stuff Data'!Q40),'5 Testing'!R22)</f>
        <v/>
      </c>
      <c r="S80" s="45">
        <f>IF('5 Testing'!S22="",R75*(0.72+0.00048*'9 Calculated Stuff Data'!R25+0.000507*'9 Calculated Stuff Data'!R31+0.000554*'9 Calculated Stuff Data'!R53+0.000625*'9 Calculated Stuff Data'!R52+0.000732*'9 Calculated Stuff Data'!R42+0.001092*'9 Calculated Stuff Data'!R40),'5 Testing'!S22)</f>
        <v/>
      </c>
    </row>
    <row r="81" ht="14.25" customHeight="1" s="267">
      <c r="A81" s="45" t="n"/>
      <c r="B81" s="45" t="n"/>
      <c r="C81" s="45" t="n"/>
      <c r="D81" s="45" t="n"/>
      <c r="E81" s="45" t="n"/>
      <c r="F81" s="45" t="n"/>
      <c r="G81" s="45" t="n"/>
      <c r="H81" s="45" t="n"/>
      <c r="I81" s="45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</row>
    <row r="82" ht="14.25" customHeight="1" s="267">
      <c r="A82" s="234" t="inlineStr">
        <is>
          <t>CCP</t>
        </is>
      </c>
      <c r="B82" s="45" t="n"/>
      <c r="C82" s="45" t="n"/>
      <c r="D82" s="45" t="n"/>
      <c r="E82" s="45" t="n"/>
      <c r="F82" s="45" t="n"/>
      <c r="G82" s="45" t="n"/>
      <c r="H82" s="45" t="n"/>
      <c r="I82" s="45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</row>
    <row r="83" ht="14.25" customHeight="1" s="267">
      <c r="A83" s="45" t="inlineStr">
        <is>
          <t>Power</t>
        </is>
      </c>
      <c r="B83" s="45">
        <f>'5 Testing'!B25</f>
        <v/>
      </c>
      <c r="C83" s="45">
        <f>IF('5 Testing'!C25="",0.95*B83+IF(B78&gt;0,B78*0.2627/(1+B83*0.1287),0),'5 Testing'!C25)</f>
        <v/>
      </c>
      <c r="D83" s="45">
        <f>IF('5 Testing'!D25="",0.95*C83+IF(C78&gt;0,C78*0.2627/(1+C83*0.1287),0),'5 Testing'!D25)</f>
        <v/>
      </c>
      <c r="E83" s="241">
        <f>IF('5 Testing'!E25="",0.95*D83+IF(D78&gt;0,D78*0.2627/(1+D83*0.1287),0),'5 Testing'!E25)</f>
        <v/>
      </c>
      <c r="F83" s="45">
        <f>IF('5 Testing'!F25="",0.95*E83+IF(E78&gt;0,E78*0.2627/(1+E83*0.1287),0),'5 Testing'!F25)</f>
        <v/>
      </c>
      <c r="G83" s="45">
        <f>IF('5 Testing'!G25="",0.95*F83+IF(F78&gt;0,F78*0.2627/(1+F83*0.1287),0),'5 Testing'!G25)</f>
        <v/>
      </c>
      <c r="H83" s="45">
        <f>IF('5 Testing'!H25="",0.95*G83+IF(G78&gt;0,G78*0.2627/(1+G83*0.1287),0),'5 Testing'!H25)</f>
        <v/>
      </c>
      <c r="I83" s="45">
        <f>IF('5 Testing'!I25="",0.95*H83+IF(H78&gt;0,H78*0.2627/(1+H83*0.1287),0),'5 Testing'!I25)</f>
        <v/>
      </c>
      <c r="J83" s="45">
        <f>IF('5 Testing'!J25="",0.95*I83+IF(I78&gt;0,I78*0.2627/(1+I83*0.1287),0),'5 Testing'!J25)</f>
        <v/>
      </c>
      <c r="K83" s="45">
        <f>IF('5 Testing'!K25="",0.95*J83+IF(J78&gt;0,J78*0.2627/(1+J83*0.1287),0),'5 Testing'!K25)</f>
        <v/>
      </c>
      <c r="L83" s="45">
        <f>IF('5 Testing'!L25="",0.95*K83+IF(K78&gt;0,K78*0.2627/(1+K83*0.1287),0),'5 Testing'!L25)</f>
        <v/>
      </c>
      <c r="M83" s="45">
        <f>IF('5 Testing'!M25="",0.95*L83+IF(L78&gt;0,L78*0.2627/(1+L83*0.1287),0),'5 Testing'!M25)</f>
        <v/>
      </c>
      <c r="N83" s="45">
        <f>IF('5 Testing'!N25="",0.95*M83+IF(M78&gt;0,M78*0.2627/(1+M83*0.1287),0),'5 Testing'!N25)</f>
        <v/>
      </c>
      <c r="O83" s="45">
        <f>IF('5 Testing'!O25="",0.95*N83+IF(N78&gt;0,N78*0.2627/(1+N83*0.1287),0),'5 Testing'!O25)</f>
        <v/>
      </c>
      <c r="P83" s="45">
        <f>IF('5 Testing'!P25="",0.95*O83+IF(O78&gt;0,O78*0.2627/(1+O83*0.1287),0),'5 Testing'!P25)</f>
        <v/>
      </c>
      <c r="Q83" s="45">
        <f>IF('5 Testing'!Q25="",0.95*P83+IF(P78&gt;0,P78*0.2627/(1+P83*0.1287),0),'5 Testing'!Q25)</f>
        <v/>
      </c>
      <c r="R83" s="45">
        <f>IF('5 Testing'!R25="",0.95*Q83+IF(Q78&gt;0,Q78*0.2627/(1+Q83*0.1287),0),'5 Testing'!R25)</f>
        <v/>
      </c>
      <c r="S83" s="45">
        <f>IF('5 Testing'!S25="",0.95*R83+IF(R78&gt;0,R78*0.2627/(1+R83*0.1287),0),'5 Testing'!S25)</f>
        <v/>
      </c>
    </row>
    <row r="84" ht="14.25" customHeight="1" s="267">
      <c r="A84" s="45" t="inlineStr">
        <is>
          <t>Handling</t>
        </is>
      </c>
      <c r="B84" s="45">
        <f>'5 Testing'!B26</f>
        <v/>
      </c>
      <c r="C84" s="45">
        <f>IF('5 Testing'!C26="",0.95*B84+IF(B79&gt;0,B79*0.2627/(1+B84*0.1287),0),'5 Testing'!C26)</f>
        <v/>
      </c>
      <c r="D84" s="45">
        <f>IF('5 Testing'!D26="",0.95*C84+IF(C79&gt;0,C79*0.2627/(1+C84*0.1287),0),'5 Testing'!D26)</f>
        <v/>
      </c>
      <c r="E84" s="45">
        <f>IF('5 Testing'!E26="",0.95*D84+IF(D79&gt;0,D79*0.2627/(1+D84*0.1287),0),'5 Testing'!E26)</f>
        <v/>
      </c>
      <c r="F84" s="45">
        <f>IF('5 Testing'!F26="",0.95*E84+IF(E79&gt;0,E79*0.2627/(1+E84*0.1287),0),'5 Testing'!F26)</f>
        <v/>
      </c>
      <c r="G84" s="45">
        <f>IF('5 Testing'!G26="",0.95*F84+IF(F79&gt;0,F79*0.2627/(1+F84*0.1287),0),'5 Testing'!G26)</f>
        <v/>
      </c>
      <c r="H84" s="45">
        <f>IF('5 Testing'!H26="",0.95*G84+IF(G79&gt;0,G79*0.2627/(1+G84*0.1287),0),'5 Testing'!H26)</f>
        <v/>
      </c>
      <c r="I84" s="45">
        <f>IF('5 Testing'!I26="",0.95*H84+IF(H79&gt;0,H79*0.2627/(1+H84*0.1287),0),'5 Testing'!I26)</f>
        <v/>
      </c>
      <c r="J84" s="45">
        <f>IF('5 Testing'!J26="",0.95*I84+IF(I79&gt;0,I79*0.2627/(1+I84*0.1287),0),'5 Testing'!J26)</f>
        <v/>
      </c>
      <c r="K84" s="45">
        <f>IF('5 Testing'!K26="",0.95*J84+IF(J79&gt;0,J79*0.2627/(1+J84*0.1287),0),'5 Testing'!K26)</f>
        <v/>
      </c>
      <c r="L84" s="45">
        <f>IF('5 Testing'!L26="",0.95*K84+IF(K79&gt;0,K79*0.2627/(1+K84*0.1287),0),'5 Testing'!L26)</f>
        <v/>
      </c>
      <c r="M84" s="45">
        <f>IF('5 Testing'!M26="",0.95*L84+IF(L79&gt;0,L79*0.2627/(1+L84*0.1287),0),'5 Testing'!M26)</f>
        <v/>
      </c>
      <c r="N84" s="45">
        <f>IF('5 Testing'!N26="",0.95*M84+IF(M79&gt;0,M79*0.2627/(1+M84*0.1287),0),'5 Testing'!N26)</f>
        <v/>
      </c>
      <c r="O84" s="45">
        <f>IF('5 Testing'!O26="",0.95*N84+IF(N79&gt;0,N79*0.2627/(1+N84*0.1287),0),'5 Testing'!O26)</f>
        <v/>
      </c>
      <c r="P84" s="45">
        <f>IF('5 Testing'!P26="",0.95*O84+IF(O79&gt;0,O79*0.2627/(1+O84*0.1287),0),'5 Testing'!P26)</f>
        <v/>
      </c>
      <c r="Q84" s="45">
        <f>IF('5 Testing'!Q26="",0.95*P84+IF(P79&gt;0,P79*0.2627/(1+P84*0.1287),0),'5 Testing'!Q26)</f>
        <v/>
      </c>
      <c r="R84" s="45">
        <f>IF('5 Testing'!R26="",0.95*Q84+IF(Q79&gt;0,Q79*0.2627/(1+Q84*0.1287),0),'5 Testing'!R26)</f>
        <v/>
      </c>
      <c r="S84" s="45">
        <f>IF('5 Testing'!S26="",0.95*R84+IF(R79&gt;0,R79*0.2627/(1+R84*0.1287),0),'5 Testing'!S26)</f>
        <v/>
      </c>
    </row>
    <row r="85" ht="14.25" customHeight="1" s="267">
      <c r="A85" s="45" t="inlineStr">
        <is>
          <t>Acceleration</t>
        </is>
      </c>
      <c r="B85" s="45">
        <f>'5 Testing'!B27</f>
        <v/>
      </c>
      <c r="C85" s="45">
        <f>IF('5 Testing'!C27="",0.95*B85+IF(B80&gt;0,B80*0.2627/(1+B85*0.1287),0),'5 Testing'!C27)</f>
        <v/>
      </c>
      <c r="D85" s="45">
        <f>IF('5 Testing'!D27="",0.95*C85+IF(C80&gt;0,C80*0.2627/(1+C85*0.1287),0),'5 Testing'!D27)</f>
        <v/>
      </c>
      <c r="E85" s="45">
        <f>IF('5 Testing'!E27="",0.95*D85+IF(D80&gt;0,D80*0.2627/(1+D85*0.1287),0),'5 Testing'!E27)</f>
        <v/>
      </c>
      <c r="F85" s="45">
        <f>IF('5 Testing'!F27="",0.95*E85+IF(E80&gt;0,E80*0.2627/(1+E85*0.1287),0),'5 Testing'!F27)</f>
        <v/>
      </c>
      <c r="G85" s="45">
        <f>IF('5 Testing'!G27="",0.95*F85+IF(F80&gt;0,F80*0.2627/(1+F85*0.1287),0),'5 Testing'!G27)</f>
        <v/>
      </c>
      <c r="H85" s="45">
        <f>IF('5 Testing'!H27="",0.95*G85+IF(G80&gt;0,G80*0.2627/(1+G85*0.1287),0),'5 Testing'!H27)</f>
        <v/>
      </c>
      <c r="I85" s="45">
        <f>IF('5 Testing'!I27="",0.95*H85+IF(H80&gt;0,H80*0.2627/(1+H85*0.1287),0),'5 Testing'!I27)</f>
        <v/>
      </c>
      <c r="J85" s="45">
        <f>IF('5 Testing'!J27="",0.95*I85+IF(I80&gt;0,I80*0.2627/(1+I85*0.1287),0),'5 Testing'!J27)</f>
        <v/>
      </c>
      <c r="K85" s="45">
        <f>IF('5 Testing'!K27="",0.95*J85+IF(J80&gt;0,J80*0.2627/(1+J85*0.1287),0),'5 Testing'!K27)</f>
        <v/>
      </c>
      <c r="L85" s="45">
        <f>IF('5 Testing'!L27="",0.95*K85+IF(K80&gt;0,K80*0.2627/(1+K85*0.1287),0),'5 Testing'!L27)</f>
        <v/>
      </c>
      <c r="M85" s="45">
        <f>IF('5 Testing'!M27="",0.95*L85+IF(L80&gt;0,L80*0.2627/(1+L85*0.1287),0),'5 Testing'!M27)</f>
        <v/>
      </c>
      <c r="N85" s="45">
        <f>IF('5 Testing'!N27="",0.95*M85+IF(M80&gt;0,M80*0.2627/(1+M85*0.1287),0),'5 Testing'!N27)</f>
        <v/>
      </c>
      <c r="O85" s="45">
        <f>IF('5 Testing'!O27="",0.95*N85+IF(N80&gt;0,N80*0.2627/(1+N85*0.1287),0),'5 Testing'!O27)</f>
        <v/>
      </c>
      <c r="P85" s="45">
        <f>IF('5 Testing'!P27="",0.95*O85+IF(O80&gt;0,O80*0.2627/(1+O85*0.1287),0),'5 Testing'!P27)</f>
        <v/>
      </c>
      <c r="Q85" s="45">
        <f>IF('5 Testing'!Q27="",0.95*P85+IF(P80&gt;0,P80*0.2627/(1+P85*0.1287),0),'5 Testing'!Q27)</f>
        <v/>
      </c>
      <c r="R85" s="45">
        <f>IF('5 Testing'!R27="",0.95*Q85+IF(Q80&gt;0,Q80*0.2627/(1+Q85*0.1287),0),'5 Testing'!R27)</f>
        <v/>
      </c>
      <c r="S85" s="45">
        <f>IF('5 Testing'!S27="",0.95*R85+IF(R80&gt;0,R80*0.2627/(1+R85*0.1287),0),'5 Testing'!S27)</f>
        <v/>
      </c>
    </row>
    <row r="86" ht="14.25" customHeight="1" s="267">
      <c r="A86" s="45" t="n"/>
      <c r="B86" s="45" t="n"/>
      <c r="C86" s="45" t="n"/>
      <c r="D86" s="45" t="n"/>
      <c r="E86" s="45" t="n"/>
      <c r="F86" s="45" t="n"/>
      <c r="G86" s="45" t="n"/>
      <c r="H86" s="45" t="n"/>
      <c r="I86" s="45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</row>
    <row r="87" ht="14.25" customHeight="1" s="267">
      <c r="A87" s="234" t="inlineStr">
        <is>
          <t>Downgrades</t>
        </is>
      </c>
      <c r="B87" s="45" t="n"/>
      <c r="C87" s="45" t="n"/>
      <c r="D87" s="45" t="n"/>
      <c r="E87" s="45" t="n"/>
      <c r="F87" s="45" t="n"/>
      <c r="G87" s="45" t="n"/>
      <c r="H87" s="45" t="n"/>
      <c r="I87" s="45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</row>
    <row r="88" ht="14.25" customHeight="1" s="267">
      <c r="A88" s="45" t="inlineStr">
        <is>
          <t>Chassis</t>
        </is>
      </c>
      <c r="B88" s="45" t="n"/>
      <c r="C88" s="45">
        <f>IF(LEFT('10 Calculated Part Data'!C5,9)="Downgrade",'10 Calculated Part Data'!C18-'10 Calculated Part Data'!B18,"")</f>
        <v/>
      </c>
      <c r="D88" s="45">
        <f>IF(LEFT('10 Calculated Part Data'!D5,9)="Downgrade",'10 Calculated Part Data'!D18-'10 Calculated Part Data'!C18,"")</f>
        <v/>
      </c>
      <c r="E88" s="45">
        <f>IF(LEFT('10 Calculated Part Data'!E5,9)="Downgrade",'10 Calculated Part Data'!E18-'10 Calculated Part Data'!D18,"")</f>
        <v/>
      </c>
      <c r="F88" s="45">
        <f>IF(LEFT('10 Calculated Part Data'!F5,9)="Downgrade",'10 Calculated Part Data'!F18-'10 Calculated Part Data'!E18,"")</f>
        <v/>
      </c>
      <c r="G88" s="45">
        <f>IF(LEFT('10 Calculated Part Data'!G5,9)="Downgrade",'10 Calculated Part Data'!G18-'10 Calculated Part Data'!F18,"")</f>
        <v/>
      </c>
      <c r="H88" s="45">
        <f>IF(LEFT('10 Calculated Part Data'!H5,9)="Downgrade",'10 Calculated Part Data'!H18-'10 Calculated Part Data'!G18,"")</f>
        <v/>
      </c>
      <c r="I88" s="45">
        <f>IF(LEFT('10 Calculated Part Data'!I5,9)="Downgrade",'10 Calculated Part Data'!I18-'10 Calculated Part Data'!H18,"")</f>
        <v/>
      </c>
      <c r="J88" s="45">
        <f>IF(LEFT('10 Calculated Part Data'!J5,9)="Downgrade",'10 Calculated Part Data'!J18-'10 Calculated Part Data'!I18,"")</f>
        <v/>
      </c>
      <c r="K88" s="45">
        <f>IF(LEFT('10 Calculated Part Data'!K5,9)="Downgrade",'10 Calculated Part Data'!K18-'10 Calculated Part Data'!J18,"")</f>
        <v/>
      </c>
      <c r="L88" s="45">
        <f>IF(LEFT('10 Calculated Part Data'!L5,9)="Downgrade",'10 Calculated Part Data'!L18-'10 Calculated Part Data'!K18,"")</f>
        <v/>
      </c>
      <c r="M88" s="45">
        <f>IF(LEFT('10 Calculated Part Data'!M5,9)="Downgrade",'10 Calculated Part Data'!M18-'10 Calculated Part Data'!L18,"")</f>
        <v/>
      </c>
      <c r="N88" s="45">
        <f>IF(LEFT('10 Calculated Part Data'!N5,9)="Downgrade",'10 Calculated Part Data'!N18-'10 Calculated Part Data'!M18,"")</f>
        <v/>
      </c>
      <c r="O88" s="45">
        <f>IF(LEFT('10 Calculated Part Data'!O5,9)="Downgrade",'10 Calculated Part Data'!O18-'10 Calculated Part Data'!N18,"")</f>
        <v/>
      </c>
      <c r="P88" s="45">
        <f>IF(LEFT('10 Calculated Part Data'!P5,9)="Downgrade",'10 Calculated Part Data'!P18-'10 Calculated Part Data'!O18,"")</f>
        <v/>
      </c>
      <c r="Q88" s="45">
        <f>IF(LEFT('10 Calculated Part Data'!Q5,9)="Downgrade",'10 Calculated Part Data'!Q18-'10 Calculated Part Data'!P18,"")</f>
        <v/>
      </c>
      <c r="R88" s="45">
        <f>IF(LEFT('10 Calculated Part Data'!R5,9)="Downgrade",'10 Calculated Part Data'!R18-'10 Calculated Part Data'!Q18,"")</f>
        <v/>
      </c>
      <c r="S88" s="45" t="n"/>
    </row>
    <row r="89" ht="14.25" customHeight="1" s="267">
      <c r="A89" s="45" t="inlineStr">
        <is>
          <t>Engine</t>
        </is>
      </c>
      <c r="B89" s="45" t="n"/>
      <c r="C89" s="45">
        <f>IF(LEFT('10 Calculated Part Data'!C6,9)="Downgrade",'10 Calculated Part Data'!C19-'10 Calculated Part Data'!B19,"")</f>
        <v/>
      </c>
      <c r="D89" s="45">
        <f>IF(LEFT('10 Calculated Part Data'!D6,9)="Downgrade",'10 Calculated Part Data'!D19-'10 Calculated Part Data'!C19,"")</f>
        <v/>
      </c>
      <c r="E89" s="45">
        <f>IF(LEFT('10 Calculated Part Data'!E6,9)="Downgrade",'10 Calculated Part Data'!E19-'10 Calculated Part Data'!D19,"")</f>
        <v/>
      </c>
      <c r="F89" s="45">
        <f>IF(LEFT('10 Calculated Part Data'!F6,9)="Downgrade",'10 Calculated Part Data'!F19-'10 Calculated Part Data'!E19,"")</f>
        <v/>
      </c>
      <c r="G89" s="45">
        <f>IF(LEFT('10 Calculated Part Data'!G6,9)="Downgrade",'10 Calculated Part Data'!G19-'10 Calculated Part Data'!F19,"")</f>
        <v/>
      </c>
      <c r="H89" s="45">
        <f>IF(LEFT('10 Calculated Part Data'!H6,9)="Downgrade",'10 Calculated Part Data'!H19-'10 Calculated Part Data'!G19,"")</f>
        <v/>
      </c>
      <c r="I89" s="45">
        <f>IF(LEFT('10 Calculated Part Data'!I6,9)="Downgrade",'10 Calculated Part Data'!I19-'10 Calculated Part Data'!H19,"")</f>
        <v/>
      </c>
      <c r="J89" s="45">
        <f>IF(LEFT('10 Calculated Part Data'!J6,9)="Downgrade",'10 Calculated Part Data'!J19-'10 Calculated Part Data'!I19,"")</f>
        <v/>
      </c>
      <c r="K89" s="45">
        <f>IF(LEFT('10 Calculated Part Data'!K6,9)="Downgrade",'10 Calculated Part Data'!K19-'10 Calculated Part Data'!J19,"")</f>
        <v/>
      </c>
      <c r="L89" s="45">
        <f>IF(LEFT('10 Calculated Part Data'!L6,9)="Downgrade",'10 Calculated Part Data'!L19-'10 Calculated Part Data'!K19,"")</f>
        <v/>
      </c>
      <c r="M89" s="45">
        <f>IF(LEFT('10 Calculated Part Data'!M6,9)="Downgrade",'10 Calculated Part Data'!M19-'10 Calculated Part Data'!L19,"")</f>
        <v/>
      </c>
      <c r="N89" s="45">
        <f>IF(LEFT('10 Calculated Part Data'!N6,9)="Downgrade",'10 Calculated Part Data'!N19-'10 Calculated Part Data'!M19,"")</f>
        <v/>
      </c>
      <c r="O89" s="45">
        <f>IF(LEFT('10 Calculated Part Data'!O6,9)="Downgrade",'10 Calculated Part Data'!O19-'10 Calculated Part Data'!N19,"")</f>
        <v/>
      </c>
      <c r="P89" s="45">
        <f>IF(LEFT('10 Calculated Part Data'!P6,9)="Downgrade",'10 Calculated Part Data'!P19-'10 Calculated Part Data'!O19,"")</f>
        <v/>
      </c>
      <c r="Q89" s="45">
        <f>IF(LEFT('10 Calculated Part Data'!Q6,9)="Downgrade",'10 Calculated Part Data'!Q19-'10 Calculated Part Data'!P19,"")</f>
        <v/>
      </c>
      <c r="R89" s="45">
        <f>IF(LEFT('10 Calculated Part Data'!R6,9)="Downgrade",'10 Calculated Part Data'!R19-'10 Calculated Part Data'!Q19,"")</f>
        <v/>
      </c>
      <c r="S89" s="45" t="n"/>
    </row>
    <row r="90" ht="14.25" customHeight="1" s="267">
      <c r="A90" s="45" t="inlineStr">
        <is>
          <t>Front Wing</t>
        </is>
      </c>
      <c r="B90" s="45" t="n"/>
      <c r="C90" s="45">
        <f>IF(LEFT('10 Calculated Part Data'!C7,9)="Downgrade",'10 Calculated Part Data'!C20-'10 Calculated Part Data'!B20,"")</f>
        <v/>
      </c>
      <c r="D90" s="45">
        <f>IF(LEFT('10 Calculated Part Data'!D7,9)="Downgrade",'10 Calculated Part Data'!D20-'10 Calculated Part Data'!C20,"")</f>
        <v/>
      </c>
      <c r="E90" s="45">
        <f>IF(LEFT('10 Calculated Part Data'!E7,9)="Downgrade",'10 Calculated Part Data'!E20-'10 Calculated Part Data'!D20,"")</f>
        <v/>
      </c>
      <c r="F90" s="45">
        <f>IF(LEFT('10 Calculated Part Data'!F7,9)="Downgrade",'10 Calculated Part Data'!F20-'10 Calculated Part Data'!E20,"")</f>
        <v/>
      </c>
      <c r="G90" s="45">
        <f>IF(LEFT('10 Calculated Part Data'!G7,9)="Downgrade",'10 Calculated Part Data'!G20-'10 Calculated Part Data'!F20,"")</f>
        <v/>
      </c>
      <c r="H90" s="45">
        <f>IF(LEFT('10 Calculated Part Data'!H7,9)="Downgrade",'10 Calculated Part Data'!H20-'10 Calculated Part Data'!G20,"")</f>
        <v/>
      </c>
      <c r="I90" s="45">
        <f>IF(LEFT('10 Calculated Part Data'!I7,9)="Downgrade",'10 Calculated Part Data'!I20-'10 Calculated Part Data'!H20,"")</f>
        <v/>
      </c>
      <c r="J90" s="45">
        <f>IF(LEFT('10 Calculated Part Data'!J7,9)="Downgrade",'10 Calculated Part Data'!J20-'10 Calculated Part Data'!I20,"")</f>
        <v/>
      </c>
      <c r="K90" s="45">
        <f>IF(LEFT('10 Calculated Part Data'!K7,9)="Downgrade",'10 Calculated Part Data'!K20-'10 Calculated Part Data'!J20,"")</f>
        <v/>
      </c>
      <c r="L90" s="45">
        <f>IF(LEFT('10 Calculated Part Data'!L7,9)="Downgrade",'10 Calculated Part Data'!L20-'10 Calculated Part Data'!K20,"")</f>
        <v/>
      </c>
      <c r="M90" s="45">
        <f>IF(LEFT('10 Calculated Part Data'!M7,9)="Downgrade",'10 Calculated Part Data'!M20-'10 Calculated Part Data'!L20,"")</f>
        <v/>
      </c>
      <c r="N90" s="45">
        <f>IF(LEFT('10 Calculated Part Data'!N7,9)="Downgrade",'10 Calculated Part Data'!N20-'10 Calculated Part Data'!M20,"")</f>
        <v/>
      </c>
      <c r="O90" s="45">
        <f>IF(LEFT('10 Calculated Part Data'!O7,9)="Downgrade",'10 Calculated Part Data'!O20-'10 Calculated Part Data'!N20,"")</f>
        <v/>
      </c>
      <c r="P90" s="45">
        <f>IF(LEFT('10 Calculated Part Data'!P7,9)="Downgrade",'10 Calculated Part Data'!P20-'10 Calculated Part Data'!O20,"")</f>
        <v/>
      </c>
      <c r="Q90" s="45">
        <f>IF(LEFT('10 Calculated Part Data'!Q7,9)="Downgrade",'10 Calculated Part Data'!Q20-'10 Calculated Part Data'!P20,"")</f>
        <v/>
      </c>
      <c r="R90" s="45">
        <f>IF(LEFT('10 Calculated Part Data'!R7,9)="Downgrade",'10 Calculated Part Data'!R20-'10 Calculated Part Data'!Q20,"")</f>
        <v/>
      </c>
      <c r="S90" s="45" t="n"/>
    </row>
    <row r="91" ht="14.25" customHeight="1" s="267">
      <c r="A91" s="45" t="inlineStr">
        <is>
          <t>Rear Wing</t>
        </is>
      </c>
      <c r="B91" s="45" t="n"/>
      <c r="C91" s="45">
        <f>IF(LEFT('10 Calculated Part Data'!C8,9)="Downgrade",'10 Calculated Part Data'!C21-'10 Calculated Part Data'!B21,"")</f>
        <v/>
      </c>
      <c r="D91" s="45">
        <f>IF(LEFT('10 Calculated Part Data'!D8,9)="Downgrade",'10 Calculated Part Data'!D21-'10 Calculated Part Data'!C21,"")</f>
        <v/>
      </c>
      <c r="E91" s="45">
        <f>IF(LEFT('10 Calculated Part Data'!E8,9)="Downgrade",'10 Calculated Part Data'!E21-'10 Calculated Part Data'!D21,"")</f>
        <v/>
      </c>
      <c r="F91" s="45">
        <f>IF(LEFT('10 Calculated Part Data'!F8,9)="Downgrade",'10 Calculated Part Data'!F21-'10 Calculated Part Data'!E21,"")</f>
        <v/>
      </c>
      <c r="G91" s="45">
        <f>IF(LEFT('10 Calculated Part Data'!G8,9)="Downgrade",'10 Calculated Part Data'!G21-'10 Calculated Part Data'!F21,"")</f>
        <v/>
      </c>
      <c r="H91" s="45">
        <f>IF(LEFT('10 Calculated Part Data'!H8,9)="Downgrade",'10 Calculated Part Data'!H21-'10 Calculated Part Data'!G21,"")</f>
        <v/>
      </c>
      <c r="I91" s="45">
        <f>IF(LEFT('10 Calculated Part Data'!I8,9)="Downgrade",'10 Calculated Part Data'!I21-'10 Calculated Part Data'!H21,"")</f>
        <v/>
      </c>
      <c r="J91" s="45">
        <f>IF(LEFT('10 Calculated Part Data'!J8,9)="Downgrade",'10 Calculated Part Data'!J21-'10 Calculated Part Data'!I21,"")</f>
        <v/>
      </c>
      <c r="K91" s="45">
        <f>IF(LEFT('10 Calculated Part Data'!K8,9)="Downgrade",'10 Calculated Part Data'!K21-'10 Calculated Part Data'!J21,"")</f>
        <v/>
      </c>
      <c r="L91" s="45">
        <f>IF(LEFT('10 Calculated Part Data'!L8,9)="Downgrade",'10 Calculated Part Data'!L21-'10 Calculated Part Data'!K21,"")</f>
        <v/>
      </c>
      <c r="M91" s="45">
        <f>IF(LEFT('10 Calculated Part Data'!M8,9)="Downgrade",'10 Calculated Part Data'!M21-'10 Calculated Part Data'!L21,"")</f>
        <v/>
      </c>
      <c r="N91" s="45">
        <f>IF(LEFT('10 Calculated Part Data'!N8,9)="Downgrade",'10 Calculated Part Data'!N21-'10 Calculated Part Data'!M21,"")</f>
        <v/>
      </c>
      <c r="O91" s="45">
        <f>IF(LEFT('10 Calculated Part Data'!O8,9)="Downgrade",'10 Calculated Part Data'!O21-'10 Calculated Part Data'!N21,"")</f>
        <v/>
      </c>
      <c r="P91" s="45">
        <f>IF(LEFT('10 Calculated Part Data'!P8,9)="Downgrade",'10 Calculated Part Data'!P21-'10 Calculated Part Data'!O21,"")</f>
        <v/>
      </c>
      <c r="Q91" s="45">
        <f>IF(LEFT('10 Calculated Part Data'!Q8,9)="Downgrade",'10 Calculated Part Data'!Q21-'10 Calculated Part Data'!P21,"")</f>
        <v/>
      </c>
      <c r="R91" s="45">
        <f>IF(LEFT('10 Calculated Part Data'!R8,9)="Downgrade",'10 Calculated Part Data'!R21-'10 Calculated Part Data'!Q21,"")</f>
        <v/>
      </c>
      <c r="S91" s="45" t="n"/>
    </row>
    <row r="92" ht="14.25" customHeight="1" s="267">
      <c r="A92" s="45" t="inlineStr">
        <is>
          <t>Underbody</t>
        </is>
      </c>
      <c r="B92" s="45" t="n"/>
      <c r="C92" s="45">
        <f>IF(LEFT('10 Calculated Part Data'!C9,9)="Downgrade",'10 Calculated Part Data'!C22-'10 Calculated Part Data'!B22,"")</f>
        <v/>
      </c>
      <c r="D92" s="45">
        <f>IF(LEFT('10 Calculated Part Data'!D9,9)="Downgrade",'10 Calculated Part Data'!D22-'10 Calculated Part Data'!C22,"")</f>
        <v/>
      </c>
      <c r="E92" s="45">
        <f>IF(LEFT('10 Calculated Part Data'!E9,9)="Downgrade",'10 Calculated Part Data'!E22-'10 Calculated Part Data'!D22,"")</f>
        <v/>
      </c>
      <c r="F92" s="45">
        <f>IF(LEFT('10 Calculated Part Data'!F9,9)="Downgrade",'10 Calculated Part Data'!F22-'10 Calculated Part Data'!E22,"")</f>
        <v/>
      </c>
      <c r="G92" s="45">
        <f>IF(LEFT('10 Calculated Part Data'!G9,9)="Downgrade",'10 Calculated Part Data'!G22-'10 Calculated Part Data'!F22,"")</f>
        <v/>
      </c>
      <c r="H92" s="45">
        <f>IF(LEFT('10 Calculated Part Data'!H9,9)="Downgrade",'10 Calculated Part Data'!H22-'10 Calculated Part Data'!G22,"")</f>
        <v/>
      </c>
      <c r="I92" s="45">
        <f>IF(LEFT('10 Calculated Part Data'!I9,9)="Downgrade",'10 Calculated Part Data'!I22-'10 Calculated Part Data'!H22,"")</f>
        <v/>
      </c>
      <c r="J92" s="45">
        <f>IF(LEFT('10 Calculated Part Data'!J9,9)="Downgrade",'10 Calculated Part Data'!J22-'10 Calculated Part Data'!I22,"")</f>
        <v/>
      </c>
      <c r="K92" s="45">
        <f>IF(LEFT('10 Calculated Part Data'!K9,9)="Downgrade",'10 Calculated Part Data'!K22-'10 Calculated Part Data'!J22,"")</f>
        <v/>
      </c>
      <c r="L92" s="45">
        <f>IF(LEFT('10 Calculated Part Data'!L9,9)="Downgrade",'10 Calculated Part Data'!L22-'10 Calculated Part Data'!K22,"")</f>
        <v/>
      </c>
      <c r="M92" s="45">
        <f>IF(LEFT('10 Calculated Part Data'!M9,9)="Downgrade",'10 Calculated Part Data'!M22-'10 Calculated Part Data'!L22,"")</f>
        <v/>
      </c>
      <c r="N92" s="45">
        <f>IF(LEFT('10 Calculated Part Data'!N9,9)="Downgrade",'10 Calculated Part Data'!N22-'10 Calculated Part Data'!M22,"")</f>
        <v/>
      </c>
      <c r="O92" s="45">
        <f>IF(LEFT('10 Calculated Part Data'!O9,9)="Downgrade",'10 Calculated Part Data'!O22-'10 Calculated Part Data'!N22,"")</f>
        <v/>
      </c>
      <c r="P92" s="45">
        <f>IF(LEFT('10 Calculated Part Data'!P9,9)="Downgrade",'10 Calculated Part Data'!P22-'10 Calculated Part Data'!O22,"")</f>
        <v/>
      </c>
      <c r="Q92" s="45">
        <f>IF(LEFT('10 Calculated Part Data'!Q9,9)="Downgrade",'10 Calculated Part Data'!Q22-'10 Calculated Part Data'!P22,"")</f>
        <v/>
      </c>
      <c r="R92" s="45">
        <f>IF(LEFT('10 Calculated Part Data'!R9,9)="Downgrade",'10 Calculated Part Data'!R22-'10 Calculated Part Data'!Q22,"")</f>
        <v/>
      </c>
      <c r="S92" s="45" t="n"/>
    </row>
    <row r="93" ht="14.25" customHeight="1" s="267">
      <c r="A93" s="45" t="inlineStr">
        <is>
          <t>Sidepods</t>
        </is>
      </c>
      <c r="B93" s="45" t="n"/>
      <c r="C93" s="45">
        <f>IF(LEFT('10 Calculated Part Data'!C10,9)="Downgrade",'10 Calculated Part Data'!C23-'10 Calculated Part Data'!B23,"")</f>
        <v/>
      </c>
      <c r="D93" s="45">
        <f>IF(LEFT('10 Calculated Part Data'!D10,9)="Downgrade",'10 Calculated Part Data'!D23-'10 Calculated Part Data'!C23,"")</f>
        <v/>
      </c>
      <c r="E93" s="45">
        <f>IF(LEFT('10 Calculated Part Data'!E10,9)="Downgrade",'10 Calculated Part Data'!E23-'10 Calculated Part Data'!D23,"")</f>
        <v/>
      </c>
      <c r="F93" s="45">
        <f>IF(LEFT('10 Calculated Part Data'!F10,9)="Downgrade",'10 Calculated Part Data'!F23-'10 Calculated Part Data'!E23,"")</f>
        <v/>
      </c>
      <c r="G93" s="45">
        <f>IF(LEFT('10 Calculated Part Data'!G10,9)="Downgrade",'10 Calculated Part Data'!G23-'10 Calculated Part Data'!F23,"")</f>
        <v/>
      </c>
      <c r="H93" s="45">
        <f>IF(LEFT('10 Calculated Part Data'!H10,9)="Downgrade",'10 Calculated Part Data'!H23-'10 Calculated Part Data'!G23,"")</f>
        <v/>
      </c>
      <c r="I93" s="45">
        <f>IF(LEFT('10 Calculated Part Data'!I10,9)="Downgrade",'10 Calculated Part Data'!I23-'10 Calculated Part Data'!H23,"")</f>
        <v/>
      </c>
      <c r="J93" s="45">
        <f>IF(LEFT('10 Calculated Part Data'!J10,9)="Downgrade",'10 Calculated Part Data'!J23-'10 Calculated Part Data'!I23,"")</f>
        <v/>
      </c>
      <c r="K93" s="45">
        <f>IF(LEFT('10 Calculated Part Data'!K10,9)="Downgrade",'10 Calculated Part Data'!K23-'10 Calculated Part Data'!J23,"")</f>
        <v/>
      </c>
      <c r="L93" s="45">
        <f>IF(LEFT('10 Calculated Part Data'!L10,9)="Downgrade",'10 Calculated Part Data'!L23-'10 Calculated Part Data'!K23,"")</f>
        <v/>
      </c>
      <c r="M93" s="45">
        <f>IF(LEFT('10 Calculated Part Data'!M10,9)="Downgrade",'10 Calculated Part Data'!M23-'10 Calculated Part Data'!L23,"")</f>
        <v/>
      </c>
      <c r="N93" s="45">
        <f>IF(LEFT('10 Calculated Part Data'!N10,9)="Downgrade",'10 Calculated Part Data'!N23-'10 Calculated Part Data'!M23,"")</f>
        <v/>
      </c>
      <c r="O93" s="45">
        <f>IF(LEFT('10 Calculated Part Data'!O10,9)="Downgrade",'10 Calculated Part Data'!O23-'10 Calculated Part Data'!N23,"")</f>
        <v/>
      </c>
      <c r="P93" s="45">
        <f>IF(LEFT('10 Calculated Part Data'!P10,9)="Downgrade",'10 Calculated Part Data'!P23-'10 Calculated Part Data'!O23,"")</f>
        <v/>
      </c>
      <c r="Q93" s="45">
        <f>IF(LEFT('10 Calculated Part Data'!Q10,9)="Downgrade",'10 Calculated Part Data'!Q23-'10 Calculated Part Data'!P23,"")</f>
        <v/>
      </c>
      <c r="R93" s="45">
        <f>IF(LEFT('10 Calculated Part Data'!R10,9)="Downgrade",'10 Calculated Part Data'!R23-'10 Calculated Part Data'!Q23,"")</f>
        <v/>
      </c>
      <c r="S93" s="45" t="n"/>
    </row>
    <row r="94" ht="14.25" customHeight="1" s="267">
      <c r="A94" s="45" t="inlineStr">
        <is>
          <t>Cooling</t>
        </is>
      </c>
      <c r="B94" s="45" t="n"/>
      <c r="C94" s="45">
        <f>IF(LEFT('10 Calculated Part Data'!C11,9)="Downgrade",'10 Calculated Part Data'!C24-'10 Calculated Part Data'!B24,"")</f>
        <v/>
      </c>
      <c r="D94" s="45">
        <f>IF(LEFT('10 Calculated Part Data'!D11,9)="Downgrade",'10 Calculated Part Data'!D24-'10 Calculated Part Data'!C24,"")</f>
        <v/>
      </c>
      <c r="E94" s="45">
        <f>IF(LEFT('10 Calculated Part Data'!E11,9)="Downgrade",'10 Calculated Part Data'!E24-'10 Calculated Part Data'!D24,"")</f>
        <v/>
      </c>
      <c r="F94" s="45">
        <f>IF(LEFT('10 Calculated Part Data'!F11,9)="Downgrade",'10 Calculated Part Data'!F24-'10 Calculated Part Data'!E24,"")</f>
        <v/>
      </c>
      <c r="G94" s="45">
        <f>IF(LEFT('10 Calculated Part Data'!G11,9)="Downgrade",'10 Calculated Part Data'!G24-'10 Calculated Part Data'!F24,"")</f>
        <v/>
      </c>
      <c r="H94" s="45">
        <f>IF(LEFT('10 Calculated Part Data'!H11,9)="Downgrade",'10 Calculated Part Data'!H24-'10 Calculated Part Data'!G24,"")</f>
        <v/>
      </c>
      <c r="I94" s="45">
        <f>IF(LEFT('10 Calculated Part Data'!I11,9)="Downgrade",'10 Calculated Part Data'!I24-'10 Calculated Part Data'!H24,"")</f>
        <v/>
      </c>
      <c r="J94" s="45">
        <f>IF(LEFT('10 Calculated Part Data'!J11,9)="Downgrade",'10 Calculated Part Data'!J24-'10 Calculated Part Data'!I24,"")</f>
        <v/>
      </c>
      <c r="K94" s="45">
        <f>IF(LEFT('10 Calculated Part Data'!K11,9)="Downgrade",'10 Calculated Part Data'!K24-'10 Calculated Part Data'!J24,"")</f>
        <v/>
      </c>
      <c r="L94" s="45">
        <f>IF(LEFT('10 Calculated Part Data'!L11,9)="Downgrade",'10 Calculated Part Data'!L24-'10 Calculated Part Data'!K24,"")</f>
        <v/>
      </c>
      <c r="M94" s="45">
        <f>IF(LEFT('10 Calculated Part Data'!M11,9)="Downgrade",'10 Calculated Part Data'!M24-'10 Calculated Part Data'!L24,"")</f>
        <v/>
      </c>
      <c r="N94" s="45">
        <f>IF(LEFT('10 Calculated Part Data'!N11,9)="Downgrade",'10 Calculated Part Data'!N24-'10 Calculated Part Data'!M24,"")</f>
        <v/>
      </c>
      <c r="O94" s="45">
        <f>IF(LEFT('10 Calculated Part Data'!O11,9)="Downgrade",'10 Calculated Part Data'!O24-'10 Calculated Part Data'!N24,"")</f>
        <v/>
      </c>
      <c r="P94" s="45">
        <f>IF(LEFT('10 Calculated Part Data'!P11,9)="Downgrade",'10 Calculated Part Data'!P24-'10 Calculated Part Data'!O24,"")</f>
        <v/>
      </c>
      <c r="Q94" s="45">
        <f>IF(LEFT('10 Calculated Part Data'!Q11,9)="Downgrade",'10 Calculated Part Data'!Q24-'10 Calculated Part Data'!P24,"")</f>
        <v/>
      </c>
      <c r="R94" s="45">
        <f>IF(LEFT('10 Calculated Part Data'!R11,9)="Downgrade",'10 Calculated Part Data'!R24-'10 Calculated Part Data'!Q24,"")</f>
        <v/>
      </c>
      <c r="S94" s="45" t="n"/>
    </row>
    <row r="95" ht="14.25" customHeight="1" s="267">
      <c r="A95" s="45" t="inlineStr">
        <is>
          <t>Gearbox</t>
        </is>
      </c>
      <c r="B95" s="45" t="n"/>
      <c r="C95" s="45">
        <f>IF(LEFT('10 Calculated Part Data'!C12,9)="Downgrade",'10 Calculated Part Data'!C25-'10 Calculated Part Data'!B25,"")</f>
        <v/>
      </c>
      <c r="D95" s="45">
        <f>IF(LEFT('10 Calculated Part Data'!D12,9)="Downgrade",'10 Calculated Part Data'!D25-'10 Calculated Part Data'!C25,"")</f>
        <v/>
      </c>
      <c r="E95" s="45">
        <f>IF(LEFT('10 Calculated Part Data'!E12,9)="Downgrade",'10 Calculated Part Data'!E25-'10 Calculated Part Data'!D25,"")</f>
        <v/>
      </c>
      <c r="F95" s="45">
        <f>IF(LEFT('10 Calculated Part Data'!F12,9)="Downgrade",'10 Calculated Part Data'!F25-'10 Calculated Part Data'!E25,"")</f>
        <v/>
      </c>
      <c r="G95" s="45">
        <f>IF(LEFT('10 Calculated Part Data'!G12,9)="Downgrade",'10 Calculated Part Data'!G25-'10 Calculated Part Data'!F25,"")</f>
        <v/>
      </c>
      <c r="H95" s="45">
        <f>IF(LEFT('10 Calculated Part Data'!H12,9)="Downgrade",'10 Calculated Part Data'!H25-'10 Calculated Part Data'!G25,"")</f>
        <v/>
      </c>
      <c r="I95" s="45">
        <f>IF(LEFT('10 Calculated Part Data'!I12,9)="Downgrade",'10 Calculated Part Data'!I25-'10 Calculated Part Data'!H25,"")</f>
        <v/>
      </c>
      <c r="J95" s="45">
        <f>IF(LEFT('10 Calculated Part Data'!J12,9)="Downgrade",'10 Calculated Part Data'!J25-'10 Calculated Part Data'!I25,"")</f>
        <v/>
      </c>
      <c r="K95" s="45">
        <f>IF(LEFT('10 Calculated Part Data'!K12,9)="Downgrade",'10 Calculated Part Data'!K25-'10 Calculated Part Data'!J25,"")</f>
        <v/>
      </c>
      <c r="L95" s="45">
        <f>IF(LEFT('10 Calculated Part Data'!L12,9)="Downgrade",'10 Calculated Part Data'!L25-'10 Calculated Part Data'!K25,"")</f>
        <v/>
      </c>
      <c r="M95" s="45">
        <f>IF(LEFT('10 Calculated Part Data'!M12,9)="Downgrade",'10 Calculated Part Data'!M25-'10 Calculated Part Data'!L25,"")</f>
        <v/>
      </c>
      <c r="N95" s="45">
        <f>IF(LEFT('10 Calculated Part Data'!N12,9)="Downgrade",'10 Calculated Part Data'!N25-'10 Calculated Part Data'!M25,"")</f>
        <v/>
      </c>
      <c r="O95" s="45">
        <f>IF(LEFT('10 Calculated Part Data'!O12,9)="Downgrade",'10 Calculated Part Data'!O25-'10 Calculated Part Data'!N25,"")</f>
        <v/>
      </c>
      <c r="P95" s="45">
        <f>IF(LEFT('10 Calculated Part Data'!P12,9)="Downgrade",'10 Calculated Part Data'!P25-'10 Calculated Part Data'!O25,"")</f>
        <v/>
      </c>
      <c r="Q95" s="45">
        <f>IF(LEFT('10 Calculated Part Data'!Q12,9)="Downgrade",'10 Calculated Part Data'!Q25-'10 Calculated Part Data'!P25,"")</f>
        <v/>
      </c>
      <c r="R95" s="45">
        <f>IF(LEFT('10 Calculated Part Data'!R12,9)="Downgrade",'10 Calculated Part Data'!R25-'10 Calculated Part Data'!Q25,"")</f>
        <v/>
      </c>
      <c r="S95" s="45" t="n"/>
    </row>
    <row r="96" ht="14.25" customHeight="1" s="267">
      <c r="A96" s="45" t="inlineStr">
        <is>
          <t>Brakes</t>
        </is>
      </c>
      <c r="B96" s="45" t="n"/>
      <c r="C96" s="45">
        <f>IF(LEFT('10 Calculated Part Data'!C13,9)="Downgrade",'10 Calculated Part Data'!C26-'10 Calculated Part Data'!B26,"")</f>
        <v/>
      </c>
      <c r="D96" s="45">
        <f>IF(LEFT('10 Calculated Part Data'!D13,9)="Downgrade",'10 Calculated Part Data'!D26-'10 Calculated Part Data'!C26,"")</f>
        <v/>
      </c>
      <c r="E96" s="45">
        <f>IF(LEFT('10 Calculated Part Data'!E13,9)="Downgrade",'10 Calculated Part Data'!E26-'10 Calculated Part Data'!D26,"")</f>
        <v/>
      </c>
      <c r="F96" s="45">
        <f>IF(LEFT('10 Calculated Part Data'!F13,9)="Downgrade",'10 Calculated Part Data'!F26-'10 Calculated Part Data'!E26,"")</f>
        <v/>
      </c>
      <c r="G96" s="45">
        <f>IF(LEFT('10 Calculated Part Data'!G13,9)="Downgrade",'10 Calculated Part Data'!G26-'10 Calculated Part Data'!F26,"")</f>
        <v/>
      </c>
      <c r="H96" s="45">
        <f>IF(LEFT('10 Calculated Part Data'!H13,9)="Downgrade",'10 Calculated Part Data'!H26-'10 Calculated Part Data'!G26,"")</f>
        <v/>
      </c>
      <c r="I96" s="45">
        <f>IF(LEFT('10 Calculated Part Data'!I13,9)="Downgrade",'10 Calculated Part Data'!I26-'10 Calculated Part Data'!H26,"")</f>
        <v/>
      </c>
      <c r="J96" s="45">
        <f>IF(LEFT('10 Calculated Part Data'!J13,9)="Downgrade",'10 Calculated Part Data'!J26-'10 Calculated Part Data'!I26,"")</f>
        <v/>
      </c>
      <c r="K96" s="45">
        <f>IF(LEFT('10 Calculated Part Data'!K13,9)="Downgrade",'10 Calculated Part Data'!K26-'10 Calculated Part Data'!J26,"")</f>
        <v/>
      </c>
      <c r="L96" s="45">
        <f>IF(LEFT('10 Calculated Part Data'!L13,9)="Downgrade",'10 Calculated Part Data'!L26-'10 Calculated Part Data'!K26,"")</f>
        <v/>
      </c>
      <c r="M96" s="45">
        <f>IF(LEFT('10 Calculated Part Data'!M13,9)="Downgrade",'10 Calculated Part Data'!M26-'10 Calculated Part Data'!L26,"")</f>
        <v/>
      </c>
      <c r="N96" s="45">
        <f>IF(LEFT('10 Calculated Part Data'!N13,9)="Downgrade",'10 Calculated Part Data'!N26-'10 Calculated Part Data'!M26,"")</f>
        <v/>
      </c>
      <c r="O96" s="45">
        <f>IF(LEFT('10 Calculated Part Data'!O13,9)="Downgrade",'10 Calculated Part Data'!O26-'10 Calculated Part Data'!N26,"")</f>
        <v/>
      </c>
      <c r="P96" s="45">
        <f>IF(LEFT('10 Calculated Part Data'!P13,9)="Downgrade",'10 Calculated Part Data'!P26-'10 Calculated Part Data'!O26,"")</f>
        <v/>
      </c>
      <c r="Q96" s="45">
        <f>IF(LEFT('10 Calculated Part Data'!Q13,9)="Downgrade",'10 Calculated Part Data'!Q26-'10 Calculated Part Data'!P26,"")</f>
        <v/>
      </c>
      <c r="R96" s="45">
        <f>IF(LEFT('10 Calculated Part Data'!R13,9)="Downgrade",'10 Calculated Part Data'!R26-'10 Calculated Part Data'!Q26,"")</f>
        <v/>
      </c>
      <c r="S96" s="45" t="n"/>
    </row>
    <row r="97" ht="14.25" customHeight="1" s="267">
      <c r="A97" s="45" t="inlineStr">
        <is>
          <t>Suspension</t>
        </is>
      </c>
      <c r="B97" s="45" t="n"/>
      <c r="C97" s="45">
        <f>IF(LEFT('10 Calculated Part Data'!C14,9)="Downgrade",'10 Calculated Part Data'!C27-'10 Calculated Part Data'!B27,"")</f>
        <v/>
      </c>
      <c r="D97" s="45">
        <f>IF(LEFT('10 Calculated Part Data'!D14,9)="Downgrade",'10 Calculated Part Data'!D27-'10 Calculated Part Data'!C27,"")</f>
        <v/>
      </c>
      <c r="E97" s="45">
        <f>IF(LEFT('10 Calculated Part Data'!E14,9)="Downgrade",'10 Calculated Part Data'!E27-'10 Calculated Part Data'!D27,"")</f>
        <v/>
      </c>
      <c r="F97" s="45">
        <f>IF(LEFT('10 Calculated Part Data'!F14,9)="Downgrade",'10 Calculated Part Data'!F27-'10 Calculated Part Data'!E27,"")</f>
        <v/>
      </c>
      <c r="G97" s="45">
        <f>IF(LEFT('10 Calculated Part Data'!G14,9)="Downgrade",'10 Calculated Part Data'!G27-'10 Calculated Part Data'!F27,"")</f>
        <v/>
      </c>
      <c r="H97" s="45">
        <f>IF(LEFT('10 Calculated Part Data'!H14,9)="Downgrade",'10 Calculated Part Data'!H27-'10 Calculated Part Data'!G27,"")</f>
        <v/>
      </c>
      <c r="I97" s="45">
        <f>IF(LEFT('10 Calculated Part Data'!I14,9)="Downgrade",'10 Calculated Part Data'!I27-'10 Calculated Part Data'!H27,"")</f>
        <v/>
      </c>
      <c r="J97" s="45">
        <f>IF(LEFT('10 Calculated Part Data'!J14,9)="Downgrade",'10 Calculated Part Data'!J27-'10 Calculated Part Data'!I27,"")</f>
        <v/>
      </c>
      <c r="K97" s="45">
        <f>IF(LEFT('10 Calculated Part Data'!K14,9)="Downgrade",'10 Calculated Part Data'!K27-'10 Calculated Part Data'!J27,"")</f>
        <v/>
      </c>
      <c r="L97" s="45">
        <f>IF(LEFT('10 Calculated Part Data'!L14,9)="Downgrade",'10 Calculated Part Data'!L27-'10 Calculated Part Data'!K27,"")</f>
        <v/>
      </c>
      <c r="M97" s="45">
        <f>IF(LEFT('10 Calculated Part Data'!M14,9)="Downgrade",'10 Calculated Part Data'!M27-'10 Calculated Part Data'!L27,"")</f>
        <v/>
      </c>
      <c r="N97" s="45">
        <f>IF(LEFT('10 Calculated Part Data'!N14,9)="Downgrade",'10 Calculated Part Data'!N27-'10 Calculated Part Data'!M27,"")</f>
        <v/>
      </c>
      <c r="O97" s="45">
        <f>IF(LEFT('10 Calculated Part Data'!O14,9)="Downgrade",'10 Calculated Part Data'!O27-'10 Calculated Part Data'!N27,"")</f>
        <v/>
      </c>
      <c r="P97" s="45">
        <f>IF(LEFT('10 Calculated Part Data'!P14,9)="Downgrade",'10 Calculated Part Data'!P27-'10 Calculated Part Data'!O27,"")</f>
        <v/>
      </c>
      <c r="Q97" s="45">
        <f>IF(LEFT('10 Calculated Part Data'!Q14,9)="Downgrade",'10 Calculated Part Data'!Q27-'10 Calculated Part Data'!P27,"")</f>
        <v/>
      </c>
      <c r="R97" s="45">
        <f>IF(LEFT('10 Calculated Part Data'!R14,9)="Downgrade",'10 Calculated Part Data'!R27-'10 Calculated Part Data'!Q27,"")</f>
        <v/>
      </c>
      <c r="S97" s="45" t="n"/>
    </row>
    <row r="98" ht="14.25" customHeight="1" s="267">
      <c r="A98" s="45" t="inlineStr">
        <is>
          <t>Electronics</t>
        </is>
      </c>
      <c r="B98" s="45" t="n"/>
      <c r="C98" s="45">
        <f>IF(LEFT('10 Calculated Part Data'!C15,9)="Downgrade",'10 Calculated Part Data'!C28-'10 Calculated Part Data'!B28,"")</f>
        <v/>
      </c>
      <c r="D98" s="45">
        <f>IF(LEFT('10 Calculated Part Data'!D15,9)="Downgrade",'10 Calculated Part Data'!D28-'10 Calculated Part Data'!C28,"")</f>
        <v/>
      </c>
      <c r="E98" s="45">
        <f>IF(LEFT('10 Calculated Part Data'!E15,9)="Downgrade",'10 Calculated Part Data'!E28-'10 Calculated Part Data'!D28,"")</f>
        <v/>
      </c>
      <c r="F98" s="45">
        <f>IF(LEFT('10 Calculated Part Data'!F15,9)="Downgrade",'10 Calculated Part Data'!F28-'10 Calculated Part Data'!E28,"")</f>
        <v/>
      </c>
      <c r="G98" s="45">
        <f>IF(LEFT('10 Calculated Part Data'!G15,9)="Downgrade",'10 Calculated Part Data'!G28-'10 Calculated Part Data'!F28,"")</f>
        <v/>
      </c>
      <c r="H98" s="45">
        <f>IF(LEFT('10 Calculated Part Data'!H15,9)="Downgrade",'10 Calculated Part Data'!H28-'10 Calculated Part Data'!G28,"")</f>
        <v/>
      </c>
      <c r="I98" s="45">
        <f>IF(LEFT('10 Calculated Part Data'!I15,9)="Downgrade",'10 Calculated Part Data'!I28-'10 Calculated Part Data'!H28,"")</f>
        <v/>
      </c>
      <c r="J98" s="45">
        <f>IF(LEFT('10 Calculated Part Data'!J15,9)="Downgrade",'10 Calculated Part Data'!J28-'10 Calculated Part Data'!I28,"")</f>
        <v/>
      </c>
      <c r="K98" s="45">
        <f>IF(LEFT('10 Calculated Part Data'!K15,9)="Downgrade",'10 Calculated Part Data'!K28-'10 Calculated Part Data'!J28,"")</f>
        <v/>
      </c>
      <c r="L98" s="45">
        <f>IF(LEFT('10 Calculated Part Data'!L15,9)="Downgrade",'10 Calculated Part Data'!L28-'10 Calculated Part Data'!K28,"")</f>
        <v/>
      </c>
      <c r="M98" s="45">
        <f>IF(LEFT('10 Calculated Part Data'!M15,9)="Downgrade",'10 Calculated Part Data'!M28-'10 Calculated Part Data'!L28,"")</f>
        <v/>
      </c>
      <c r="N98" s="45">
        <f>IF(LEFT('10 Calculated Part Data'!N15,9)="Downgrade",'10 Calculated Part Data'!N28-'10 Calculated Part Data'!M28,"")</f>
        <v/>
      </c>
      <c r="O98" s="45">
        <f>IF(LEFT('10 Calculated Part Data'!O15,9)="Downgrade",'10 Calculated Part Data'!O28-'10 Calculated Part Data'!N28,"")</f>
        <v/>
      </c>
      <c r="P98" s="45">
        <f>IF(LEFT('10 Calculated Part Data'!P15,9)="Downgrade",'10 Calculated Part Data'!P28-'10 Calculated Part Data'!O28,"")</f>
        <v/>
      </c>
      <c r="Q98" s="45">
        <f>IF(LEFT('10 Calculated Part Data'!Q15,9)="Downgrade",'10 Calculated Part Data'!Q28-'10 Calculated Part Data'!P28,"")</f>
        <v/>
      </c>
      <c r="R98" s="45">
        <f>IF(LEFT('10 Calculated Part Data'!R15,9)="Downgrade",'10 Calculated Part Data'!R28-'10 Calculated Part Data'!Q28,"")</f>
        <v/>
      </c>
      <c r="S98" s="45" t="n"/>
    </row>
    <row r="99" ht="14.25" customHeight="1" s="267">
      <c r="A99" s="45" t="n"/>
      <c r="B99" s="45" t="n"/>
      <c r="C99" s="45" t="n"/>
      <c r="D99" s="45" t="n"/>
      <c r="E99" s="45" t="n"/>
      <c r="F99" s="45" t="n"/>
      <c r="G99" s="45" t="n"/>
      <c r="H99" s="45" t="n"/>
      <c r="I99" s="45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</row>
    <row r="100" ht="14.25" customHeight="1" s="267">
      <c r="A100" s="234" t="inlineStr">
        <is>
          <t>Upgrades</t>
        </is>
      </c>
      <c r="B100" s="45" t="n"/>
      <c r="C100" s="45" t="n"/>
      <c r="D100" s="45" t="n"/>
      <c r="E100" s="45" t="n"/>
      <c r="F100" s="45" t="n"/>
      <c r="G100" s="45" t="n"/>
      <c r="H100" s="45" t="n"/>
      <c r="I100" s="45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</row>
    <row r="101" ht="14.25" customHeight="1" s="267">
      <c r="A101" s="45" t="inlineStr">
        <is>
          <t>Chassis</t>
        </is>
      </c>
      <c r="B101" s="45" t="n"/>
      <c r="C101" s="45">
        <f>IF(LEFT('10 Calculated Part Data'!C5,5)="Level",'10 Calculated Part Data'!C18-'10 Calculated Part Data'!B18,"")</f>
        <v/>
      </c>
      <c r="D101" s="45">
        <f>IF(LEFT('10 Calculated Part Data'!D5,5)="Level",'10 Calculated Part Data'!D18-'10 Calculated Part Data'!C18,"")</f>
        <v/>
      </c>
      <c r="E101" s="45">
        <f>IF(LEFT('10 Calculated Part Data'!E5,5)="Level",'10 Calculated Part Data'!E18-'10 Calculated Part Data'!D18,"")</f>
        <v/>
      </c>
      <c r="F101" s="45">
        <f>IF(LEFT('10 Calculated Part Data'!F5,5)="Level",'10 Calculated Part Data'!F18-'10 Calculated Part Data'!E18,"")</f>
        <v/>
      </c>
      <c r="G101" s="45">
        <f>IF(LEFT('10 Calculated Part Data'!G5,5)="Level",'10 Calculated Part Data'!G18-'10 Calculated Part Data'!F18,"")</f>
        <v/>
      </c>
      <c r="H101" s="45">
        <f>IF(LEFT('10 Calculated Part Data'!H5,5)="Level",'10 Calculated Part Data'!H18-'10 Calculated Part Data'!G18,"")</f>
        <v/>
      </c>
      <c r="I101" s="45">
        <f>IF(LEFT('10 Calculated Part Data'!I5,5)="Level",'10 Calculated Part Data'!I18-'10 Calculated Part Data'!H18,"")</f>
        <v/>
      </c>
      <c r="J101" s="45">
        <f>IF(LEFT('10 Calculated Part Data'!J5,5)="Level",'10 Calculated Part Data'!J18-'10 Calculated Part Data'!I18,"")</f>
        <v/>
      </c>
      <c r="K101" s="45">
        <f>IF(LEFT('10 Calculated Part Data'!K5,5)="Level",'10 Calculated Part Data'!K18-'10 Calculated Part Data'!J18,"")</f>
        <v/>
      </c>
      <c r="L101" s="45">
        <f>IF(LEFT('10 Calculated Part Data'!L5,5)="Level",'10 Calculated Part Data'!L18-'10 Calculated Part Data'!K18,"")</f>
        <v/>
      </c>
      <c r="M101" s="45">
        <f>IF(LEFT('10 Calculated Part Data'!M5,5)="Level",'10 Calculated Part Data'!M18-'10 Calculated Part Data'!L18,"")</f>
        <v/>
      </c>
      <c r="N101" s="45">
        <f>IF(LEFT('10 Calculated Part Data'!N5,5)="Level",'10 Calculated Part Data'!N18-'10 Calculated Part Data'!M18,"")</f>
        <v/>
      </c>
      <c r="O101" s="45">
        <f>IF(LEFT('10 Calculated Part Data'!O5,5)="Level",'10 Calculated Part Data'!O18-'10 Calculated Part Data'!N18,"")</f>
        <v/>
      </c>
      <c r="P101" s="45">
        <f>IF(LEFT('10 Calculated Part Data'!P5,5)="Level",'10 Calculated Part Data'!P18-'10 Calculated Part Data'!O18,"")</f>
        <v/>
      </c>
      <c r="Q101" s="45">
        <f>IF(LEFT('10 Calculated Part Data'!Q5,5)="Level",'10 Calculated Part Data'!Q18-'10 Calculated Part Data'!P18,"")</f>
        <v/>
      </c>
      <c r="R101" s="45">
        <f>IF(LEFT('10 Calculated Part Data'!R5,5)="Level",'10 Calculated Part Data'!R18-'10 Calculated Part Data'!Q18,"")</f>
        <v/>
      </c>
      <c r="S101" s="45" t="n"/>
    </row>
    <row r="102" ht="14.25" customHeight="1" s="267">
      <c r="A102" s="45" t="inlineStr">
        <is>
          <t>Engine</t>
        </is>
      </c>
      <c r="B102" s="45" t="n"/>
      <c r="C102" s="45">
        <f>IF(LEFT('10 Calculated Part Data'!C6,5)="Level",'10 Calculated Part Data'!C19-'10 Calculated Part Data'!B19,"")</f>
        <v/>
      </c>
      <c r="D102" s="45">
        <f>IF(LEFT('10 Calculated Part Data'!D6,5)="Level",'10 Calculated Part Data'!D19-'10 Calculated Part Data'!C19,"")</f>
        <v/>
      </c>
      <c r="E102" s="45">
        <f>IF(LEFT('10 Calculated Part Data'!E6,5)="Level",'10 Calculated Part Data'!E19-'10 Calculated Part Data'!D19,"")</f>
        <v/>
      </c>
      <c r="F102" s="45">
        <f>IF(LEFT('10 Calculated Part Data'!F6,5)="Level",'10 Calculated Part Data'!F19-'10 Calculated Part Data'!E19,"")</f>
        <v/>
      </c>
      <c r="G102" s="45">
        <f>IF(LEFT('10 Calculated Part Data'!G6,5)="Level",'10 Calculated Part Data'!G19-'10 Calculated Part Data'!F19,"")</f>
        <v/>
      </c>
      <c r="H102" s="45">
        <f>IF(LEFT('10 Calculated Part Data'!H6,5)="Level",'10 Calculated Part Data'!H19-'10 Calculated Part Data'!G19,"")</f>
        <v/>
      </c>
      <c r="I102" s="45">
        <f>IF(LEFT('10 Calculated Part Data'!I6,5)="Level",'10 Calculated Part Data'!I19-'10 Calculated Part Data'!H19,"")</f>
        <v/>
      </c>
      <c r="J102" s="45">
        <f>IF(LEFT('10 Calculated Part Data'!J6,5)="Level",'10 Calculated Part Data'!J19-'10 Calculated Part Data'!I19,"")</f>
        <v/>
      </c>
      <c r="K102" s="45">
        <f>IF(LEFT('10 Calculated Part Data'!K6,5)="Level",'10 Calculated Part Data'!K19-'10 Calculated Part Data'!J19,"")</f>
        <v/>
      </c>
      <c r="L102" s="45">
        <f>IF(LEFT('10 Calculated Part Data'!L6,5)="Level",'10 Calculated Part Data'!L19-'10 Calculated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Calculated Part Data'!N6,5)="Level",'10 Calculated Part Data'!N19-'10 Calculated Part Data'!M19,"")</f>
        <v/>
      </c>
      <c r="O102" s="45">
        <f>IF(LEFT('10 Calculated Part Data'!O6,5)="Level",'10 Calculated Part Data'!O19-'10 Calculated Part Data'!N19,"")</f>
        <v/>
      </c>
      <c r="P102" s="45">
        <f>IF(LEFT('10 Calculated Part Data'!P6,5)="Level",'10 Calculated Part Data'!P19-'10 Calculated Part Data'!O19,"")</f>
        <v/>
      </c>
      <c r="Q102" s="45">
        <f>IF(LEFT('10 Calculated Part Data'!Q6,5)="Level",'10 Calculated Part Data'!Q19-'10 Calculated Part Data'!P19,"")</f>
        <v/>
      </c>
      <c r="R102" s="45">
        <f>IF(LEFT('10 Calculated Part Data'!R6,5)="Level",'10 Calculated Part Data'!R19-'10 Calculated Part Data'!Q19,"")</f>
        <v/>
      </c>
      <c r="S102" s="45" t="n"/>
    </row>
    <row r="103" ht="14.25" customHeight="1" s="267">
      <c r="A103" s="45" t="inlineStr">
        <is>
          <t>Front Wing</t>
        </is>
      </c>
      <c r="B103" s="45" t="n"/>
      <c r="C103" s="45">
        <f>IF(LEFT('10 Calculated Part Data'!C7,5)="Level",'10 Calculated Part Data'!C20-'10 Calculated Part Data'!B20,"")</f>
        <v/>
      </c>
      <c r="D103" s="45">
        <f>IF(LEFT('10 Calculated Part Data'!D7,5)="Level",'10 Calculated Part Data'!D20-'10 Calculated Part Data'!C20,"")</f>
        <v/>
      </c>
      <c r="E103" s="45">
        <f>IF(LEFT('10 Calculated Part Data'!E7,5)="Level",'10 Calculated Part Data'!E20-'10 Calculated Part Data'!D20,"")</f>
        <v/>
      </c>
      <c r="F103" s="45">
        <f>IF(LEFT('10 Calculated Part Data'!F7,5)="Level",'10 Calculated Part Data'!F20-'10 Calculated Part Data'!E20,"")</f>
        <v/>
      </c>
      <c r="G103" s="45">
        <f>IF(LEFT('10 Calculated Part Data'!G7,5)="Level",'10 Calculated Part Data'!G20-'10 Calculated Part Data'!F20,"")</f>
        <v/>
      </c>
      <c r="H103" s="45">
        <f>IF(LEFT('10 Calculated Part Data'!H7,5)="Level",'10 Calculated Part Data'!H20-'10 Calculated Part Data'!G20,"")</f>
        <v/>
      </c>
      <c r="I103" s="45">
        <f>IF(LEFT('10 Calculated Part Data'!I7,5)="Level",'10 Calculated Part Data'!I20-'10 Calculated Part Data'!H20,"")</f>
        <v/>
      </c>
      <c r="J103" s="45">
        <f>IF(LEFT('10 Calculated Part Data'!J7,5)="Level",'10 Calculated Part Data'!J20-'10 Calculated Part Data'!I20,"")</f>
        <v/>
      </c>
      <c r="K103" s="45">
        <f>IF(LEFT('10 Calculated Part Data'!K7,5)="Level",'10 Calculated Part Data'!K20-'10 Calculated Part Data'!J20,"")</f>
        <v/>
      </c>
      <c r="L103" s="45">
        <f>IF(LEFT('10 Calculated Part Data'!L7,5)="Level",'10 Calculated Part Data'!L20-'10 Calculated Part Data'!K20,"")</f>
        <v/>
      </c>
      <c r="M103" s="45">
        <f>IF(LEFT('10 Calculated Part Data'!M7,5)="Level",'10 Calculated Part Data'!M20-'10 Calculated Part Data'!L20,"")</f>
        <v/>
      </c>
      <c r="N103" s="45">
        <f>IF(LEFT('10 Calculated Part Data'!N7,5)="Level",'10 Calculated Part Data'!N20-'10 Calculated Part Data'!M20,"")</f>
        <v/>
      </c>
      <c r="O103" s="45">
        <f>IF(LEFT('10 Calculated Part Data'!O7,5)="Level",'10 Calculated Part Data'!O20-'10 Calculated Part Data'!N20,"")</f>
        <v/>
      </c>
      <c r="P103" s="45">
        <f>IF(LEFT('10 Calculated Part Data'!P7,5)="Level",'10 Calculated Part Data'!P20-'10 Calculated Part Data'!O20,"")</f>
        <v/>
      </c>
      <c r="Q103" s="45">
        <f>IF(LEFT('10 Calculated Part Data'!Q7,5)="Level",'10 Calculated Part Data'!Q20-'10 Calculated Part Data'!P20,"")</f>
        <v/>
      </c>
      <c r="R103" s="45">
        <f>IF(LEFT('10 Calculated Part Data'!R7,5)="Level",'10 Calculated Part Data'!R20-'10 Calculated Part Data'!Q20,"")</f>
        <v/>
      </c>
      <c r="S103" s="45" t="n"/>
    </row>
    <row r="104" ht="14.25" customHeight="1" s="267">
      <c r="A104" s="45" t="inlineStr">
        <is>
          <t>Rear Wing</t>
        </is>
      </c>
      <c r="B104" s="45" t="n"/>
      <c r="C104" s="45">
        <f>IF(LEFT('10 Calculated Part Data'!C8,5)="Level",'10 Calculated Part Data'!C21-'10 Calculated Part Data'!B21,"")</f>
        <v/>
      </c>
      <c r="D104" s="45">
        <f>IF(LEFT('10 Calculated Part Data'!D8,5)="Level",'10 Calculated Part Data'!D21-'10 Calculated Part Data'!C21,"")</f>
        <v/>
      </c>
      <c r="E104" s="45">
        <f>IF(LEFT('10 Calculated Part Data'!E8,5)="Level",'10 Calculated Part Data'!E21-'10 Calculated Part Data'!D21,"")</f>
        <v/>
      </c>
      <c r="F104" s="45">
        <f>IF(LEFT('10 Calculated Part Data'!F8,5)="Level",'10 Calculated Part Data'!F21-'10 Calculated Part Data'!E21,"")</f>
        <v/>
      </c>
      <c r="G104" s="45">
        <f>IF(LEFT('10 Calculated Part Data'!G8,5)="Level",'10 Calculated Part Data'!G21-'10 Calculated Part Data'!F21,"")</f>
        <v/>
      </c>
      <c r="H104" s="45">
        <f>IF(LEFT('10 Calculated Part Data'!H8,5)="Level",'10 Calculated Part Data'!H21-'10 Calculated Part Data'!G21,"")</f>
        <v/>
      </c>
      <c r="I104" s="45">
        <f>IF(LEFT('10 Calculated Part Data'!I8,5)="Level",'10 Calculated Part Data'!I21-'10 Calculated Part Data'!H21,"")</f>
        <v/>
      </c>
      <c r="J104" s="45">
        <f>IF(LEFT('10 Calculated Part Data'!J8,5)="Level",'10 Calculated Part Data'!J21-'10 Calculated Part Data'!I21,"")</f>
        <v/>
      </c>
      <c r="K104" s="45">
        <f>IF(LEFT('10 Calculated Part Data'!K8,5)="Level",'10 Calculated Part Data'!K21-'10 Calculated Part Data'!J21,"")</f>
        <v/>
      </c>
      <c r="L104" s="45">
        <f>IF(LEFT('10 Calculated Part Data'!L8,5)="Level",'10 Calculated Part Data'!L21-'10 Calculated Part Data'!K21,"")</f>
        <v/>
      </c>
      <c r="M104" s="45">
        <f>IF(LEFT('10 Calculated Part Data'!M8,5)="Level",'10 Calculated Part Data'!M21-'10 Calculated Part Data'!L21,"")</f>
        <v/>
      </c>
      <c r="N104" s="45">
        <f>IF(LEFT('10 Calculated Part Data'!N8,5)="Level",'10 Calculated Part Data'!N21-'10 Calculated Part Data'!M21,"")</f>
        <v/>
      </c>
      <c r="O104" s="45">
        <f>IF(LEFT('10 Calculated Part Data'!O8,5)="Level",'10 Calculated Part Data'!O21-'10 Calculated Part Data'!N21,"")</f>
        <v/>
      </c>
      <c r="P104" s="45">
        <f>IF(LEFT('10 Calculated Part Data'!P8,5)="Level",'10 Calculated Part Data'!P21-'10 Calculated Part Data'!O21,"")</f>
        <v/>
      </c>
      <c r="Q104" s="45">
        <f>IF(LEFT('10 Calculated Part Data'!Q8,5)="Level",'10 Calculated Part Data'!Q21-'10 Calculated Part Data'!P21,"")</f>
        <v/>
      </c>
      <c r="R104" s="45">
        <f>IF(LEFT('10 Calculated Part Data'!R8,5)="Level",'10 Calculated Part Data'!R21-'10 Calculated Part Data'!Q21,"")</f>
        <v/>
      </c>
      <c r="S104" s="45" t="n"/>
    </row>
    <row r="105" ht="14.25" customHeight="1" s="267">
      <c r="A105" s="45" t="inlineStr">
        <is>
          <t>Underbody</t>
        </is>
      </c>
      <c r="B105" s="45" t="n"/>
      <c r="C105" s="45">
        <f>IF(LEFT('10 Calculated Part Data'!C9,5)="Level",'10 Calculated Part Data'!C22-'10 Calculated Part Data'!B22,"")</f>
        <v/>
      </c>
      <c r="D105" s="45">
        <f>IF(LEFT('10 Calculated Part Data'!D9,5)="Level",'10 Calculated Part Data'!D22-'10 Calculated Part Data'!C22,"")</f>
        <v/>
      </c>
      <c r="E105" s="45">
        <f>IF(LEFT('10 Calculated Part Data'!E9,5)="Level",'10 Calculated Part Data'!E22-'10 Calculated Part Data'!D22,"")</f>
        <v/>
      </c>
      <c r="F105" s="45">
        <f>IF(LEFT('10 Calculated Part Data'!F9,5)="Level",'10 Calculated Part Data'!F22-'10 Calculated Part Data'!E22,"")</f>
        <v/>
      </c>
      <c r="G105" s="45">
        <f>IF(LEFT('10 Calculated Part Data'!G9,5)="Level",'10 Calculated Part Data'!G22-'10 Calculated Part Data'!F22,"")</f>
        <v/>
      </c>
      <c r="H105" s="45">
        <f>IF(LEFT('10 Calculated Part Data'!H9,5)="Level",'10 Calculated Part Data'!H22-'10 Calculated Part Data'!G22,"")</f>
        <v/>
      </c>
      <c r="I105" s="45">
        <f>IF(LEFT('10 Calculated Part Data'!I9,5)="Level",'10 Calculated Part Data'!I22-'10 Calculated Part Data'!H22,"")</f>
        <v/>
      </c>
      <c r="J105" s="45">
        <f>IF(LEFT('10 Calculated Part Data'!J9,5)="Level",'10 Calculated Part Data'!J22-'10 Calculated Part Data'!I22,"")</f>
        <v/>
      </c>
      <c r="K105" s="45">
        <f>IF(LEFT('10 Calculated Part Data'!K9,5)="Level",'10 Calculated Part Data'!K22-'10 Calculated Part Data'!J22,"")</f>
        <v/>
      </c>
      <c r="L105" s="45">
        <f>IF(LEFT('10 Calculated Part Data'!L9,5)="Level",'10 Calculated Part Data'!L22-'10 Calculated Part Data'!K22,"")</f>
        <v/>
      </c>
      <c r="M105" s="45">
        <f>IF(LEFT('10 Calculated Part Data'!M9,5)="Level",'10 Calculated Part Data'!M22-'10 Calculated Part Data'!L22,"")</f>
        <v/>
      </c>
      <c r="N105" s="45">
        <f>IF(LEFT('10 Calculated Part Data'!N9,5)="Level",'10 Calculated Part Data'!N22-'10 Calculated Part Data'!M22,"")</f>
        <v/>
      </c>
      <c r="O105" s="45">
        <f>IF(LEFT('10 Calculated Part Data'!O9,5)="Level",'10 Calculated Part Data'!O22-'10 Calculated Part Data'!N22,"")</f>
        <v/>
      </c>
      <c r="P105" s="45">
        <f>IF(LEFT('10 Calculated Part Data'!P9,5)="Level",'10 Calculated Part Data'!P22-'10 Calculated Part Data'!O22,"")</f>
        <v/>
      </c>
      <c r="Q105" s="45">
        <f>IF(LEFT('10 Calculated Part Data'!Q9,5)="Level",'10 Calculated Part Data'!Q22-'10 Calculated Part Data'!P22,"")</f>
        <v/>
      </c>
      <c r="R105" s="45">
        <f>IF(LEFT('10 Calculated Part Data'!R9,5)="Level",'10 Calculated Part Data'!R22-'10 Calculated Part Data'!Q22,"")</f>
        <v/>
      </c>
      <c r="S105" s="45" t="n"/>
    </row>
    <row r="106" ht="14.25" customHeight="1" s="267">
      <c r="A106" s="45" t="inlineStr">
        <is>
          <t>Sidepods</t>
        </is>
      </c>
      <c r="B106" s="45" t="n"/>
      <c r="C106" s="45">
        <f>IF(LEFT('10 Calculated Part Data'!C10,5)="Level",'10 Calculated Part Data'!C23-'10 Calculated Part Data'!B23,"")</f>
        <v/>
      </c>
      <c r="D106" s="45">
        <f>IF(LEFT('10 Calculated Part Data'!D10,5)="Level",'10 Calculated Part Data'!D23-'10 Calculated Part Data'!C23,"")</f>
        <v/>
      </c>
      <c r="E106" s="45">
        <f>IF(LEFT('10 Calculated Part Data'!E10,5)="Level",'10 Calculated Part Data'!E23-'10 Calculated Part Data'!D23,"")</f>
        <v/>
      </c>
      <c r="F106" s="45">
        <f>IF(LEFT('10 Calculated Part Data'!F10,5)="Level",'10 Calculated Part Data'!F23-'10 Calculated Part Data'!E23,"")</f>
        <v/>
      </c>
      <c r="G106" s="45">
        <f>IF(LEFT('10 Calculated Part Data'!G10,5)="Level",'10 Calculated Part Data'!G23-'10 Calculated Part Data'!F23,"")</f>
        <v/>
      </c>
      <c r="H106" s="45">
        <f>IF(LEFT('10 Calculated Part Data'!H10,5)="Level",'10 Calculated Part Data'!H23-'10 Calculated Part Data'!G23,"")</f>
        <v/>
      </c>
      <c r="I106" s="45">
        <f>IF(LEFT('10 Calculated Part Data'!I10,5)="Level",'10 Calculated Part Data'!I23-'10 Calculated Part Data'!H23,"")</f>
        <v/>
      </c>
      <c r="J106" s="45">
        <f>IF(LEFT('10 Calculated Part Data'!J10,5)="Level",'10 Calculated Part Data'!J23-'10 Calculated Part Data'!I23,"")</f>
        <v/>
      </c>
      <c r="K106" s="45">
        <f>IF(LEFT('10 Calculated Part Data'!K10,5)="Level",'10 Calculated Part Data'!K23-'10 Calculated Part Data'!J23,"")</f>
        <v/>
      </c>
      <c r="L106" s="45">
        <f>IF(LEFT('10 Calculated Part Data'!L10,5)="Level",'10 Calculated Part Data'!L23-'10 Calculated Part Data'!K23,"")</f>
        <v/>
      </c>
      <c r="M106" s="45">
        <f>IF(LEFT('10 Calculated Part Data'!M10,5)="Level",'10 Calculated Part Data'!M23-'10 Calculated Part Data'!L23,"")</f>
        <v/>
      </c>
      <c r="N106" s="45">
        <f>IF(LEFT('10 Calculated Part Data'!N10,5)="Level",'10 Calculated Part Data'!N23-'10 Calculated Part Data'!M23,"")</f>
        <v/>
      </c>
      <c r="O106" s="45">
        <f>IF(LEFT('10 Calculated Part Data'!O10,5)="Level",'10 Calculated Part Data'!O23-'10 Calculated Part Data'!N23,"")</f>
        <v/>
      </c>
      <c r="P106" s="45">
        <f>IF(LEFT('10 Calculated Part Data'!P10,5)="Level",'10 Calculated Part Data'!P23-'10 Calculated Part Data'!O23,"")</f>
        <v/>
      </c>
      <c r="Q106" s="45">
        <f>IF(LEFT('10 Calculated Part Data'!Q10,5)="Level",'10 Calculated Part Data'!Q23-'10 Calculated Part Data'!P23,"")</f>
        <v/>
      </c>
      <c r="R106" s="45">
        <f>IF(LEFT('10 Calculated Part Data'!R10,5)="Level",'10 Calculated Part Data'!R23-'10 Calculated Part Data'!Q23,"")</f>
        <v/>
      </c>
      <c r="S106" s="45" t="n"/>
    </row>
    <row r="107" ht="14.25" customHeight="1" s="267">
      <c r="A107" s="45" t="inlineStr">
        <is>
          <t>Cooling</t>
        </is>
      </c>
      <c r="B107" s="45" t="n"/>
      <c r="C107" s="45">
        <f>IF(LEFT('10 Calculated Part Data'!C11,5)="Level",'10 Calculated Part Data'!C24-'10 Calculated Part Data'!B24,"")</f>
        <v/>
      </c>
      <c r="D107" s="45">
        <f>IF(LEFT('10 Calculated Part Data'!D11,5)="Level",'10 Calculated Part Data'!D24-'10 Calculated Part Data'!C24,"")</f>
        <v/>
      </c>
      <c r="E107" s="45">
        <f>IF(LEFT('10 Calculated Part Data'!E11,5)="Level",'10 Calculated Part Data'!E24-'10 Calculated Part Data'!D24,"")</f>
        <v/>
      </c>
      <c r="F107" s="45">
        <f>IF(LEFT('10 Calculated Part Data'!F11,5)="Level",'10 Calculated Part Data'!F24-'10 Calculated Part Data'!E24,"")</f>
        <v/>
      </c>
      <c r="G107" s="45">
        <f>IF(LEFT('10 Calculated Part Data'!G11,5)="Level",'10 Calculated Part Data'!G24-'10 Calculated Part Data'!F24,"")</f>
        <v/>
      </c>
      <c r="H107" s="45">
        <f>IF(LEFT('10 Calculated Part Data'!H11,5)="Level",'10 Calculated Part Data'!H24-'10 Calculated Part Data'!G24,"")</f>
        <v/>
      </c>
      <c r="I107" s="45">
        <f>IF(LEFT('10 Calculated Part Data'!I11,5)="Level",'10 Calculated Part Data'!I24-'10 Calculated Part Data'!H24,"")</f>
        <v/>
      </c>
      <c r="J107" s="45">
        <f>IF(LEFT('10 Calculated Part Data'!J11,5)="Level",'10 Calculated Part Data'!J24-'10 Calculated Part Data'!I24,"")</f>
        <v/>
      </c>
      <c r="K107" s="45">
        <f>IF(LEFT('10 Calculated Part Data'!K11,5)="Level",'10 Calculated Part Data'!K24-'10 Calculated Part Data'!J24,"")</f>
        <v/>
      </c>
      <c r="L107" s="45">
        <f>IF(LEFT('10 Calculated Part Data'!L11,5)="Level",'10 Calculated Part Data'!L24-'10 Calculated Part Data'!K24,"")</f>
        <v/>
      </c>
      <c r="M107" s="45">
        <f>IF(LEFT('10 Calculated Part Data'!M11,5)="Level",'10 Calculated Part Data'!M24-'10 Calculated Part Data'!L24,"")</f>
        <v/>
      </c>
      <c r="N107" s="45">
        <f>IF(LEFT('10 Calculated Part Data'!N11,5)="Level",'10 Calculated Part Data'!N24-'10 Calculated Part Data'!M24,"")</f>
        <v/>
      </c>
      <c r="O107" s="45">
        <f>IF(LEFT('10 Calculated Part Data'!O11,5)="Level",'10 Calculated Part Data'!O24-'10 Calculated Part Data'!N24,"")</f>
        <v/>
      </c>
      <c r="P107" s="45">
        <f>IF(LEFT('10 Calculated Part Data'!P11,5)="Level",'10 Calculated Part Data'!P24-'10 Calculated Part Data'!O24,"")</f>
        <v/>
      </c>
      <c r="Q107" s="45">
        <f>IF(LEFT('10 Calculated Part Data'!Q11,5)="Level",'10 Calculated Part Data'!Q24-'10 Calculated Part Data'!P24,"")</f>
        <v/>
      </c>
      <c r="R107" s="45">
        <f>IF(LEFT('10 Calculated Part Data'!R11,5)="Level",'10 Calculated Part Data'!R24-'10 Calculated Part Data'!Q24,"")</f>
        <v/>
      </c>
      <c r="S107" s="45" t="n"/>
    </row>
    <row r="108" ht="14.25" customHeight="1" s="267">
      <c r="A108" s="45" t="inlineStr">
        <is>
          <t>Gearbox</t>
        </is>
      </c>
      <c r="B108" s="45" t="n"/>
      <c r="C108" s="45">
        <f>IF(LEFT('10 Calculated Part Data'!C12,5)="Level",'10 Calculated Part Data'!C25-'10 Calculated Part Data'!B25,"")</f>
        <v/>
      </c>
      <c r="D108" s="45">
        <f>IF(LEFT('10 Calculated Part Data'!D12,5)="Level",'10 Calculated Part Data'!D25-'10 Calculated Part Data'!C25,"")</f>
        <v/>
      </c>
      <c r="E108" s="45">
        <f>IF(LEFT('10 Calculated Part Data'!E12,5)="Level",'10 Calculated Part Data'!E25-'10 Calculated Part Data'!D25,"")</f>
        <v/>
      </c>
      <c r="F108" s="45">
        <f>IF(LEFT('10 Calculated Part Data'!F12,5)="Level",'10 Calculated Part Data'!F25-'10 Calculated Part Data'!E25,"")</f>
        <v/>
      </c>
      <c r="G108" s="45">
        <f>IF(LEFT('10 Calculated Part Data'!G12,5)="Level",'10 Calculated Part Data'!G25-'10 Calculated Part Data'!F25,"")</f>
        <v/>
      </c>
      <c r="H108" s="45">
        <f>IF(LEFT('10 Calculated Part Data'!H12,5)="Level",'10 Calculated Part Data'!H25-'10 Calculated Part Data'!G25,"")</f>
        <v/>
      </c>
      <c r="I108" s="45">
        <f>IF(LEFT('10 Calculated Part Data'!I12,5)="Level",'10 Calculated Part Data'!I25-'10 Calculated Part Data'!H25,"")</f>
        <v/>
      </c>
      <c r="J108" s="45">
        <f>IF(LEFT('10 Calculated Part Data'!J12,5)="Level",'10 Calculated Part Data'!J25-'10 Calculated Part Data'!I25,"")</f>
        <v/>
      </c>
      <c r="K108" s="45">
        <f>IF(LEFT('10 Calculated Part Data'!K12,5)="Level",'10 Calculated Part Data'!K25-'10 Calculated Part Data'!J25,"")</f>
        <v/>
      </c>
      <c r="L108" s="45">
        <f>IF(LEFT('10 Calculated Part Data'!L12,5)="Level",'10 Calculated Part Data'!L25-'10 Calculated Part Data'!K25,"")</f>
        <v/>
      </c>
      <c r="M108" s="45">
        <f>IF(LEFT('10 Calculated Part Data'!M12,5)="Level",'10 Calculated Part Data'!M25-'10 Calculated Part Data'!L25,"")</f>
        <v/>
      </c>
      <c r="N108" s="45">
        <f>IF(LEFT('10 Calculated Part Data'!N12,5)="Level",'10 Calculated Part Data'!N25-'10 Calculated Part Data'!M25,"")</f>
        <v/>
      </c>
      <c r="O108" s="45">
        <f>IF(LEFT('10 Calculated Part Data'!O12,5)="Level",'10 Calculated Part Data'!O25-'10 Calculated Part Data'!N25,"")</f>
        <v/>
      </c>
      <c r="P108" s="45">
        <f>IF(LEFT('10 Calculated Part Data'!P12,5)="Level",'10 Calculated Part Data'!P25-'10 Calculated Part Data'!O25,"")</f>
        <v/>
      </c>
      <c r="Q108" s="45">
        <f>IF(LEFT('10 Calculated Part Data'!Q12,5)="Level",'10 Calculated Part Data'!Q25-'10 Calculated Part Data'!P25,"")</f>
        <v/>
      </c>
      <c r="R108" s="45">
        <f>IF(LEFT('10 Calculated Part Data'!R12,5)="Level",'10 Calculated Part Data'!R25-'10 Calculated Part Data'!Q25,"")</f>
        <v/>
      </c>
      <c r="S108" s="45" t="n"/>
    </row>
    <row r="109" ht="14.25" customHeight="1" s="267">
      <c r="A109" s="45" t="inlineStr">
        <is>
          <t>Brakes</t>
        </is>
      </c>
      <c r="B109" s="45" t="n"/>
      <c r="C109" s="45">
        <f>IF(LEFT('10 Calculated Part Data'!C13,5)="Level",'10 Calculated Part Data'!C26-'10 Calculated Part Data'!B26,"")</f>
        <v/>
      </c>
      <c r="D109" s="45">
        <f>IF(LEFT('10 Calculated Part Data'!D13,5)="Level",'10 Calculated Part Data'!D26-'10 Calculated Part Data'!C26,"")</f>
        <v/>
      </c>
      <c r="E109" s="45">
        <f>IF(LEFT('10 Calculated Part Data'!E13,5)="Level",'10 Calculated Part Data'!E26-'10 Calculated Part Data'!D26,"")</f>
        <v/>
      </c>
      <c r="F109" s="45">
        <f>IF(LEFT('10 Calculated Part Data'!F13,5)="Level",'10 Calculated Part Data'!F26-'10 Calculated Part Data'!E26,"")</f>
        <v/>
      </c>
      <c r="G109" s="45">
        <f>IF(LEFT('10 Calculated Part Data'!G13,5)="Level",'10 Calculated Part Data'!G26-'10 Calculated Part Data'!F26,"")</f>
        <v/>
      </c>
      <c r="H109" s="45">
        <f>IF(LEFT('10 Calculated Part Data'!H13,5)="Level",'10 Calculated Part Data'!H26-'10 Calculated Part Data'!G26,"")</f>
        <v/>
      </c>
      <c r="I109" s="45">
        <f>IF(LEFT('10 Calculated Part Data'!I13,5)="Level",'10 Calculated Part Data'!I26-'10 Calculated Part Data'!H26,"")</f>
        <v/>
      </c>
      <c r="J109" s="45">
        <f>IF(LEFT('10 Calculated Part Data'!J13,5)="Level",'10 Calculated Part Data'!J26-'10 Calculated Part Data'!I26,"")</f>
        <v/>
      </c>
      <c r="K109" s="45">
        <f>IF(LEFT('10 Calculated Part Data'!K13,5)="Level",'10 Calculated Part Data'!K26-'10 Calculated Part Data'!J26,"")</f>
        <v/>
      </c>
      <c r="L109" s="45">
        <f>IF(LEFT('10 Calculated Part Data'!L13,5)="Level",'10 Calculated Part Data'!L26-'10 Calculated Part Data'!K26,"")</f>
        <v/>
      </c>
      <c r="M109" s="45">
        <f>IF(LEFT('10 Calculated Part Data'!M13,5)="Level",'10 Calculated Part Data'!M26-'10 Calculated Part Data'!L26,"")</f>
        <v/>
      </c>
      <c r="N109" s="45">
        <f>IF(LEFT('10 Calculated Part Data'!N13,5)="Level",'10 Calculated Part Data'!N26-'10 Calculated Part Data'!M26,"")</f>
        <v/>
      </c>
      <c r="O109" s="45">
        <f>IF(LEFT('10 Calculated Part Data'!O13,5)="Level",'10 Calculated Part Data'!O26-'10 Calculated Part Data'!N26,"")</f>
        <v/>
      </c>
      <c r="P109" s="45">
        <f>IF(LEFT('10 Calculated Part Data'!P13,5)="Level",'10 Calculated Part Data'!P26-'10 Calculated Part Data'!O26,"")</f>
        <v/>
      </c>
      <c r="Q109" s="45">
        <f>IF(LEFT('10 Calculated Part Data'!Q13,5)="Level",'10 Calculated Part Data'!Q26-'10 Calculated Part Data'!P26,"")</f>
        <v/>
      </c>
      <c r="R109" s="45">
        <f>IF(LEFT('10 Calculated Part Data'!R13,5)="Level",'10 Calculated Part Data'!R26-'10 Calculated Part Data'!Q26,"")</f>
        <v/>
      </c>
      <c r="S109" s="45" t="n"/>
    </row>
    <row r="110" ht="14.25" customHeight="1" s="267">
      <c r="A110" s="45" t="inlineStr">
        <is>
          <t>Suspension</t>
        </is>
      </c>
      <c r="B110" s="45" t="n"/>
      <c r="C110" s="45">
        <f>IF(LEFT('10 Calculated Part Data'!C14,5)="Level",'10 Calculated Part Data'!C27-'10 Calculated Part Data'!B27,"")</f>
        <v/>
      </c>
      <c r="D110" s="45">
        <f>IF(LEFT('10 Calculated Part Data'!D14,5)="Level",'10 Calculated Part Data'!D27-'10 Calculated Part Data'!C27,"")</f>
        <v/>
      </c>
      <c r="E110" s="45">
        <f>IF(LEFT('10 Calculated Part Data'!E14,5)="Level",'10 Calculated Part Data'!E27-'10 Calculated Part Data'!D27,"")</f>
        <v/>
      </c>
      <c r="F110" s="45">
        <f>IF(LEFT('10 Calculated Part Data'!F14,5)="Level",'10 Calculated Part Data'!F27-'10 Calculated Part Data'!E27,"")</f>
        <v/>
      </c>
      <c r="G110" s="45">
        <f>IF(LEFT('10 Calculated Part Data'!G14,5)="Level",'10 Calculated Part Data'!G27-'10 Calculated Part Data'!F27,"")</f>
        <v/>
      </c>
      <c r="H110" s="45">
        <f>IF(LEFT('10 Calculated Part Data'!H14,5)="Level",'10 Calculated Part Data'!H27-'10 Calculated Part Data'!G27,"")</f>
        <v/>
      </c>
      <c r="I110" s="45">
        <f>IF(LEFT('10 Calculated Part Data'!I14,5)="Level",'10 Calculated Part Data'!I27-'10 Calculated Part Data'!H27,"")</f>
        <v/>
      </c>
      <c r="J110" s="45">
        <f>IF(LEFT('10 Calculated Part Data'!J14,5)="Level",'10 Calculated Part Data'!J27-'10 Calculated Part Data'!I27,"")</f>
        <v/>
      </c>
      <c r="K110" s="45">
        <f>IF(LEFT('10 Calculated Part Data'!K14,5)="Level",'10 Calculated Part Data'!K27-'10 Calculated Part Data'!J27,"")</f>
        <v/>
      </c>
      <c r="L110" s="45">
        <f>IF(LEFT('10 Calculated Part Data'!L14,5)="Level",'10 Calculated Part Data'!L27-'10 Calculated Part Data'!K27,"")</f>
        <v/>
      </c>
      <c r="M110" s="45">
        <f>IF(LEFT('10 Calculated Part Data'!M14,5)="Level",'10 Calculated Part Data'!M27-'10 Calculated Part Data'!L27,"")</f>
        <v/>
      </c>
      <c r="N110" s="45">
        <f>IF(LEFT('10 Calculated Part Data'!N14,5)="Level",'10 Calculated Part Data'!N27-'10 Calculated Part Data'!M27,"")</f>
        <v/>
      </c>
      <c r="O110" s="45">
        <f>IF(LEFT('10 Calculated Part Data'!O14,5)="Level",'10 Calculated Part Data'!O27-'10 Calculated Part Data'!N27,"")</f>
        <v/>
      </c>
      <c r="P110" s="45">
        <f>IF(LEFT('10 Calculated Part Data'!P14,5)="Level",'10 Calculated Part Data'!P27-'10 Calculated Part Data'!O27,"")</f>
        <v/>
      </c>
      <c r="Q110" s="45">
        <f>IF(LEFT('10 Calculated Part Data'!Q14,5)="Level",'10 Calculated Part Data'!Q27-'10 Calculated Part Data'!P27,"")</f>
        <v/>
      </c>
      <c r="R110" s="45">
        <f>IF(LEFT('10 Calculated Part Data'!R14,5)="Level",'10 Calculated Part Data'!R27-'10 Calculated Part Data'!Q27,"")</f>
        <v/>
      </c>
      <c r="S110" s="45" t="n"/>
    </row>
    <row r="111" ht="14.25" customHeight="1" s="267">
      <c r="A111" s="45" t="inlineStr">
        <is>
          <t>Electronics</t>
        </is>
      </c>
      <c r="B111" s="45" t="n"/>
      <c r="C111" s="45">
        <f>IF(LEFT('10 Calculated Part Data'!C15,5)="Level",'10 Calculated Part Data'!C28-'10 Calculated Part Data'!B28,"")</f>
        <v/>
      </c>
      <c r="D111" s="45">
        <f>IF(LEFT('10 Calculated Part Data'!D15,5)="Level",'10 Calculated Part Data'!D28-'10 Calculated Part Data'!C28,"")</f>
        <v/>
      </c>
      <c r="E111" s="45">
        <f>IF(LEFT('10 Calculated Part Data'!E15,5)="Level",'10 Calculated Part Data'!E28-'10 Calculated Part Data'!D28,"")</f>
        <v/>
      </c>
      <c r="F111" s="45">
        <f>IF(LEFT('10 Calculated Part Data'!F15,5)="Level",'10 Calculated Part Data'!F28-'10 Calculated Part Data'!E28,"")</f>
        <v/>
      </c>
      <c r="G111" s="45">
        <f>IF(LEFT('10 Calculated Part Data'!G15,5)="Level",'10 Calculated Part Data'!G28-'10 Calculated Part Data'!F28,"")</f>
        <v/>
      </c>
      <c r="H111" s="45">
        <f>IF(LEFT('10 Calculated Part Data'!H15,5)="Level",'10 Calculated Part Data'!H28-'10 Calculated Part Data'!G28,"")</f>
        <v/>
      </c>
      <c r="I111" s="45">
        <f>IF(LEFT('10 Calculated Part Data'!I15,5)="Level",'10 Calculated Part Data'!I28-'10 Calculated Part Data'!H28,"")</f>
        <v/>
      </c>
      <c r="J111" s="45">
        <f>IF(LEFT('10 Calculated Part Data'!J15,5)="Level",'10 Calculated Part Data'!J28-'10 Calculated Part Data'!I28,"")</f>
        <v/>
      </c>
      <c r="K111" s="45">
        <f>IF(LEFT('10 Calculated Part Data'!K15,5)="Level",'10 Calculated Part Data'!K28-'10 Calculated Part Data'!J28,"")</f>
        <v/>
      </c>
      <c r="L111" s="45">
        <f>IF(LEFT('10 Calculated Part Data'!L15,5)="Level",'10 Calculated Part Data'!L28-'10 Calculated Part Data'!K28,"")</f>
        <v/>
      </c>
      <c r="M111" s="45">
        <f>IF(LEFT('10 Calculated Part Data'!M15,5)="Level",'10 Calculated Part Data'!M28-'10 Calculated Part Data'!L28,"")</f>
        <v/>
      </c>
      <c r="N111" s="45">
        <f>IF(LEFT('10 Calculated Part Data'!N15,5)="Level",'10 Calculated Part Data'!N28-'10 Calculated Part Data'!M28,"")</f>
        <v/>
      </c>
      <c r="O111" s="45">
        <f>IF(LEFT('10 Calculated Part Data'!O15,5)="Level",'10 Calculated Part Data'!O28-'10 Calculated Part Data'!N28,"")</f>
        <v/>
      </c>
      <c r="P111" s="45">
        <f>IF(LEFT('10 Calculated Part Data'!P15,5)="Level",'10 Calculated Part Data'!P28-'10 Calculated Part Data'!O28,"")</f>
        <v/>
      </c>
      <c r="Q111" s="45">
        <f>IF(LEFT('10 Calculated Part Data'!Q15,5)="Level",'10 Calculated Part Data'!Q28-'10 Calculated Part Data'!P28,"")</f>
        <v/>
      </c>
      <c r="R111" s="45">
        <f>IF(LEFT('10 Calculated Part Data'!R15,5)="Level",'10 Calculated Part Data'!R28-'10 Calculated Part Data'!Q28,"")</f>
        <v/>
      </c>
      <c r="S111" s="45" t="n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10" defaultColWidth="14.5" defaultRowHeight="15" customHeight="1"/>
  <cols>
    <col width="23" customWidth="1" style="267" min="1" max="1"/>
    <col width="13" customWidth="1" style="267" min="2" max="11"/>
    <col width="9.1640625" customWidth="1" style="267" min="12" max="12"/>
    <col width="11.1640625" customWidth="1" style="267" min="13" max="13"/>
    <col width="10.1640625" customWidth="1" style="267" min="14" max="14"/>
    <col width="10.6640625" customWidth="1" style="267" min="15" max="15"/>
    <col width="9.1640625" customWidth="1" style="267" min="16" max="16"/>
    <col width="11.1640625" customWidth="1" style="267" min="17" max="17"/>
    <col width="10.1640625" customWidth="1" style="267" min="18" max="18"/>
    <col width="10.6640625" customWidth="1" style="267" min="19" max="19"/>
  </cols>
  <sheetData>
    <row r="1" ht="14.25" customHeight="1" s="267">
      <c r="A1" s="234" t="inlineStr">
        <is>
          <t>TYRES</t>
        </is>
      </c>
      <c r="B1" s="45" t="n"/>
      <c r="C1" s="242" t="inlineStr">
        <is>
          <t>Cost</t>
        </is>
      </c>
      <c r="D1" s="242" t="inlineStr">
        <is>
          <t>Dry Performance</t>
        </is>
      </c>
      <c r="E1" s="242" t="inlineStr">
        <is>
          <t>Wet Performance</t>
        </is>
      </c>
      <c r="F1" s="242" t="inlineStr">
        <is>
          <t>Peak Temp</t>
        </is>
      </c>
      <c r="G1" s="242" t="inlineStr">
        <is>
          <t>Durability</t>
        </is>
      </c>
      <c r="H1" s="242" t="inlineStr">
        <is>
          <t>Warmup Distance</t>
        </is>
      </c>
      <c r="I1" s="242" t="inlineStr">
        <is>
          <t>Compound diff</t>
        </is>
      </c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</row>
    <row r="2" ht="14.25" customHeight="1" s="267">
      <c r="A2" s="45" t="inlineStr">
        <is>
          <t>Pipirelli</t>
        </is>
      </c>
      <c r="B2" s="45" t="n"/>
      <c r="C2" s="240" t="n">
        <v>250000</v>
      </c>
      <c r="D2" s="242" t="n">
        <v>3</v>
      </c>
      <c r="E2" s="242" t="n">
        <v>2</v>
      </c>
      <c r="F2" s="242" t="n">
        <v>34</v>
      </c>
      <c r="G2" s="242" t="n">
        <v>1</v>
      </c>
      <c r="H2" s="242" t="n">
        <v>7</v>
      </c>
      <c r="I2" s="243" t="n">
        <v>0</v>
      </c>
      <c r="J2" s="45" t="n"/>
      <c r="K2" s="45" t="n"/>
      <c r="L2" s="45" t="n"/>
      <c r="M2" s="45" t="n"/>
      <c r="N2" s="45" t="n"/>
      <c r="O2" s="45" t="n"/>
      <c r="P2" s="45" t="n"/>
      <c r="Q2" s="45" t="n"/>
      <c r="R2" s="45" t="n"/>
      <c r="S2" s="45" t="n"/>
    </row>
    <row r="3" ht="14.25" customHeight="1" s="267">
      <c r="A3" s="45" t="inlineStr">
        <is>
          <t>Avonn</t>
        </is>
      </c>
      <c r="B3" s="45" t="n"/>
      <c r="C3" s="240" t="n">
        <v>1000000</v>
      </c>
      <c r="D3" s="242" t="n">
        <v>2</v>
      </c>
      <c r="E3" s="242" t="n">
        <v>5</v>
      </c>
      <c r="F3" s="242" t="n">
        <v>14</v>
      </c>
      <c r="G3" s="242" t="n">
        <v>8</v>
      </c>
      <c r="H3" s="242" t="n">
        <v>3</v>
      </c>
      <c r="I3" s="243" t="n">
        <v>0.02</v>
      </c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</row>
    <row r="4" ht="14.25" customHeight="1" s="267">
      <c r="A4" s="45" t="inlineStr">
        <is>
          <t>Yokomama</t>
        </is>
      </c>
      <c r="B4" s="45" t="n"/>
      <c r="C4" s="240" t="n">
        <v>1900000</v>
      </c>
      <c r="D4" s="242" t="n">
        <v>4</v>
      </c>
      <c r="E4" s="242" t="n">
        <v>4</v>
      </c>
      <c r="F4" s="242" t="n">
        <v>27</v>
      </c>
      <c r="G4" s="242" t="n">
        <v>3</v>
      </c>
      <c r="H4" s="242" t="n">
        <v>4</v>
      </c>
      <c r="I4" s="243" t="n">
        <v>0.05</v>
      </c>
      <c r="J4" s="45" t="n"/>
      <c r="K4" s="45" t="n"/>
      <c r="L4" s="45" t="n"/>
      <c r="M4" s="45" t="n"/>
      <c r="N4" s="45" t="n"/>
      <c r="O4" s="45" t="n"/>
      <c r="P4" s="45" t="n"/>
      <c r="Q4" s="45" t="n"/>
      <c r="R4" s="45" t="n"/>
      <c r="S4" s="45" t="n"/>
    </row>
    <row r="5" ht="14.25" customHeight="1" s="267">
      <c r="A5" s="45" t="inlineStr">
        <is>
          <t>Dunnolop</t>
        </is>
      </c>
      <c r="B5" s="45" t="n"/>
      <c r="C5" s="240" t="n">
        <v>2500000</v>
      </c>
      <c r="D5" s="242" t="n">
        <v>5</v>
      </c>
      <c r="E5" s="242" t="n">
        <v>3</v>
      </c>
      <c r="F5" s="242" t="n">
        <v>21</v>
      </c>
      <c r="G5" s="242" t="n">
        <v>4</v>
      </c>
      <c r="H5" s="242" t="n">
        <v>5</v>
      </c>
      <c r="I5" s="243" t="n">
        <v>0.07000000000000001</v>
      </c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</row>
    <row r="6" ht="14.25" customHeight="1" s="267">
      <c r="A6" s="45" t="inlineStr">
        <is>
          <t>Contimental</t>
        </is>
      </c>
      <c r="B6" s="45" t="n"/>
      <c r="C6" s="240" t="n">
        <v>3000000</v>
      </c>
      <c r="D6" s="242" t="n">
        <v>7</v>
      </c>
      <c r="E6" s="242" t="n">
        <v>1</v>
      </c>
      <c r="F6" s="242" t="n">
        <v>38</v>
      </c>
      <c r="G6" s="242" t="n">
        <v>8</v>
      </c>
      <c r="H6" s="242" t="n">
        <v>8</v>
      </c>
      <c r="I6" s="243" t="n">
        <v>0</v>
      </c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</row>
    <row r="7" ht="14.25" customHeight="1" s="267">
      <c r="A7" s="45" t="inlineStr">
        <is>
          <t>Badyear</t>
        </is>
      </c>
      <c r="B7" s="45" t="n"/>
      <c r="C7" s="240" t="n">
        <v>3400000</v>
      </c>
      <c r="D7" s="242" t="n">
        <v>5</v>
      </c>
      <c r="E7" s="242" t="n">
        <v>8</v>
      </c>
      <c r="F7" s="242" t="n">
        <v>18</v>
      </c>
      <c r="G7" s="242" t="n">
        <v>7</v>
      </c>
      <c r="H7" s="242" t="n">
        <v>6</v>
      </c>
      <c r="I7" s="243" t="n">
        <v>0.09</v>
      </c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</row>
    <row r="8" ht="14.25" customHeight="1" s="267">
      <c r="A8" s="45" t="inlineStr">
        <is>
          <t>Hancock</t>
        </is>
      </c>
      <c r="B8" s="45" t="n"/>
      <c r="C8" s="240" t="n">
        <v>5000000</v>
      </c>
      <c r="D8" s="242" t="n">
        <v>8</v>
      </c>
      <c r="E8" s="242" t="n">
        <v>2</v>
      </c>
      <c r="F8" s="242" t="n">
        <v>12</v>
      </c>
      <c r="G8" s="242" t="n">
        <v>2</v>
      </c>
      <c r="H8" s="242" t="n">
        <v>1</v>
      </c>
      <c r="I8" s="243" t="n">
        <v>0.11</v>
      </c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</row>
    <row r="9" ht="14.25" customHeight="1" s="267">
      <c r="A9" s="45" t="inlineStr">
        <is>
          <t>Bridgerock</t>
        </is>
      </c>
      <c r="B9" s="45" t="n"/>
      <c r="C9" s="240" t="n">
        <v>8500000</v>
      </c>
      <c r="D9" s="242" t="n">
        <v>8</v>
      </c>
      <c r="E9" s="242" t="n">
        <v>6</v>
      </c>
      <c r="F9" s="242" t="n">
        <v>32</v>
      </c>
      <c r="G9" s="242" t="n">
        <v>8</v>
      </c>
      <c r="H9" s="242" t="n">
        <v>6</v>
      </c>
      <c r="I9" s="243" t="n">
        <v>0.04</v>
      </c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</row>
    <row r="10" ht="14.25" customHeight="1" s="267">
      <c r="A10" s="45" t="inlineStr">
        <is>
          <t>Michelini</t>
        </is>
      </c>
      <c r="B10" s="45" t="n"/>
      <c r="C10" s="240" t="n">
        <v>6900000</v>
      </c>
      <c r="D10" s="242" t="n">
        <v>7</v>
      </c>
      <c r="E10" s="242" t="n">
        <v>3</v>
      </c>
      <c r="F10" s="242" t="n">
        <v>24</v>
      </c>
      <c r="G10" s="242" t="n">
        <v>6</v>
      </c>
      <c r="H10" s="242" t="n">
        <v>3</v>
      </c>
      <c r="I10" s="243" t="n">
        <v>0.06</v>
      </c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</row>
    <row r="11" ht="14.25" customHeight="1" s="267">
      <c r="A11" s="45" t="n"/>
      <c r="B11" s="45" t="n"/>
      <c r="C11" s="45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</row>
    <row r="12" ht="14.25" customHeight="1" s="267">
      <c r="A12" s="234" t="inlineStr">
        <is>
          <t>Upgrade costs</t>
        </is>
      </c>
      <c r="B12" s="45" t="n"/>
      <c r="C12" s="242" t="inlineStr">
        <is>
          <t>Level 1</t>
        </is>
      </c>
      <c r="D12" s="242" t="inlineStr">
        <is>
          <t>Level 2</t>
        </is>
      </c>
      <c r="E12" s="242" t="inlineStr">
        <is>
          <t>Level 3</t>
        </is>
      </c>
      <c r="F12" s="242" t="inlineStr">
        <is>
          <t>Level 4</t>
        </is>
      </c>
      <c r="G12" s="242" t="inlineStr">
        <is>
          <t>Level 5</t>
        </is>
      </c>
      <c r="H12" s="242" t="inlineStr">
        <is>
          <t>Level 6</t>
        </is>
      </c>
      <c r="I12" s="242" t="inlineStr">
        <is>
          <t>Level 7</t>
        </is>
      </c>
      <c r="J12" s="242" t="inlineStr">
        <is>
          <t>Level 8</t>
        </is>
      </c>
      <c r="K12" s="242" t="inlineStr">
        <is>
          <t>Level 9</t>
        </is>
      </c>
      <c r="L12" s="45" t="n"/>
      <c r="M12" s="45" t="n"/>
      <c r="N12" s="45" t="n"/>
      <c r="O12" s="45" t="n"/>
      <c r="P12" s="45" t="n"/>
      <c r="Q12" s="45" t="n"/>
      <c r="R12" s="45" t="n"/>
      <c r="S12" s="45" t="n"/>
    </row>
    <row r="13" ht="14.25" customHeight="1" s="267">
      <c r="A13" s="45" t="inlineStr">
        <is>
          <t>Chassis</t>
        </is>
      </c>
      <c r="B13" s="45" t="n"/>
      <c r="C13" s="240" t="n">
        <v>1292539</v>
      </c>
      <c r="D13" s="240" t="n">
        <v>1600810</v>
      </c>
      <c r="E13" s="240" t="n">
        <v>1982603</v>
      </c>
      <c r="F13" s="240" t="n">
        <v>2455453</v>
      </c>
      <c r="G13" s="240" t="n">
        <v>3041079</v>
      </c>
      <c r="H13" s="240" t="n">
        <v>3766376</v>
      </c>
      <c r="I13" s="240" t="n">
        <v>4664657</v>
      </c>
      <c r="J13" s="240" t="n">
        <v>5777178</v>
      </c>
      <c r="K13" s="240">
        <f>J13/I13*J13</f>
        <v/>
      </c>
      <c r="L13" s="45" t="n"/>
      <c r="M13" s="45" t="n"/>
      <c r="N13" s="45" t="n"/>
      <c r="O13" s="45" t="n"/>
      <c r="P13" s="45" t="n"/>
      <c r="Q13" s="45" t="n"/>
      <c r="R13" s="45" t="n"/>
      <c r="S13" s="45" t="n"/>
    </row>
    <row r="14" ht="14.25" customHeight="1" s="267">
      <c r="A14" s="45" t="inlineStr">
        <is>
          <t>Engine</t>
        </is>
      </c>
      <c r="B14" s="45" t="n"/>
      <c r="C14" s="240" t="n">
        <v>3311737</v>
      </c>
      <c r="D14" s="240" t="n">
        <v>4101586</v>
      </c>
      <c r="E14" s="240" t="n">
        <v>5079815</v>
      </c>
      <c r="F14" s="240" t="n">
        <v>6291350</v>
      </c>
      <c r="G14" s="240" t="n">
        <v>7791837</v>
      </c>
      <c r="H14" s="240" t="n">
        <v>9650191</v>
      </c>
      <c r="I14" s="240" t="n">
        <v>11951761</v>
      </c>
      <c r="J14" s="240" t="n">
        <v>14802256</v>
      </c>
      <c r="K14" s="240">
        <f>J14/I14*J14</f>
        <v/>
      </c>
      <c r="L14" s="45" t="n"/>
      <c r="M14" s="45" t="n"/>
      <c r="N14" s="45" t="n"/>
      <c r="O14" s="45" t="n"/>
      <c r="P14" s="45" t="n"/>
      <c r="Q14" s="45" t="n"/>
      <c r="R14" s="45" t="n"/>
      <c r="S14" s="45" t="n"/>
    </row>
    <row r="15" ht="14.25" customHeight="1" s="267">
      <c r="A15" s="45" t="inlineStr">
        <is>
          <t>Front Wing</t>
        </is>
      </c>
      <c r="B15" s="45" t="n"/>
      <c r="C15" s="240" t="n">
        <v>1551354</v>
      </c>
      <c r="D15" s="240" t="n">
        <v>1921352</v>
      </c>
      <c r="E15" s="240" t="n">
        <v>2379594</v>
      </c>
      <c r="F15" s="240" t="n">
        <v>2947128</v>
      </c>
      <c r="G15" s="240" t="n">
        <v>3650018</v>
      </c>
      <c r="H15" s="240" t="n">
        <v>4520547</v>
      </c>
      <c r="I15" s="240" t="n">
        <v>5598697</v>
      </c>
      <c r="J15" s="240" t="n">
        <v>6933986</v>
      </c>
      <c r="K15" s="240">
        <f>J15/I15*J15</f>
        <v/>
      </c>
      <c r="L15" s="45" t="n"/>
      <c r="M15" s="45" t="n"/>
      <c r="N15" s="45" t="n"/>
      <c r="O15" s="45" t="n"/>
      <c r="P15" s="45" t="n"/>
      <c r="Q15" s="45" t="n"/>
      <c r="R15" s="45" t="n"/>
      <c r="S15" s="45" t="n"/>
    </row>
    <row r="16" ht="14.25" customHeight="1" s="267">
      <c r="A16" s="45" t="inlineStr">
        <is>
          <t>Rear Wing</t>
        </is>
      </c>
      <c r="B16" s="45" t="n"/>
      <c r="C16" s="240" t="n">
        <v>1504126</v>
      </c>
      <c r="D16" s="240" t="n">
        <v>1862860</v>
      </c>
      <c r="E16" s="240" t="n">
        <v>2307152</v>
      </c>
      <c r="F16" s="240" t="n">
        <v>2857408</v>
      </c>
      <c r="G16" s="240" t="n">
        <v>3538900</v>
      </c>
      <c r="H16" s="240" t="n">
        <v>4382927</v>
      </c>
      <c r="I16" s="240" t="n">
        <v>5428256</v>
      </c>
      <c r="J16" s="240" t="n">
        <v>6722894</v>
      </c>
      <c r="K16" s="240">
        <f>J16/I16*J16</f>
        <v/>
      </c>
      <c r="L16" s="45" t="n"/>
      <c r="M16" s="45" t="n"/>
      <c r="N16" s="45" t="n"/>
      <c r="O16" s="45" t="n"/>
      <c r="P16" s="45" t="n"/>
      <c r="Q16" s="45" t="n"/>
      <c r="R16" s="45" t="n"/>
      <c r="S16" s="45" t="n"/>
    </row>
    <row r="17" ht="14.25" customHeight="1" s="267">
      <c r="A17" s="45" t="inlineStr">
        <is>
          <t>Underbody</t>
        </is>
      </c>
      <c r="B17" s="45" t="n"/>
      <c r="C17" s="240" t="n">
        <v>510128</v>
      </c>
      <c r="D17" s="240" t="n">
        <v>631794</v>
      </c>
      <c r="E17" s="240" t="n">
        <v>782476</v>
      </c>
      <c r="F17" s="240" t="n">
        <v>969097</v>
      </c>
      <c r="G17" s="240" t="n">
        <v>1200226</v>
      </c>
      <c r="H17" s="240" t="n">
        <v>1486481</v>
      </c>
      <c r="I17" s="240" t="n">
        <v>1841006</v>
      </c>
      <c r="J17" s="240" t="n">
        <v>2280086</v>
      </c>
      <c r="K17" s="240">
        <f>J17/I17*J17</f>
        <v/>
      </c>
      <c r="L17" s="45" t="n"/>
      <c r="M17" s="45" t="n"/>
      <c r="N17" s="45" t="n"/>
      <c r="O17" s="45" t="n"/>
      <c r="P17" s="45" t="n"/>
      <c r="Q17" s="45" t="n"/>
      <c r="R17" s="45" t="n"/>
      <c r="S17" s="45" t="n"/>
    </row>
    <row r="18" ht="14.25" customHeight="1" s="267">
      <c r="A18" s="45" t="inlineStr">
        <is>
          <t>Sidepods</t>
        </is>
      </c>
      <c r="B18" s="45" t="n"/>
      <c r="C18" s="240" t="n">
        <v>459831</v>
      </c>
      <c r="D18" s="240" t="n">
        <v>569501</v>
      </c>
      <c r="E18" s="240" t="n">
        <v>705327</v>
      </c>
      <c r="F18" s="240" t="n">
        <v>873547</v>
      </c>
      <c r="G18" s="240" t="n">
        <v>1081888</v>
      </c>
      <c r="H18" s="240" t="n">
        <v>1339918</v>
      </c>
      <c r="I18" s="240" t="n">
        <v>1659489</v>
      </c>
      <c r="J18" s="240" t="n">
        <v>2055277</v>
      </c>
      <c r="K18" s="240">
        <f>J18/I18*J18</f>
        <v/>
      </c>
      <c r="L18" s="45" t="n"/>
      <c r="M18" s="45" t="n"/>
      <c r="N18" s="45" t="n"/>
      <c r="O18" s="45" t="n"/>
      <c r="P18" s="45" t="n"/>
      <c r="Q18" s="45" t="n"/>
      <c r="R18" s="45" t="n"/>
      <c r="S18" s="45" t="n"/>
    </row>
    <row r="19" ht="14.25" customHeight="1" s="267">
      <c r="A19" s="45" t="inlineStr">
        <is>
          <t>Cooling</t>
        </is>
      </c>
      <c r="B19" s="45" t="n"/>
      <c r="C19" s="240" t="n">
        <v>454545</v>
      </c>
      <c r="D19" s="240" t="n">
        <v>562954</v>
      </c>
      <c r="E19" s="240" t="n">
        <v>697219</v>
      </c>
      <c r="F19" s="240" t="n">
        <v>863505</v>
      </c>
      <c r="G19" s="240" t="n">
        <v>1069451</v>
      </c>
      <c r="H19" s="240" t="n">
        <v>1324515</v>
      </c>
      <c r="I19" s="240" t="n">
        <v>1640412</v>
      </c>
      <c r="J19" s="240" t="n">
        <v>2031650</v>
      </c>
      <c r="K19" s="240">
        <f>J19/I19*J19</f>
        <v/>
      </c>
      <c r="L19" s="45" t="n"/>
      <c r="M19" s="45" t="n"/>
      <c r="N19" s="45" t="n"/>
      <c r="O19" s="45" t="n"/>
      <c r="P19" s="45" t="n"/>
      <c r="Q19" s="45" t="n"/>
      <c r="R19" s="45" t="n"/>
      <c r="S19" s="45" t="n"/>
    </row>
    <row r="20" ht="14.25" customHeight="1" s="267">
      <c r="A20" s="45" t="inlineStr">
        <is>
          <t>Gearbox</t>
        </is>
      </c>
      <c r="B20" s="45" t="n"/>
      <c r="C20" s="240" t="n">
        <v>3098104</v>
      </c>
      <c r="D20" s="240" t="n">
        <v>3837002</v>
      </c>
      <c r="E20" s="240" t="n">
        <v>4752127</v>
      </c>
      <c r="F20" s="240" t="n">
        <v>5885509</v>
      </c>
      <c r="G20" s="240" t="n">
        <v>7289203</v>
      </c>
      <c r="H20" s="240" t="n">
        <v>9027678</v>
      </c>
      <c r="I20" s="240" t="n">
        <v>11180779</v>
      </c>
      <c r="J20" s="240" t="n">
        <v>13847395</v>
      </c>
      <c r="K20" s="240">
        <f>J20/I20*J20</f>
        <v/>
      </c>
      <c r="L20" s="45" t="n"/>
      <c r="M20" s="45" t="n"/>
      <c r="N20" s="45" t="n"/>
      <c r="O20" s="45" t="n"/>
      <c r="P20" s="45" t="n"/>
      <c r="Q20" s="45" t="n"/>
      <c r="R20" s="45" t="n"/>
      <c r="S20" s="45" t="n"/>
    </row>
    <row r="21" ht="14.25" customHeight="1" s="267">
      <c r="A21" s="45" t="inlineStr">
        <is>
          <t>Brakes</t>
        </is>
      </c>
      <c r="B21" s="45" t="n"/>
      <c r="C21" s="240" t="n">
        <v>697674</v>
      </c>
      <c r="D21" s="240" t="n">
        <v>864069</v>
      </c>
      <c r="E21" s="240" t="n">
        <v>1070150</v>
      </c>
      <c r="F21" s="240" t="n">
        <v>1325380</v>
      </c>
      <c r="G21" s="240" t="n">
        <v>1641484</v>
      </c>
      <c r="H21" s="240" t="n">
        <v>2032978</v>
      </c>
      <c r="I21" s="240" t="n">
        <v>2517843</v>
      </c>
      <c r="J21" s="240" t="n">
        <v>3118348</v>
      </c>
      <c r="K21" s="240">
        <f>J21/I21*J21</f>
        <v/>
      </c>
      <c r="L21" s="45" t="n"/>
      <c r="M21" s="45" t="n"/>
      <c r="N21" s="45" t="n"/>
      <c r="O21" s="45" t="n"/>
      <c r="P21" s="45" t="n"/>
      <c r="Q21" s="45" t="n"/>
      <c r="R21" s="45" t="n"/>
      <c r="S21" s="45" t="n"/>
    </row>
    <row r="22" ht="14.25" customHeight="1" s="267">
      <c r="A22" s="45" t="inlineStr">
        <is>
          <t>Suspension</t>
        </is>
      </c>
      <c r="B22" s="45" t="n"/>
      <c r="C22" s="240" t="n">
        <v>1181545</v>
      </c>
      <c r="D22" s="240" t="n">
        <v>1463343</v>
      </c>
      <c r="E22" s="240" t="n">
        <v>1812351</v>
      </c>
      <c r="F22" s="240" t="n">
        <v>2244597</v>
      </c>
      <c r="G22" s="240" t="n">
        <v>2779933</v>
      </c>
      <c r="H22" s="240" t="n">
        <v>3442947</v>
      </c>
      <c r="I22" s="240" t="n">
        <v>4264090</v>
      </c>
      <c r="J22" s="240" t="n">
        <v>5281075</v>
      </c>
      <c r="K22" s="240">
        <f>J22/I22*J22</f>
        <v/>
      </c>
      <c r="L22" s="45" t="n"/>
      <c r="M22" s="45" t="n"/>
      <c r="N22" s="45" t="n"/>
      <c r="O22" s="45" t="n"/>
      <c r="P22" s="45" t="n"/>
      <c r="Q22" s="45" t="n"/>
      <c r="R22" s="45" t="n"/>
      <c r="S22" s="45" t="n"/>
    </row>
    <row r="23" ht="14.25" customHeight="1" s="267">
      <c r="A23" s="45" t="inlineStr">
        <is>
          <t>Electronics</t>
        </is>
      </c>
      <c r="B23" s="45" t="n"/>
      <c r="C23" s="240" t="n">
        <v>938416</v>
      </c>
      <c r="D23" s="240" t="n">
        <v>1162228</v>
      </c>
      <c r="E23" s="240" t="n">
        <v>1439420</v>
      </c>
      <c r="F23" s="240" t="n">
        <v>1782721</v>
      </c>
      <c r="G23" s="240" t="n">
        <v>2207900</v>
      </c>
      <c r="H23" s="240" t="n">
        <v>2734484</v>
      </c>
      <c r="I23" s="240" t="n">
        <v>3386659</v>
      </c>
      <c r="J23" s="240" t="n">
        <v>4194377</v>
      </c>
      <c r="K23" s="240">
        <f>J23/I23*J23</f>
        <v/>
      </c>
      <c r="L23" s="45" t="n"/>
      <c r="M23" s="45" t="n"/>
      <c r="N23" s="45" t="n"/>
      <c r="O23" s="45" t="n"/>
      <c r="P23" s="45" t="n"/>
      <c r="Q23" s="45" t="n"/>
      <c r="R23" s="45" t="n"/>
      <c r="S23" s="45" t="n"/>
    </row>
    <row r="24" ht="14.25" customHeight="1" s="267">
      <c r="A24" s="45" t="n"/>
      <c r="B24" s="45" t="n"/>
      <c r="C24" s="240" t="n"/>
      <c r="D24" s="240" t="n"/>
      <c r="E24" s="240" t="n"/>
      <c r="F24" s="240" t="n"/>
      <c r="G24" s="240" t="n"/>
      <c r="H24" s="240" t="n"/>
      <c r="I24" s="240" t="n"/>
      <c r="J24" s="240" t="n"/>
      <c r="K24" s="240" t="n"/>
      <c r="L24" s="45" t="n"/>
      <c r="M24" s="45" t="n"/>
      <c r="N24" s="45" t="n"/>
      <c r="O24" s="45" t="n"/>
      <c r="P24" s="45" t="n"/>
      <c r="Q24" s="45" t="n"/>
      <c r="R24" s="45" t="n"/>
      <c r="S24" s="45" t="n"/>
    </row>
    <row r="25" ht="14.25" customHeight="1" s="267">
      <c r="A25" s="234" t="inlineStr">
        <is>
          <t>Car update texts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</row>
    <row r="26" ht="14.25" customHeight="1" s="267">
      <c r="A26" s="45" t="inlineStr">
        <is>
          <t>Level 1</t>
        </is>
      </c>
      <c r="B26" s="45" t="n"/>
      <c r="C26" s="45" t="n"/>
      <c r="D26" s="45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</row>
    <row r="27" ht="14.25" customHeight="1" s="267">
      <c r="A27" s="45" t="inlineStr">
        <is>
          <t>Level 2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</row>
    <row r="28" ht="14.25" customHeight="1" s="267">
      <c r="A28" s="45" t="inlineStr">
        <is>
          <t>Level 3</t>
        </is>
      </c>
      <c r="B28" s="45" t="n"/>
      <c r="C28" s="45" t="n"/>
      <c r="D28" s="45" t="n"/>
      <c r="E28" s="45" t="n"/>
      <c r="F28" s="45" t="n"/>
      <c r="G28" s="45" t="n"/>
      <c r="H28" s="45" t="n"/>
      <c r="I28" s="45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</row>
    <row r="29" ht="14.25" customHeight="1" s="267">
      <c r="A29" s="45" t="inlineStr">
        <is>
          <t>Level 4</t>
        </is>
      </c>
      <c r="B29" s="45" t="n"/>
      <c r="C29" s="45" t="n"/>
      <c r="D29" s="45" t="n"/>
      <c r="E29" s="45" t="n"/>
      <c r="F29" s="45" t="n"/>
      <c r="G29" s="45" t="n"/>
      <c r="H29" s="45" t="n"/>
      <c r="I29" s="45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</row>
    <row r="30" ht="14.25" customHeight="1" s="267">
      <c r="A30" s="45" t="inlineStr">
        <is>
          <t>Level 5</t>
        </is>
      </c>
      <c r="B30" s="45" t="n"/>
      <c r="C30" s="45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</row>
    <row r="31" ht="14.25" customHeight="1" s="267">
      <c r="A31" s="45" t="inlineStr">
        <is>
          <t>Level 6</t>
        </is>
      </c>
      <c r="B31" s="45" t="n"/>
      <c r="C31" s="45" t="n"/>
      <c r="D31" s="45" t="n"/>
      <c r="E31" s="45" t="n"/>
      <c r="F31" s="45" t="n"/>
      <c r="G31" s="45" t="n"/>
      <c r="H31" s="45" t="n"/>
      <c r="I31" s="45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</row>
    <row r="32" ht="14.25" customHeight="1" s="267">
      <c r="A32" s="45" t="inlineStr">
        <is>
          <t>Level 7</t>
        </is>
      </c>
      <c r="B32" s="45" t="n"/>
      <c r="C32" s="45" t="n"/>
      <c r="D32" s="45" t="n"/>
      <c r="E32" s="45" t="n"/>
      <c r="F32" s="45" t="n"/>
      <c r="G32" s="45" t="n"/>
      <c r="H32" s="45" t="n"/>
      <c r="I32" s="45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</row>
    <row r="33" ht="14.25" customHeight="1" s="267">
      <c r="A33" s="45" t="inlineStr">
        <is>
          <t>Level 8</t>
        </is>
      </c>
      <c r="B33" s="45" t="n"/>
      <c r="C33" s="45" t="n"/>
      <c r="D33" s="45" t="n"/>
      <c r="E33" s="45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</row>
    <row r="34" ht="14.25" customHeight="1" s="267">
      <c r="A34" s="45" t="inlineStr">
        <is>
          <t>Level 9</t>
        </is>
      </c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</row>
    <row r="35" ht="14.25" customHeight="1" s="267">
      <c r="A35" s="45" t="inlineStr">
        <is>
          <t>Downgrade L1</t>
        </is>
      </c>
      <c r="B35" s="45" t="n"/>
      <c r="C35" s="45" t="n"/>
      <c r="D35" s="45" t="n"/>
      <c r="E35" s="45" t="n"/>
      <c r="F35" s="45" t="n"/>
      <c r="G35" s="45" t="n"/>
      <c r="H35" s="45" t="n"/>
      <c r="I35" s="4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</row>
    <row r="36" ht="14.25" customHeight="1" s="267">
      <c r="A36" s="45" t="inlineStr">
        <is>
          <t>Downgrade L2</t>
        </is>
      </c>
      <c r="B36" s="45" t="n"/>
      <c r="C36" s="45" t="n"/>
      <c r="D36" s="45" t="n"/>
      <c r="E36" s="45" t="n"/>
      <c r="F36" s="45" t="n"/>
      <c r="G36" s="45" t="n"/>
      <c r="H36" s="45" t="n"/>
      <c r="I36" s="45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</row>
    <row r="37" ht="14.25" customHeight="1" s="267">
      <c r="A37" s="45" t="inlineStr">
        <is>
          <t>Downgrade L3</t>
        </is>
      </c>
      <c r="B37" s="45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</row>
    <row r="38" ht="14.25" customHeight="1" s="267">
      <c r="A38" s="45" t="inlineStr">
        <is>
          <t>Downgrade L4</t>
        </is>
      </c>
      <c r="B38" s="45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</row>
    <row r="39" ht="14.25" customHeight="1" s="267">
      <c r="A39" s="45" t="inlineStr">
        <is>
          <t>Downgrade L5</t>
        </is>
      </c>
      <c r="B39" s="45" t="n"/>
      <c r="C39" s="45" t="n"/>
      <c r="D39" s="45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</row>
    <row r="40" ht="14.25" customHeight="1" s="267">
      <c r="A40" s="45" t="inlineStr">
        <is>
          <t>Downgrade L6</t>
        </is>
      </c>
      <c r="B40" s="45" t="n"/>
      <c r="C40" s="45" t="n"/>
      <c r="D40" s="45" t="n"/>
      <c r="E40" s="45" t="n"/>
      <c r="F40" s="45" t="n"/>
      <c r="G40" s="45" t="n"/>
      <c r="H40" s="45" t="n"/>
      <c r="I40" s="45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</row>
    <row r="41" ht="14.25" customHeight="1" s="267">
      <c r="A41" s="45" t="inlineStr">
        <is>
          <t>Downgrade L7</t>
        </is>
      </c>
      <c r="B41" s="45" t="n"/>
      <c r="C41" s="45" t="n"/>
      <c r="D41" s="45" t="n"/>
      <c r="E41" s="45" t="n"/>
      <c r="F41" s="45" t="n"/>
      <c r="G41" s="45" t="n"/>
      <c r="H41" s="45" t="n"/>
      <c r="I41" s="45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</row>
    <row r="42" ht="14.25" customHeight="1" s="267">
      <c r="A42" s="45" t="inlineStr">
        <is>
          <t>Downgrade L8</t>
        </is>
      </c>
      <c r="B42" s="45" t="n"/>
      <c r="C42" s="45" t="n"/>
      <c r="D42" s="45" t="n"/>
      <c r="E42" s="45" t="n"/>
      <c r="F42" s="45" t="n"/>
      <c r="G42" s="45" t="n"/>
      <c r="H42" s="45" t="n"/>
      <c r="I42" s="45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</row>
    <row r="43" ht="14.25" customHeight="1" s="267">
      <c r="A43" s="45" t="n"/>
      <c r="B43" s="45" t="n"/>
      <c r="C43" s="45" t="n"/>
      <c r="D43" s="45" t="n"/>
      <c r="E43" s="45" t="n"/>
      <c r="F43" s="45" t="n"/>
      <c r="G43" s="45" t="n"/>
      <c r="H43" s="45" t="n"/>
      <c r="I43" s="45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</row>
    <row r="44" ht="14.25" customHeight="1" s="267">
      <c r="A44" s="234" t="inlineStr">
        <is>
          <t>Non-finish options</t>
        </is>
      </c>
      <c r="B44" s="45" t="n"/>
      <c r="C44" s="45" t="n"/>
      <c r="D44" s="45" t="n"/>
      <c r="E44" s="45" t="n"/>
      <c r="F44" s="45" t="n"/>
      <c r="G44" s="45" t="n"/>
      <c r="H44" s="45" t="n"/>
      <c r="I44" s="45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</row>
    <row r="45" ht="14.25" customHeight="1" s="267">
      <c r="A45" s="45" t="inlineStr">
        <is>
          <t>Non-finish</t>
        </is>
      </c>
      <c r="B45" s="45" t="n"/>
      <c r="C45" s="45" t="n"/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</row>
    <row r="46" ht="14.25" customHeight="1" s="267">
      <c r="A46" s="45" t="inlineStr">
        <is>
          <t>Start crash</t>
        </is>
      </c>
      <c r="B46" s="45" t="n"/>
      <c r="C46" s="45" t="n"/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</row>
    <row r="47" ht="14.25" customHeight="1" s="267">
      <c r="A47" s="45" t="n"/>
      <c r="B47" s="45" t="n"/>
      <c r="C47" s="45" t="n"/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</row>
    <row r="48" ht="14.25" customHeight="1" s="267">
      <c r="A48" s="234" t="inlineStr">
        <is>
          <t>Driver training</t>
        </is>
      </c>
      <c r="B48" s="45" t="n"/>
      <c r="C48" s="45" t="n"/>
      <c r="D48" s="45" t="n"/>
      <c r="E48" s="45" t="n"/>
      <c r="F48" s="45" t="n"/>
      <c r="G48" s="45" t="n"/>
      <c r="H48" s="45" t="n"/>
      <c r="I48" s="45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</row>
    <row r="49" ht="14.25" customHeight="1" s="267">
      <c r="A49" s="45" t="inlineStr">
        <is>
          <t>Fitness Class</t>
        </is>
      </c>
      <c r="B49" s="240" t="n">
        <v>700000</v>
      </c>
      <c r="C49" s="45" t="n"/>
      <c r="D49" s="45" t="n"/>
      <c r="E49" s="45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</row>
    <row r="50" ht="14.25" customHeight="1" s="267">
      <c r="A50" s="45" t="inlineStr">
        <is>
          <t>Yoga</t>
        </is>
      </c>
      <c r="B50" s="240" t="n">
        <v>700000</v>
      </c>
      <c r="C50" s="45" t="n"/>
      <c r="D50" s="45" t="n"/>
      <c r="E50" s="45" t="n"/>
      <c r="F50" s="45" t="n"/>
      <c r="G50" s="45" t="n"/>
      <c r="H50" s="45" t="n"/>
      <c r="I50" s="45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</row>
    <row r="51" ht="14.25" customHeight="1" s="267">
      <c r="A51" s="45" t="inlineStr">
        <is>
          <t>PR Training</t>
        </is>
      </c>
      <c r="B51" s="240" t="n">
        <v>500000</v>
      </c>
      <c r="C51" s="45" t="n"/>
      <c r="D51" s="45" t="n"/>
      <c r="E51" s="45" t="n"/>
      <c r="F51" s="45" t="n"/>
      <c r="G51" s="45" t="n"/>
      <c r="H51" s="45" t="n"/>
      <c r="I51" s="4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</row>
    <row r="52" ht="14.25" customHeight="1" s="267">
      <c r="A52" s="45" t="inlineStr">
        <is>
          <t>Tech Training</t>
        </is>
      </c>
      <c r="B52" s="240" t="n">
        <v>600000</v>
      </c>
      <c r="C52" s="45" t="n"/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</row>
    <row r="53" ht="14.25" customHeight="1" s="267">
      <c r="A53" s="45" t="inlineStr">
        <is>
          <t>Sports Psychologist</t>
        </is>
      </c>
      <c r="B53" s="240" t="n">
        <v>400000</v>
      </c>
      <c r="C53" s="45" t="n"/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</row>
    <row r="54" ht="14.25" customHeight="1" s="267">
      <c r="A54" s="45" t="inlineStr">
        <is>
          <t>Ninja Class</t>
        </is>
      </c>
      <c r="B54" s="240" t="n">
        <v>550000</v>
      </c>
      <c r="C54" s="45" t="n"/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</row>
    <row r="55" ht="14.25" customHeight="1" s="267">
      <c r="A55" s="45" t="n"/>
      <c r="B55" s="45" t="n"/>
      <c r="C55" s="45" t="n"/>
      <c r="D55" s="45" t="n"/>
      <c r="E55" s="45" t="n"/>
      <c r="F55" s="45" t="n"/>
      <c r="G55" s="45" t="n"/>
      <c r="H55" s="45" t="n"/>
      <c r="I55" s="45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</row>
    <row r="56" ht="14.25" customHeight="1" s="267">
      <c r="A56" s="234" t="inlineStr">
        <is>
          <t>STAFF TRAINING</t>
        </is>
      </c>
      <c r="B56" s="45" t="n"/>
      <c r="C56" s="45" t="n"/>
      <c r="D56" s="45" t="n"/>
      <c r="E56" s="45" t="n"/>
      <c r="F56" s="45" t="n"/>
      <c r="G56" s="45" t="n"/>
      <c r="H56" s="45" t="n"/>
      <c r="I56" s="45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</row>
    <row r="57" ht="14.25" customHeight="1" s="267">
      <c r="A57" s="45" t="inlineStr">
        <is>
          <t>Stress Handling</t>
        </is>
      </c>
      <c r="B57" s="240" t="n">
        <v>1500000</v>
      </c>
      <c r="C57" s="45" t="n"/>
      <c r="D57" s="45" t="n"/>
      <c r="E57" s="45" t="n"/>
      <c r="F57" s="45" t="n"/>
      <c r="G57" s="45" t="n"/>
      <c r="H57" s="45" t="n"/>
      <c r="I57" s="45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</row>
    <row r="58" ht="14.25" customHeight="1" s="267">
      <c r="A58" s="45" t="inlineStr">
        <is>
          <t>Concentration</t>
        </is>
      </c>
      <c r="B58" s="240" t="n">
        <v>1000000</v>
      </c>
      <c r="C58" s="45" t="n"/>
      <c r="D58" s="45" t="n"/>
      <c r="E58" s="45" t="n"/>
      <c r="F58" s="45" t="n"/>
      <c r="G58" s="45" t="n"/>
      <c r="H58" s="45" t="n"/>
      <c r="I58" s="45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</row>
    <row r="59" ht="14.25" customHeight="1" s="267">
      <c r="A59" s="45" t="inlineStr">
        <is>
          <t>Efficiency</t>
        </is>
      </c>
      <c r="B59" s="240" t="n">
        <v>1250000</v>
      </c>
      <c r="C59" s="45" t="n"/>
      <c r="D59" s="45" t="n"/>
      <c r="E59" s="45" t="n"/>
      <c r="F59" s="45" t="n"/>
      <c r="G59" s="45" t="n"/>
      <c r="H59" s="45" t="n"/>
      <c r="I59" s="45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</row>
    <row r="60" ht="14.25" customHeight="1" s="267">
      <c r="A60" s="45" t="n"/>
      <c r="B60" s="240" t="n"/>
      <c r="C60" s="45" t="n"/>
      <c r="D60" s="45" t="n"/>
      <c r="E60" s="45" t="n"/>
      <c r="F60" s="45" t="n"/>
      <c r="G60" s="45" t="n"/>
      <c r="H60" s="45" t="n"/>
      <c r="I60" s="45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</row>
    <row r="61" ht="14.25" customHeight="1" s="267">
      <c r="A61" s="45" t="n"/>
      <c r="B61" s="240" t="n"/>
      <c r="C61" s="45" t="n"/>
      <c r="D61" s="45" t="n"/>
      <c r="E61" s="45" t="n"/>
      <c r="F61" s="45" t="n"/>
      <c r="G61" s="45" t="n"/>
      <c r="H61" s="45" t="n"/>
      <c r="I61" s="45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</row>
    <row r="62" ht="14.25" customHeight="1" s="267">
      <c r="A62" s="45" t="n"/>
      <c r="B62" s="45" t="n"/>
      <c r="C62" s="45" t="n"/>
      <c r="D62" s="45" t="n"/>
      <c r="E62" s="45" t="n"/>
      <c r="F62" s="45" t="n"/>
      <c r="G62" s="45" t="n"/>
      <c r="H62" s="45" t="n"/>
      <c r="I62" s="45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</row>
    <row r="63" ht="14.25" customHeight="1" s="267">
      <c r="A63" s="45" t="inlineStr">
        <is>
          <t>Race Money</t>
        </is>
      </c>
      <c r="B63" s="45" t="inlineStr">
        <is>
          <t>Qual. Money</t>
        </is>
      </c>
      <c r="C63" s="45" t="inlineStr">
        <is>
          <t>End Season Money</t>
        </is>
      </c>
      <c r="D63" s="45" t="n"/>
      <c r="E63" s="45" t="inlineStr">
        <is>
          <t>Race Money</t>
        </is>
      </c>
      <c r="F63" s="45" t="inlineStr">
        <is>
          <t>Qual. Money</t>
        </is>
      </c>
      <c r="G63" s="45" t="inlineStr">
        <is>
          <t>End Season Money</t>
        </is>
      </c>
      <c r="H63" s="45" t="n"/>
      <c r="I63" s="45" t="inlineStr">
        <is>
          <t>Race Money</t>
        </is>
      </c>
      <c r="J63" s="45" t="inlineStr">
        <is>
          <t>Qual. Money</t>
        </is>
      </c>
      <c r="K63" s="45" t="inlineStr">
        <is>
          <t>End Season Money</t>
        </is>
      </c>
      <c r="L63" s="45" t="n"/>
      <c r="M63" s="45" t="inlineStr">
        <is>
          <t>Race Money</t>
        </is>
      </c>
      <c r="N63" s="45" t="inlineStr">
        <is>
          <t>Qual. Money</t>
        </is>
      </c>
      <c r="O63" s="45" t="inlineStr">
        <is>
          <t>End Season Money</t>
        </is>
      </c>
      <c r="P63" s="45" t="n"/>
      <c r="Q63" s="45" t="inlineStr">
        <is>
          <t>Race Money</t>
        </is>
      </c>
      <c r="R63" s="45" t="inlineStr">
        <is>
          <t>Qual. Money</t>
        </is>
      </c>
      <c r="S63" s="45" t="inlineStr">
        <is>
          <t>End Season Money</t>
        </is>
      </c>
    </row>
    <row r="64" ht="14.25" customHeight="1" s="267">
      <c r="A64" s="236" t="n">
        <v>8000000</v>
      </c>
      <c r="B64" s="236" t="n">
        <v>500000</v>
      </c>
      <c r="C64" s="236" t="n">
        <v>6000000</v>
      </c>
      <c r="D64" s="236" t="n"/>
      <c r="E64" s="236" t="n">
        <v>12000000</v>
      </c>
      <c r="F64" s="236" t="n">
        <v>1000000</v>
      </c>
      <c r="G64" s="236">
        <f>C64*2</f>
        <v/>
      </c>
      <c r="H64" s="236" t="n"/>
      <c r="I64" s="236" t="n">
        <v>15000000</v>
      </c>
      <c r="J64" s="236" t="n">
        <v>1500000</v>
      </c>
      <c r="K64" s="236">
        <f>C64*3</f>
        <v/>
      </c>
      <c r="L64" s="236" t="n"/>
      <c r="M64" s="236" t="n">
        <v>18000000</v>
      </c>
      <c r="N64" s="236" t="n">
        <v>1999999.9995</v>
      </c>
      <c r="O64" s="236">
        <f>C64*4</f>
        <v/>
      </c>
      <c r="P64" s="236" t="n"/>
      <c r="Q64" s="236" t="n">
        <v>22000000</v>
      </c>
      <c r="R64" s="236" t="n">
        <v>2499999.999375</v>
      </c>
      <c r="S64" s="236">
        <f>C64*5</f>
        <v/>
      </c>
    </row>
    <row r="65" ht="14.25" customHeight="1" s="267">
      <c r="A65" s="236" t="n">
        <v>7800000</v>
      </c>
      <c r="B65" s="236" t="n">
        <v>450000</v>
      </c>
      <c r="C65" s="236" t="n">
        <v>4400000</v>
      </c>
      <c r="D65" s="236" t="n"/>
      <c r="E65" s="236" t="n">
        <v>11748718</v>
      </c>
      <c r="F65" s="236" t="n">
        <v>900000</v>
      </c>
      <c r="G65" s="236">
        <f>C65*2</f>
        <v/>
      </c>
      <c r="H65" s="236" t="n"/>
      <c r="I65" s="236" t="n">
        <v>14710256</v>
      </c>
      <c r="J65" s="236" t="n">
        <v>1350000</v>
      </c>
      <c r="K65" s="236">
        <f>C65*3</f>
        <v/>
      </c>
      <c r="L65" s="236" t="n"/>
      <c r="M65" s="236" t="n">
        <v>17671795</v>
      </c>
      <c r="N65" s="236" t="n">
        <v>1799999.99955</v>
      </c>
      <c r="O65" s="236">
        <f>C65*4</f>
        <v/>
      </c>
      <c r="P65" s="236" t="n"/>
      <c r="Q65" s="236" t="n">
        <v>21620513</v>
      </c>
      <c r="R65" s="236" t="n">
        <v>2249999.9994375</v>
      </c>
      <c r="S65" s="236">
        <f>C65*5</f>
        <v/>
      </c>
    </row>
    <row r="66" ht="14.25" customHeight="1" s="267">
      <c r="A66" s="236" t="n">
        <v>7700000</v>
      </c>
      <c r="B66" s="236" t="n">
        <v>400000</v>
      </c>
      <c r="C66" s="236" t="n">
        <v>3600000</v>
      </c>
      <c r="D66" s="236" t="n"/>
      <c r="E66" s="236" t="n">
        <v>11597436</v>
      </c>
      <c r="F66" s="236" t="n">
        <v>800000</v>
      </c>
      <c r="G66" s="236">
        <f>C66*2</f>
        <v/>
      </c>
      <c r="H66" s="236" t="n"/>
      <c r="I66" s="236" t="n">
        <v>14520513</v>
      </c>
      <c r="J66" s="236" t="n">
        <v>1200000</v>
      </c>
      <c r="K66" s="236">
        <f>C66*3</f>
        <v/>
      </c>
      <c r="L66" s="236" t="n"/>
      <c r="M66" s="236" t="n">
        <v>17443590</v>
      </c>
      <c r="N66" s="236" t="n">
        <v>1599999.9996</v>
      </c>
      <c r="O66" s="236">
        <f>C66*4</f>
        <v/>
      </c>
      <c r="P66" s="236" t="n"/>
      <c r="Q66" s="236" t="n">
        <v>21341026</v>
      </c>
      <c r="R66" s="236" t="n">
        <v>1999999.9995</v>
      </c>
      <c r="S66" s="236">
        <f>C66*5</f>
        <v/>
      </c>
    </row>
    <row r="67" ht="14.25" customHeight="1" s="267">
      <c r="A67" s="236" t="n">
        <v>7600000</v>
      </c>
      <c r="B67" s="236" t="n">
        <v>370000</v>
      </c>
      <c r="C67" s="236" t="n">
        <v>3000000</v>
      </c>
      <c r="D67" s="236" t="n"/>
      <c r="E67" s="236" t="n">
        <v>11446154</v>
      </c>
      <c r="F67" s="236" t="n">
        <v>740000</v>
      </c>
      <c r="G67" s="236">
        <f>C67*2</f>
        <v/>
      </c>
      <c r="H67" s="236" t="n"/>
      <c r="I67" s="236" t="n">
        <v>14330769</v>
      </c>
      <c r="J67" s="236" t="n">
        <v>1110000</v>
      </c>
      <c r="K67" s="236">
        <f>C67*3</f>
        <v/>
      </c>
      <c r="L67" s="236" t="n"/>
      <c r="M67" s="236" t="n">
        <v>17215385</v>
      </c>
      <c r="N67" s="236" t="n">
        <v>1479999.99963</v>
      </c>
      <c r="O67" s="236">
        <f>C67*4</f>
        <v/>
      </c>
      <c r="P67" s="236" t="n"/>
      <c r="Q67" s="236" t="n">
        <v>21061539</v>
      </c>
      <c r="R67" s="236" t="n">
        <v>1849999.9995375</v>
      </c>
      <c r="S67" s="236">
        <f>C67*5</f>
        <v/>
      </c>
    </row>
    <row r="68" ht="14.25" customHeight="1" s="267">
      <c r="A68" s="236" t="n">
        <v>7500000</v>
      </c>
      <c r="B68" s="236" t="n">
        <v>360000</v>
      </c>
      <c r="C68" s="236" t="n">
        <v>2400000</v>
      </c>
      <c r="D68" s="236" t="n"/>
      <c r="E68" s="236" t="n">
        <v>11294872</v>
      </c>
      <c r="F68" s="236" t="n">
        <v>720000</v>
      </c>
      <c r="G68" s="236">
        <f>C68*2</f>
        <v/>
      </c>
      <c r="H68" s="236" t="n"/>
      <c r="I68" s="236" t="n">
        <v>14141026</v>
      </c>
      <c r="J68" s="236" t="n">
        <v>1080000</v>
      </c>
      <c r="K68" s="236">
        <f>C68*3</f>
        <v/>
      </c>
      <c r="L68" s="236" t="n"/>
      <c r="M68" s="236" t="n">
        <v>16987180</v>
      </c>
      <c r="N68" s="236" t="n">
        <v>1439999.99964</v>
      </c>
      <c r="O68" s="236">
        <f>C68*4</f>
        <v/>
      </c>
      <c r="P68" s="236" t="n"/>
      <c r="Q68" s="236" t="n">
        <v>20782051</v>
      </c>
      <c r="R68" s="236" t="n">
        <v>1799999.99955</v>
      </c>
      <c r="S68" s="236">
        <f>C68*5</f>
        <v/>
      </c>
    </row>
    <row r="69" ht="14.25" customHeight="1" s="267">
      <c r="A69" s="236" t="n">
        <v>7400000</v>
      </c>
      <c r="B69" s="236" t="n">
        <v>350000</v>
      </c>
      <c r="C69" s="236" t="n">
        <v>2000000</v>
      </c>
      <c r="D69" s="236" t="n"/>
      <c r="E69" s="236" t="n">
        <v>11143590</v>
      </c>
      <c r="F69" s="236" t="n">
        <v>700000</v>
      </c>
      <c r="G69" s="236">
        <f>C69*2</f>
        <v/>
      </c>
      <c r="H69" s="236" t="n"/>
      <c r="I69" s="236" t="n">
        <v>13951282</v>
      </c>
      <c r="J69" s="236" t="n">
        <v>1050000</v>
      </c>
      <c r="K69" s="236">
        <f>C69*3</f>
        <v/>
      </c>
      <c r="L69" s="236" t="n"/>
      <c r="M69" s="236" t="n">
        <v>16758975</v>
      </c>
      <c r="N69" s="236" t="n">
        <v>1399999.99965</v>
      </c>
      <c r="O69" s="236">
        <f>C69*4</f>
        <v/>
      </c>
      <c r="P69" s="236" t="n"/>
      <c r="Q69" s="236" t="n">
        <v>20502564</v>
      </c>
      <c r="R69" s="236" t="n">
        <v>1749999.9995625</v>
      </c>
      <c r="S69" s="236">
        <f>C69*5</f>
        <v/>
      </c>
    </row>
    <row r="70" ht="14.25" customHeight="1" s="267">
      <c r="A70" s="236" t="n">
        <v>7300000</v>
      </c>
      <c r="B70" s="236" t="n">
        <v>340000</v>
      </c>
      <c r="C70" s="236" t="n">
        <v>1600000</v>
      </c>
      <c r="D70" s="236" t="n"/>
      <c r="E70" s="236" t="n">
        <v>10992308</v>
      </c>
      <c r="F70" s="236" t="n">
        <v>680000</v>
      </c>
      <c r="G70" s="236">
        <f>C70*2</f>
        <v/>
      </c>
      <c r="H70" s="236" t="n"/>
      <c r="I70" s="236" t="n">
        <v>13761539</v>
      </c>
      <c r="J70" s="236" t="n">
        <v>1020000</v>
      </c>
      <c r="K70" s="236">
        <f>C70*3</f>
        <v/>
      </c>
      <c r="L70" s="236" t="n"/>
      <c r="M70" s="236" t="n">
        <v>16530770</v>
      </c>
      <c r="N70" s="236" t="n">
        <v>1359999.99966</v>
      </c>
      <c r="O70" s="236">
        <f>C70*4</f>
        <v/>
      </c>
      <c r="P70" s="236" t="n"/>
      <c r="Q70" s="236" t="n">
        <v>20223077</v>
      </c>
      <c r="R70" s="236" t="n">
        <v>1699999.999575</v>
      </c>
      <c r="S70" s="236">
        <f>C70*5</f>
        <v/>
      </c>
    </row>
    <row r="71" ht="14.25" customHeight="1" s="267">
      <c r="A71" s="236" t="n">
        <v>7200000</v>
      </c>
      <c r="B71" s="236" t="n">
        <v>330000</v>
      </c>
      <c r="C71" s="236" t="n">
        <v>1200000</v>
      </c>
      <c r="D71" s="236" t="n"/>
      <c r="E71" s="236" t="n">
        <v>10841026</v>
      </c>
      <c r="F71" s="236" t="n">
        <v>660000</v>
      </c>
      <c r="G71" s="236">
        <f>C71*2</f>
        <v/>
      </c>
      <c r="H71" s="236" t="n"/>
      <c r="I71" s="236" t="n">
        <v>13571795</v>
      </c>
      <c r="J71" s="236" t="n">
        <v>990000</v>
      </c>
      <c r="K71" s="236">
        <f>C71*3</f>
        <v/>
      </c>
      <c r="L71" s="236" t="n"/>
      <c r="M71" s="236" t="n">
        <v>16302565</v>
      </c>
      <c r="N71" s="236" t="n">
        <v>1319999.99967</v>
      </c>
      <c r="O71" s="236">
        <f>C71*4</f>
        <v/>
      </c>
      <c r="P71" s="236" t="n"/>
      <c r="Q71" s="236" t="n">
        <v>19943590</v>
      </c>
      <c r="R71" s="236" t="n">
        <v>1649999.9995875</v>
      </c>
      <c r="S71" s="236">
        <f>C71*5</f>
        <v/>
      </c>
    </row>
    <row r="72" ht="14.25" customHeight="1" s="267">
      <c r="A72" s="236" t="n">
        <v>7100000</v>
      </c>
      <c r="B72" s="236" t="n">
        <v>320000</v>
      </c>
      <c r="C72" s="236" t="n">
        <v>800000</v>
      </c>
      <c r="D72" s="236" t="n"/>
      <c r="E72" s="236" t="n">
        <v>10689744</v>
      </c>
      <c r="F72" s="236" t="n">
        <v>640000</v>
      </c>
      <c r="G72" s="236">
        <f>C72*2</f>
        <v/>
      </c>
      <c r="H72" s="236" t="n"/>
      <c r="I72" s="236" t="n">
        <v>13382051</v>
      </c>
      <c r="J72" s="236" t="n">
        <v>960000</v>
      </c>
      <c r="K72" s="236">
        <f>C72*3</f>
        <v/>
      </c>
      <c r="L72" s="236" t="n"/>
      <c r="M72" s="236" t="n">
        <v>16074359</v>
      </c>
      <c r="N72" s="236" t="n">
        <v>1279999.99968</v>
      </c>
      <c r="O72" s="236">
        <f>C72*4</f>
        <v/>
      </c>
      <c r="P72" s="236" t="n"/>
      <c r="Q72" s="236" t="n">
        <v>19664103</v>
      </c>
      <c r="R72" s="236" t="n">
        <v>1599999.9996</v>
      </c>
      <c r="S72" s="236">
        <f>C72*5</f>
        <v/>
      </c>
    </row>
    <row r="73" ht="14.25" customHeight="1" s="267">
      <c r="A73" s="236" t="n">
        <v>7000000</v>
      </c>
      <c r="B73" s="236" t="n">
        <v>310000</v>
      </c>
      <c r="C73" s="236" t="n">
        <v>400000</v>
      </c>
      <c r="D73" s="236" t="n"/>
      <c r="E73" s="236" t="n">
        <v>10538462</v>
      </c>
      <c r="F73" s="236" t="n">
        <v>620000</v>
      </c>
      <c r="G73" s="236">
        <f>C73*2</f>
        <v/>
      </c>
      <c r="H73" s="236" t="n"/>
      <c r="I73" s="236" t="n">
        <v>13192308</v>
      </c>
      <c r="J73" s="236" t="n">
        <v>930000</v>
      </c>
      <c r="K73" s="236">
        <f>C73*3</f>
        <v/>
      </c>
      <c r="L73" s="236" t="n"/>
      <c r="M73" s="236" t="n">
        <v>15846154</v>
      </c>
      <c r="N73" s="236" t="n">
        <v>1239999.99969</v>
      </c>
      <c r="O73" s="236">
        <f>C73*4</f>
        <v/>
      </c>
      <c r="P73" s="236" t="n"/>
      <c r="Q73" s="236" t="n">
        <v>19384615</v>
      </c>
      <c r="R73" s="236" t="n">
        <v>1549999.9996125</v>
      </c>
      <c r="S73" s="236">
        <f>C73*5</f>
        <v/>
      </c>
    </row>
    <row r="74" ht="14.25" customHeight="1" s="267">
      <c r="A74" s="236" t="n">
        <v>6900000</v>
      </c>
      <c r="B74" s="236" t="n">
        <v>300000</v>
      </c>
      <c r="C74" s="236" t="n"/>
      <c r="D74" s="236" t="n"/>
      <c r="E74" s="236" t="n">
        <v>10387180</v>
      </c>
      <c r="F74" s="236" t="n">
        <v>600000</v>
      </c>
      <c r="G74" s="236" t="n"/>
      <c r="H74" s="236" t="n"/>
      <c r="I74" s="236" t="n">
        <v>13002564</v>
      </c>
      <c r="J74" s="236" t="n">
        <v>900000</v>
      </c>
      <c r="K74" s="236" t="n"/>
      <c r="L74" s="236" t="n"/>
      <c r="M74" s="236" t="n">
        <v>15617949</v>
      </c>
      <c r="N74" s="236" t="n">
        <v>1199999.9997</v>
      </c>
      <c r="O74" s="236" t="n"/>
      <c r="P74" s="236" t="n"/>
      <c r="Q74" s="236" t="n">
        <v>19105128</v>
      </c>
      <c r="R74" s="236" t="n">
        <v>1499999.999625</v>
      </c>
      <c r="S74" s="236" t="n"/>
    </row>
    <row r="75" ht="14.25" customHeight="1" s="267">
      <c r="A75" s="236" t="n">
        <v>6800000</v>
      </c>
      <c r="B75" s="236" t="n">
        <v>290000</v>
      </c>
      <c r="C75" s="236" t="n"/>
      <c r="D75" s="236" t="n"/>
      <c r="E75" s="236" t="n">
        <v>10235898</v>
      </c>
      <c r="F75" s="236" t="n">
        <v>580000</v>
      </c>
      <c r="G75" s="236" t="n"/>
      <c r="H75" s="236" t="n"/>
      <c r="I75" s="236" t="n">
        <v>12812821</v>
      </c>
      <c r="J75" s="236" t="n">
        <v>870000</v>
      </c>
      <c r="K75" s="236" t="n"/>
      <c r="L75" s="236" t="n"/>
      <c r="M75" s="236" t="n">
        <v>15389744</v>
      </c>
      <c r="N75" s="236" t="n">
        <v>1159999.99971</v>
      </c>
      <c r="O75" s="236" t="n"/>
      <c r="P75" s="236" t="n"/>
      <c r="Q75" s="236" t="n">
        <v>18825641</v>
      </c>
      <c r="R75" s="236" t="n">
        <v>1449999.9996375</v>
      </c>
      <c r="S75" s="236" t="n"/>
    </row>
    <row r="76" ht="14.25" customHeight="1" s="267">
      <c r="A76" s="236" t="n">
        <v>6700000</v>
      </c>
      <c r="B76" s="236" t="n">
        <v>280000</v>
      </c>
      <c r="C76" s="236" t="n"/>
      <c r="D76" s="236" t="n"/>
      <c r="E76" s="236" t="n">
        <v>10084616</v>
      </c>
      <c r="F76" s="236" t="n">
        <v>560000</v>
      </c>
      <c r="G76" s="236" t="n"/>
      <c r="H76" s="236" t="n"/>
      <c r="I76" s="236" t="n">
        <v>12623077</v>
      </c>
      <c r="J76" s="236" t="n">
        <v>840000</v>
      </c>
      <c r="K76" s="236" t="n"/>
      <c r="L76" s="236" t="n"/>
      <c r="M76" s="236" t="n">
        <v>15161539</v>
      </c>
      <c r="N76" s="236" t="n">
        <v>1119999.99972</v>
      </c>
      <c r="O76" s="236" t="n"/>
      <c r="P76" s="236" t="n"/>
      <c r="Q76" s="236" t="n">
        <v>18546154</v>
      </c>
      <c r="R76" s="236" t="n">
        <v>1399999.99965</v>
      </c>
      <c r="S76" s="236" t="n"/>
    </row>
    <row r="77" ht="14.25" customHeight="1" s="267">
      <c r="A77" s="236" t="n">
        <v>6600000</v>
      </c>
      <c r="B77" s="236" t="n">
        <v>270000</v>
      </c>
      <c r="C77" s="236" t="n"/>
      <c r="D77" s="236" t="n"/>
      <c r="E77" s="236" t="n">
        <v>9933334</v>
      </c>
      <c r="F77" s="236" t="n">
        <v>540000</v>
      </c>
      <c r="G77" s="236" t="n"/>
      <c r="H77" s="236" t="n"/>
      <c r="I77" s="236" t="n">
        <v>12433333</v>
      </c>
      <c r="J77" s="236" t="n">
        <v>810000</v>
      </c>
      <c r="K77" s="236" t="n"/>
      <c r="L77" s="236" t="n"/>
      <c r="M77" s="236" t="n">
        <v>14933334</v>
      </c>
      <c r="N77" s="236" t="n">
        <v>1079999.99973</v>
      </c>
      <c r="O77" s="236" t="n"/>
      <c r="P77" s="236" t="n"/>
      <c r="Q77" s="236" t="n">
        <v>18266667</v>
      </c>
      <c r="R77" s="236" t="n">
        <v>1349999.9996625</v>
      </c>
      <c r="S77" s="236" t="n"/>
    </row>
    <row r="78" ht="14.25" customHeight="1" s="267">
      <c r="A78" s="236" t="n">
        <v>6500000</v>
      </c>
      <c r="B78" s="236" t="n">
        <v>260000</v>
      </c>
      <c r="C78" s="236" t="n"/>
      <c r="D78" s="236" t="n"/>
      <c r="E78" s="236" t="n">
        <v>9782052</v>
      </c>
      <c r="F78" s="236" t="n">
        <v>520000</v>
      </c>
      <c r="G78" s="236" t="n"/>
      <c r="H78" s="236" t="n"/>
      <c r="I78" s="236" t="n">
        <v>12243590</v>
      </c>
      <c r="J78" s="236" t="n">
        <v>780000</v>
      </c>
      <c r="K78" s="236" t="n"/>
      <c r="L78" s="236" t="n"/>
      <c r="M78" s="236" t="n">
        <v>14705129</v>
      </c>
      <c r="N78" s="236" t="n">
        <v>1039999.99974</v>
      </c>
      <c r="O78" s="236" t="n"/>
      <c r="P78" s="236" t="n"/>
      <c r="Q78" s="236" t="n">
        <v>17987179</v>
      </c>
      <c r="R78" s="236" t="n">
        <v>1299999.999675</v>
      </c>
      <c r="S78" s="236" t="n"/>
    </row>
    <row r="79" ht="14.25" customHeight="1" s="267">
      <c r="A79" s="236" t="n">
        <v>6400000</v>
      </c>
      <c r="B79" s="236" t="n">
        <v>250000</v>
      </c>
      <c r="C79" s="236" t="n"/>
      <c r="D79" s="236" t="n"/>
      <c r="E79" s="236" t="n">
        <v>9630770</v>
      </c>
      <c r="F79" s="236" t="n">
        <v>500000</v>
      </c>
      <c r="G79" s="236" t="n"/>
      <c r="H79" s="236" t="n"/>
      <c r="I79" s="236" t="n">
        <v>12053846</v>
      </c>
      <c r="J79" s="236" t="n">
        <v>750000</v>
      </c>
      <c r="K79" s="236" t="n"/>
      <c r="L79" s="236" t="n"/>
      <c r="M79" s="236" t="n">
        <v>14476924</v>
      </c>
      <c r="N79" s="236" t="n">
        <v>999999.99975</v>
      </c>
      <c r="O79" s="236" t="n"/>
      <c r="P79" s="236" t="n"/>
      <c r="Q79" s="236" t="n">
        <v>17707692</v>
      </c>
      <c r="R79" s="236" t="n">
        <v>1249999.9996875</v>
      </c>
      <c r="S79" s="236" t="n"/>
    </row>
    <row r="80" ht="14.25" customHeight="1" s="267">
      <c r="A80" s="236" t="n">
        <v>6300000</v>
      </c>
      <c r="B80" s="236" t="n">
        <v>240000</v>
      </c>
      <c r="C80" s="236" t="n"/>
      <c r="D80" s="236" t="n"/>
      <c r="E80" s="236" t="n">
        <v>9479488</v>
      </c>
      <c r="F80" s="236" t="n">
        <v>480000</v>
      </c>
      <c r="G80" s="236" t="n"/>
      <c r="H80" s="236" t="n"/>
      <c r="I80" s="236" t="n">
        <v>11864103</v>
      </c>
      <c r="J80" s="236" t="n">
        <v>720000</v>
      </c>
      <c r="K80" s="236" t="n"/>
      <c r="L80" s="236" t="n"/>
      <c r="M80" s="236" t="n">
        <v>14248719</v>
      </c>
      <c r="N80" s="236" t="n">
        <v>959999.9997599999</v>
      </c>
      <c r="O80" s="236" t="n"/>
      <c r="P80" s="236" t="n"/>
      <c r="Q80" s="236" t="n">
        <v>17428205</v>
      </c>
      <c r="R80" s="236" t="n">
        <v>1199999.9997</v>
      </c>
      <c r="S80" s="236" t="n"/>
    </row>
    <row r="81" ht="14.25" customHeight="1" s="267">
      <c r="A81" s="236" t="n">
        <v>6200000</v>
      </c>
      <c r="B81" s="236" t="n">
        <v>230000</v>
      </c>
      <c r="C81" s="236" t="n"/>
      <c r="D81" s="236" t="n"/>
      <c r="E81" s="236" t="n">
        <v>9328206</v>
      </c>
      <c r="F81" s="236" t="n">
        <v>460000</v>
      </c>
      <c r="G81" s="236" t="n"/>
      <c r="H81" s="236" t="n"/>
      <c r="I81" s="236" t="n">
        <v>11674359</v>
      </c>
      <c r="J81" s="236" t="n">
        <v>690000</v>
      </c>
      <c r="K81" s="236" t="n"/>
      <c r="L81" s="236" t="n"/>
      <c r="M81" s="236" t="n">
        <v>14020514</v>
      </c>
      <c r="N81" s="236" t="n">
        <v>919999.9997699999</v>
      </c>
      <c r="O81" s="236" t="n"/>
      <c r="P81" s="236" t="n"/>
      <c r="Q81" s="236" t="n">
        <v>17148718</v>
      </c>
      <c r="R81" s="236" t="n">
        <v>1149999.9997125</v>
      </c>
      <c r="S81" s="236" t="n"/>
    </row>
    <row r="82" ht="14.25" customHeight="1" s="267">
      <c r="A82" s="236" t="n">
        <v>6100000</v>
      </c>
      <c r="B82" s="236" t="n">
        <v>220000</v>
      </c>
      <c r="C82" s="236" t="n"/>
      <c r="D82" s="236" t="n"/>
      <c r="E82" s="236" t="n">
        <v>9176924</v>
      </c>
      <c r="F82" s="236" t="n">
        <v>440000</v>
      </c>
      <c r="G82" s="236" t="n"/>
      <c r="H82" s="236" t="n"/>
      <c r="I82" s="236" t="n">
        <v>11484615</v>
      </c>
      <c r="J82" s="236" t="n">
        <v>660000</v>
      </c>
      <c r="K82" s="236" t="n"/>
      <c r="L82" s="236" t="n"/>
      <c r="M82" s="236" t="n">
        <v>13792308</v>
      </c>
      <c r="N82" s="236" t="n">
        <v>879999.99978</v>
      </c>
      <c r="O82" s="236" t="n"/>
      <c r="P82" s="236" t="n"/>
      <c r="Q82" s="236" t="n">
        <v>16869231</v>
      </c>
      <c r="R82" s="236" t="n">
        <v>1099999.999725</v>
      </c>
      <c r="S82" s="236" t="n"/>
    </row>
    <row r="83" ht="14.25" customHeight="1" s="267">
      <c r="A83" s="236" t="n">
        <v>6000000</v>
      </c>
      <c r="B83" s="236" t="n">
        <v>210000</v>
      </c>
      <c r="C83" s="236" t="n"/>
      <c r="D83" s="236" t="n"/>
      <c r="E83" s="236" t="n">
        <v>9025642</v>
      </c>
      <c r="F83" s="236" t="n">
        <v>420000</v>
      </c>
      <c r="G83" s="236" t="n"/>
      <c r="H83" s="236" t="n"/>
      <c r="I83" s="236" t="n">
        <v>11294872</v>
      </c>
      <c r="J83" s="236" t="n">
        <v>630000</v>
      </c>
      <c r="K83" s="236" t="n"/>
      <c r="L83" s="236" t="n"/>
      <c r="M83" s="236" t="n">
        <v>13564103</v>
      </c>
      <c r="N83" s="236" t="n">
        <v>839999.9997899999</v>
      </c>
      <c r="O83" s="236" t="n"/>
      <c r="P83" s="236" t="n"/>
      <c r="Q83" s="236" t="n">
        <v>16589743</v>
      </c>
      <c r="R83" s="236" t="n">
        <v>1049999.9997375</v>
      </c>
      <c r="S83" s="236" t="n"/>
    </row>
    <row r="84" ht="14.25" customHeight="1" s="267">
      <c r="A84" s="236" t="n">
        <v>5900000</v>
      </c>
      <c r="B84" s="236" t="n">
        <v>200000</v>
      </c>
      <c r="C84" s="236" t="n"/>
      <c r="D84" s="236" t="n"/>
      <c r="E84" s="236" t="n">
        <v>8874360</v>
      </c>
      <c r="F84" s="236" t="n">
        <v>400000</v>
      </c>
      <c r="G84" s="236" t="n"/>
      <c r="H84" s="236" t="n"/>
      <c r="I84" s="236" t="n">
        <v>11105128</v>
      </c>
      <c r="J84" s="236" t="n">
        <v>600000</v>
      </c>
      <c r="K84" s="236" t="n"/>
      <c r="L84" s="236" t="n"/>
      <c r="M84" s="236" t="n">
        <v>13335898</v>
      </c>
      <c r="N84" s="236" t="n">
        <v>799999.9998</v>
      </c>
      <c r="O84" s="236" t="n"/>
      <c r="P84" s="236" t="n"/>
      <c r="Q84" s="236" t="n">
        <v>16310256</v>
      </c>
      <c r="R84" s="236" t="n">
        <v>999999.99975</v>
      </c>
      <c r="S84" s="236" t="n"/>
    </row>
    <row r="85" ht="14.25" customHeight="1" s="267">
      <c r="A85" s="236" t="n">
        <v>5800000</v>
      </c>
      <c r="B85" s="236" t="n">
        <v>190000</v>
      </c>
      <c r="C85" s="236" t="n"/>
      <c r="D85" s="236" t="n"/>
      <c r="E85" s="236" t="n">
        <v>8723078</v>
      </c>
      <c r="F85" s="236" t="n">
        <v>380000</v>
      </c>
      <c r="G85" s="236" t="n"/>
      <c r="H85" s="236" t="n"/>
      <c r="I85" s="236" t="n">
        <v>10915385</v>
      </c>
      <c r="J85" s="236" t="n">
        <v>570000</v>
      </c>
      <c r="K85" s="236" t="n"/>
      <c r="L85" s="236" t="n"/>
      <c r="M85" s="236" t="n">
        <v>13107693</v>
      </c>
      <c r="N85" s="236" t="n">
        <v>759999.99981</v>
      </c>
      <c r="O85" s="236" t="n"/>
      <c r="P85" s="236" t="n"/>
      <c r="Q85" s="236" t="n">
        <v>16030769</v>
      </c>
      <c r="R85" s="236" t="n">
        <v>949999.9997624999</v>
      </c>
      <c r="S85" s="236" t="n"/>
    </row>
    <row r="86" ht="14.25" customHeight="1" s="267">
      <c r="A86" s="236" t="n">
        <v>5700000</v>
      </c>
      <c r="B86" s="236" t="n">
        <v>180000</v>
      </c>
      <c r="C86" s="236" t="n"/>
      <c r="D86" s="236" t="n"/>
      <c r="E86" s="236" t="n">
        <v>8571796</v>
      </c>
      <c r="F86" s="236" t="n">
        <v>360000</v>
      </c>
      <c r="G86" s="236" t="n"/>
      <c r="H86" s="236" t="n"/>
      <c r="I86" s="236" t="n">
        <v>10725641</v>
      </c>
      <c r="J86" s="236" t="n">
        <v>540000</v>
      </c>
      <c r="K86" s="236" t="n"/>
      <c r="L86" s="236" t="n"/>
      <c r="M86" s="236" t="n">
        <v>12879488</v>
      </c>
      <c r="N86" s="236" t="n">
        <v>719999.9998199999</v>
      </c>
      <c r="O86" s="236" t="n"/>
      <c r="P86" s="236" t="n"/>
      <c r="Q86" s="236" t="n">
        <v>15751282</v>
      </c>
      <c r="R86" s="236" t="n">
        <v>899999.9997749999</v>
      </c>
      <c r="S86" s="236" t="n"/>
    </row>
    <row r="87" ht="14.25" customHeight="1" s="267">
      <c r="A87" s="236" t="n">
        <v>5600000</v>
      </c>
      <c r="B87" s="236" t="n">
        <v>170000</v>
      </c>
      <c r="C87" s="236" t="n"/>
      <c r="D87" s="236" t="n"/>
      <c r="E87" s="236" t="n">
        <v>8420514</v>
      </c>
      <c r="F87" s="236" t="n">
        <v>340000</v>
      </c>
      <c r="G87" s="236" t="n"/>
      <c r="H87" s="236" t="n"/>
      <c r="I87" s="236" t="n">
        <v>10535897</v>
      </c>
      <c r="J87" s="236" t="n">
        <v>510000</v>
      </c>
      <c r="K87" s="236" t="n"/>
      <c r="L87" s="236" t="n"/>
      <c r="M87" s="236" t="n">
        <v>12651283</v>
      </c>
      <c r="N87" s="236" t="n">
        <v>679999.99983</v>
      </c>
      <c r="O87" s="236" t="n"/>
      <c r="P87" s="236" t="n"/>
      <c r="Q87" s="236" t="n">
        <v>15471795</v>
      </c>
      <c r="R87" s="236" t="n">
        <v>849999.9997875</v>
      </c>
      <c r="S87" s="236" t="n"/>
    </row>
    <row r="88" ht="14.25" customHeight="1" s="267">
      <c r="A88" s="236" t="n">
        <v>5500000</v>
      </c>
      <c r="B88" s="236" t="n">
        <v>160000</v>
      </c>
      <c r="C88" s="236" t="n"/>
      <c r="D88" s="236" t="n"/>
      <c r="E88" s="236" t="n">
        <v>8269232</v>
      </c>
      <c r="F88" s="236" t="n">
        <v>320000</v>
      </c>
      <c r="G88" s="236" t="n"/>
      <c r="H88" s="236" t="n"/>
      <c r="I88" s="236" t="n">
        <v>10346154</v>
      </c>
      <c r="J88" s="236" t="n">
        <v>480000</v>
      </c>
      <c r="K88" s="236" t="n"/>
      <c r="L88" s="236" t="n"/>
      <c r="M88" s="236" t="n">
        <v>12423078</v>
      </c>
      <c r="N88" s="236" t="n">
        <v>639999.9998399999</v>
      </c>
      <c r="O88" s="236" t="n"/>
      <c r="P88" s="236" t="n"/>
      <c r="Q88" s="236" t="n">
        <v>15192307</v>
      </c>
      <c r="R88" s="236" t="n">
        <v>799999.9997999999</v>
      </c>
      <c r="S88" s="236" t="n"/>
    </row>
    <row r="89" ht="14.25" customHeight="1" s="267">
      <c r="A89" s="236" t="n">
        <v>5400000</v>
      </c>
      <c r="B89" s="236" t="n">
        <v>150000</v>
      </c>
      <c r="C89" s="236" t="n"/>
      <c r="D89" s="236" t="n"/>
      <c r="E89" s="236" t="n">
        <v>8117950</v>
      </c>
      <c r="F89" s="236" t="n">
        <v>300000</v>
      </c>
      <c r="G89" s="236" t="n"/>
      <c r="H89" s="236" t="n"/>
      <c r="I89" s="236" t="n">
        <v>10156410</v>
      </c>
      <c r="J89" s="236" t="n">
        <v>450000</v>
      </c>
      <c r="K89" s="236" t="n"/>
      <c r="L89" s="236" t="n"/>
      <c r="M89" s="236" t="n">
        <v>12194873</v>
      </c>
      <c r="N89" s="236" t="n">
        <v>599999.9998499999</v>
      </c>
      <c r="O89" s="236" t="n"/>
      <c r="P89" s="236" t="n"/>
      <c r="Q89" s="236" t="n">
        <v>14912820</v>
      </c>
      <c r="R89" s="236" t="n">
        <v>749999.9998124999</v>
      </c>
      <c r="S89" s="236" t="n"/>
    </row>
    <row r="90" ht="14.25" customHeight="1" s="267">
      <c r="A90" s="236" t="n">
        <v>5300000</v>
      </c>
      <c r="B90" s="236" t="n">
        <v>140000</v>
      </c>
      <c r="C90" s="236" t="n"/>
      <c r="D90" s="236" t="n"/>
      <c r="E90" s="236" t="n">
        <v>7966668</v>
      </c>
      <c r="F90" s="236" t="n">
        <v>280000</v>
      </c>
      <c r="G90" s="236" t="n"/>
      <c r="H90" s="236" t="n"/>
      <c r="I90" s="236" t="n">
        <v>9966667</v>
      </c>
      <c r="J90" s="236" t="n">
        <v>420000</v>
      </c>
      <c r="K90" s="236" t="n"/>
      <c r="L90" s="236" t="n"/>
      <c r="M90" s="236" t="n">
        <v>11966668</v>
      </c>
      <c r="N90" s="236" t="n">
        <v>559999.99986</v>
      </c>
      <c r="O90" s="236" t="n"/>
      <c r="P90" s="236" t="n"/>
      <c r="Q90" s="236" t="n">
        <v>14633333</v>
      </c>
      <c r="R90" s="236" t="n">
        <v>699999.9998249999</v>
      </c>
      <c r="S90" s="236" t="n"/>
    </row>
    <row r="91" ht="14.25" customHeight="1" s="267">
      <c r="A91" s="236" t="n">
        <v>5200000</v>
      </c>
      <c r="B91" s="236" t="n">
        <v>130000</v>
      </c>
      <c r="C91" s="236" t="n"/>
      <c r="D91" s="236" t="n"/>
      <c r="E91" s="236" t="n">
        <v>7815386</v>
      </c>
      <c r="F91" s="236" t="n">
        <v>260000</v>
      </c>
      <c r="G91" s="236" t="n"/>
      <c r="H91" s="236" t="n"/>
      <c r="I91" s="236" t="n">
        <v>9776923</v>
      </c>
      <c r="J91" s="236" t="n">
        <v>390000</v>
      </c>
      <c r="K91" s="236" t="n"/>
      <c r="L91" s="236" t="n"/>
      <c r="M91" s="236" t="n">
        <v>11738463</v>
      </c>
      <c r="N91" s="236" t="n">
        <v>519999.9998699999</v>
      </c>
      <c r="O91" s="236" t="n"/>
      <c r="P91" s="236" t="n"/>
      <c r="Q91" s="236" t="n">
        <v>14353846</v>
      </c>
      <c r="R91" s="236" t="n">
        <v>649999.9998374999</v>
      </c>
      <c r="S91" s="236" t="n"/>
    </row>
    <row r="92" ht="14.25" customHeight="1" s="267">
      <c r="A92" s="236" t="n">
        <v>5100000</v>
      </c>
      <c r="B92" s="236" t="n">
        <v>120000</v>
      </c>
      <c r="C92" s="236" t="n"/>
      <c r="D92" s="236" t="n"/>
      <c r="E92" s="236" t="n">
        <v>7664104</v>
      </c>
      <c r="F92" s="236" t="n">
        <v>240000</v>
      </c>
      <c r="G92" s="236" t="n"/>
      <c r="H92" s="236" t="n"/>
      <c r="I92" s="236" t="n">
        <v>9587179</v>
      </c>
      <c r="J92" s="236" t="n">
        <v>360000</v>
      </c>
      <c r="K92" s="236" t="n"/>
      <c r="L92" s="236" t="n"/>
      <c r="M92" s="236" t="n">
        <v>11510257</v>
      </c>
      <c r="N92" s="236" t="n">
        <v>479999.99988</v>
      </c>
      <c r="O92" s="236" t="n"/>
      <c r="P92" s="236" t="n"/>
      <c r="Q92" s="236" t="n">
        <v>14074359</v>
      </c>
      <c r="R92" s="236" t="n">
        <v>599999.9998499999</v>
      </c>
      <c r="S92" s="236" t="n"/>
    </row>
    <row r="93" ht="14.25" customHeight="1" s="267">
      <c r="A93" s="236" t="n">
        <v>5000000</v>
      </c>
      <c r="B93" s="236" t="n">
        <v>110000</v>
      </c>
      <c r="C93" s="236" t="n"/>
      <c r="D93" s="236" t="n"/>
      <c r="E93" s="236" t="n">
        <v>7512822</v>
      </c>
      <c r="F93" s="236" t="n">
        <v>220000</v>
      </c>
      <c r="G93" s="236" t="n"/>
      <c r="H93" s="236" t="n"/>
      <c r="I93" s="236" t="n">
        <v>9397436</v>
      </c>
      <c r="J93" s="236" t="n">
        <v>330000</v>
      </c>
      <c r="K93" s="236" t="n"/>
      <c r="L93" s="236" t="n"/>
      <c r="M93" s="236" t="n">
        <v>11282052</v>
      </c>
      <c r="N93" s="236" t="n">
        <v>439999.99989</v>
      </c>
      <c r="O93" s="236" t="n"/>
      <c r="P93" s="236" t="n"/>
      <c r="Q93" s="236" t="n">
        <v>13794871</v>
      </c>
      <c r="R93" s="236" t="n">
        <v>549999.9998625</v>
      </c>
      <c r="S93" s="236" t="n"/>
    </row>
    <row r="94" ht="14.25" customHeight="1" s="267">
      <c r="A94" s="236" t="n">
        <v>4900000</v>
      </c>
      <c r="B94" s="236" t="n">
        <v>100000</v>
      </c>
      <c r="C94" s="236" t="n"/>
      <c r="D94" s="236" t="n"/>
      <c r="E94" s="236" t="n">
        <v>7361540</v>
      </c>
      <c r="F94" s="236" t="n">
        <v>200000</v>
      </c>
      <c r="G94" s="236" t="n"/>
      <c r="H94" s="236" t="n"/>
      <c r="I94" s="236" t="n">
        <v>9207692</v>
      </c>
      <c r="J94" s="236" t="n">
        <v>300000</v>
      </c>
      <c r="K94" s="236" t="n"/>
      <c r="L94" s="236" t="n"/>
      <c r="M94" s="236" t="n">
        <v>11053847</v>
      </c>
      <c r="N94" s="236" t="n">
        <v>399999.9999</v>
      </c>
      <c r="O94" s="236" t="n"/>
      <c r="P94" s="236" t="n"/>
      <c r="Q94" s="236" t="n">
        <v>13515384</v>
      </c>
      <c r="R94" s="236" t="n">
        <v>499999.999875</v>
      </c>
      <c r="S94" s="236" t="n"/>
    </row>
    <row r="95" ht="14.25" customHeight="1" s="267">
      <c r="A95" s="236" t="n">
        <v>4800000</v>
      </c>
      <c r="B95" s="236" t="n">
        <v>90000</v>
      </c>
      <c r="C95" s="236" t="n"/>
      <c r="D95" s="236" t="n"/>
      <c r="E95" s="236" t="n">
        <v>7210258</v>
      </c>
      <c r="F95" s="236" t="n">
        <v>180000</v>
      </c>
      <c r="G95" s="236" t="n"/>
      <c r="H95" s="236" t="n"/>
      <c r="I95" s="236" t="n">
        <v>9017949</v>
      </c>
      <c r="J95" s="236" t="n">
        <v>270000</v>
      </c>
      <c r="K95" s="236" t="n"/>
      <c r="L95" s="236" t="n"/>
      <c r="M95" s="236" t="n">
        <v>10825642</v>
      </c>
      <c r="N95" s="236" t="n">
        <v>359999.99991</v>
      </c>
      <c r="O95" s="236" t="n"/>
      <c r="P95" s="236" t="n"/>
      <c r="Q95" s="236" t="n">
        <v>13235897</v>
      </c>
      <c r="R95" s="236" t="n">
        <v>449999.9998875</v>
      </c>
      <c r="S95" s="236" t="n"/>
    </row>
    <row r="96" ht="14.25" customHeight="1" s="267">
      <c r="A96" s="236" t="n">
        <v>4700000</v>
      </c>
      <c r="B96" s="236" t="n">
        <v>80000</v>
      </c>
      <c r="C96" s="236" t="n"/>
      <c r="D96" s="236" t="n"/>
      <c r="E96" s="236" t="n">
        <v>7058976</v>
      </c>
      <c r="F96" s="236" t="n">
        <v>160000</v>
      </c>
      <c r="G96" s="236" t="n"/>
      <c r="H96" s="236" t="n"/>
      <c r="I96" s="236" t="n">
        <v>8828205</v>
      </c>
      <c r="J96" s="236" t="n">
        <v>240000</v>
      </c>
      <c r="K96" s="236" t="n"/>
      <c r="L96" s="236" t="n"/>
      <c r="M96" s="236" t="n">
        <v>10597437</v>
      </c>
      <c r="N96" s="236" t="n">
        <v>319999.99992</v>
      </c>
      <c r="O96" s="236" t="n"/>
      <c r="P96" s="236" t="n"/>
      <c r="Q96" s="236" t="n">
        <v>12956410</v>
      </c>
      <c r="R96" s="236" t="n">
        <v>399999.9998999999</v>
      </c>
      <c r="S96" s="236" t="n"/>
    </row>
    <row r="97" ht="14.25" customHeight="1" s="267">
      <c r="A97" s="236" t="n">
        <v>4600000</v>
      </c>
      <c r="B97" s="236" t="n">
        <v>70000</v>
      </c>
      <c r="C97" s="236" t="n"/>
      <c r="D97" s="236" t="n"/>
      <c r="E97" s="236" t="n">
        <v>6907694</v>
      </c>
      <c r="F97" s="236" t="n">
        <v>140000</v>
      </c>
      <c r="G97" s="236" t="n"/>
      <c r="H97" s="236" t="n"/>
      <c r="I97" s="236" t="n">
        <v>8638461</v>
      </c>
      <c r="J97" s="236" t="n">
        <v>210000</v>
      </c>
      <c r="K97" s="236" t="n"/>
      <c r="L97" s="236" t="n"/>
      <c r="M97" s="236" t="n">
        <v>10369232</v>
      </c>
      <c r="N97" s="236" t="n">
        <v>279999.99993</v>
      </c>
      <c r="O97" s="236" t="n"/>
      <c r="P97" s="236" t="n"/>
      <c r="Q97" s="236" t="n">
        <v>12676923</v>
      </c>
      <c r="R97" s="236" t="n">
        <v>349999.9999125</v>
      </c>
      <c r="S97" s="236" t="n"/>
    </row>
    <row r="98" ht="14.25" customHeight="1" s="267">
      <c r="A98" s="236" t="n">
        <v>4500000</v>
      </c>
      <c r="B98" s="236" t="n">
        <v>60000</v>
      </c>
      <c r="C98" s="236" t="n"/>
      <c r="D98" s="236" t="n"/>
      <c r="E98" s="236" t="n">
        <v>6756412</v>
      </c>
      <c r="F98" s="236" t="n">
        <v>120000</v>
      </c>
      <c r="G98" s="236" t="n"/>
      <c r="H98" s="236" t="n"/>
      <c r="I98" s="236" t="n">
        <v>8448718</v>
      </c>
      <c r="J98" s="236" t="n">
        <v>180000</v>
      </c>
      <c r="K98" s="236" t="n"/>
      <c r="L98" s="236" t="n"/>
      <c r="M98" s="236" t="n">
        <v>10141027</v>
      </c>
      <c r="N98" s="236" t="n">
        <v>239999.99994</v>
      </c>
      <c r="O98" s="236" t="n"/>
      <c r="P98" s="236" t="n"/>
      <c r="Q98" s="236" t="n">
        <v>12397435</v>
      </c>
      <c r="R98" s="236" t="n">
        <v>299999.999925</v>
      </c>
      <c r="S98" s="236" t="n"/>
    </row>
    <row r="99" ht="14.25" customHeight="1" s="267">
      <c r="A99" s="236" t="n">
        <v>4400000</v>
      </c>
      <c r="B99" s="236" t="n">
        <v>50000</v>
      </c>
      <c r="C99" s="236" t="n"/>
      <c r="D99" s="236" t="n"/>
      <c r="E99" s="236" t="n">
        <v>6605130</v>
      </c>
      <c r="F99" s="236" t="n">
        <v>100000</v>
      </c>
      <c r="G99" s="236" t="n"/>
      <c r="H99" s="236" t="n"/>
      <c r="I99" s="236" t="n">
        <v>8258974</v>
      </c>
      <c r="J99" s="236" t="n">
        <v>150000</v>
      </c>
      <c r="K99" s="236" t="n"/>
      <c r="L99" s="236" t="n"/>
      <c r="M99" s="236" t="n">
        <v>9912822</v>
      </c>
      <c r="N99" s="236" t="n">
        <v>199999.99995</v>
      </c>
      <c r="O99" s="236" t="n"/>
      <c r="P99" s="236" t="n"/>
      <c r="Q99" s="236" t="n">
        <v>12117948</v>
      </c>
      <c r="R99" s="236" t="n">
        <v>249999.9999375</v>
      </c>
      <c r="S99" s="236" t="n"/>
    </row>
    <row r="100" ht="14.25" customHeight="1" s="267">
      <c r="A100" s="236" t="n">
        <v>4300000</v>
      </c>
      <c r="B100" s="236" t="n">
        <v>40000</v>
      </c>
      <c r="C100" s="236" t="n"/>
      <c r="D100" s="236" t="n"/>
      <c r="E100" s="236" t="n">
        <v>6453848</v>
      </c>
      <c r="F100" s="236" t="n">
        <v>80000</v>
      </c>
      <c r="G100" s="236" t="n"/>
      <c r="H100" s="236" t="n"/>
      <c r="I100" s="236" t="n">
        <v>8069231</v>
      </c>
      <c r="J100" s="236" t="n">
        <v>120000</v>
      </c>
      <c r="K100" s="236" t="n"/>
      <c r="L100" s="236" t="n"/>
      <c r="M100" s="236" t="n">
        <v>9684617</v>
      </c>
      <c r="N100" s="236" t="n">
        <v>159999.99996</v>
      </c>
      <c r="O100" s="236" t="n"/>
      <c r="P100" s="236" t="n"/>
      <c r="Q100" s="236" t="n">
        <v>11838461</v>
      </c>
      <c r="R100" s="236" t="n">
        <v>199999.99995</v>
      </c>
      <c r="S100" s="236" t="n"/>
    </row>
    <row r="101" ht="14.25" customHeight="1" s="267">
      <c r="A101" s="236" t="n">
        <v>4200000</v>
      </c>
      <c r="B101" s="236" t="n">
        <v>30000</v>
      </c>
      <c r="C101" s="236" t="n"/>
      <c r="D101" s="236" t="n"/>
      <c r="E101" s="236" t="n">
        <v>6302566</v>
      </c>
      <c r="F101" s="236" t="n">
        <v>60000</v>
      </c>
      <c r="G101" s="236" t="n"/>
      <c r="H101" s="236" t="n"/>
      <c r="I101" s="236" t="n">
        <v>7879487</v>
      </c>
      <c r="J101" s="236" t="n">
        <v>90000</v>
      </c>
      <c r="K101" s="236" t="n"/>
      <c r="L101" s="236" t="n"/>
      <c r="M101" s="236" t="n">
        <v>9456412</v>
      </c>
      <c r="N101" s="236" t="n">
        <v>119999.99997</v>
      </c>
      <c r="O101" s="236" t="n"/>
      <c r="P101" s="236" t="n"/>
      <c r="Q101" s="236" t="n">
        <v>11558974</v>
      </c>
      <c r="R101" s="236" t="n">
        <v>149999.9999625</v>
      </c>
      <c r="S101" s="236" t="n"/>
    </row>
    <row r="102" ht="14.25" customHeight="1" s="267">
      <c r="A102" s="236" t="n">
        <v>4100000</v>
      </c>
      <c r="B102" s="236" t="n">
        <v>20000</v>
      </c>
      <c r="C102" s="236" t="n"/>
      <c r="D102" s="236" t="n"/>
      <c r="E102" s="236" t="n">
        <v>6151284</v>
      </c>
      <c r="F102" s="236" t="n">
        <v>40000</v>
      </c>
      <c r="G102" s="236" t="n"/>
      <c r="H102" s="236" t="n"/>
      <c r="I102" s="236" t="n">
        <v>7689743</v>
      </c>
      <c r="J102" s="236" t="n">
        <v>60000</v>
      </c>
      <c r="K102" s="236" t="n"/>
      <c r="L102" s="236" t="n"/>
      <c r="M102" s="236" t="n">
        <v>9228206</v>
      </c>
      <c r="N102" s="236" t="n">
        <v>79999.99997999999</v>
      </c>
      <c r="O102" s="236" t="n"/>
      <c r="P102" s="236" t="n"/>
      <c r="Q102" s="236" t="n">
        <v>11279487</v>
      </c>
      <c r="R102" s="236" t="n">
        <v>99999.99997499998</v>
      </c>
      <c r="S102" s="236" t="n"/>
    </row>
    <row r="103" ht="14.25" customHeight="1" s="267">
      <c r="A103" s="236" t="n">
        <v>4000000</v>
      </c>
      <c r="B103" s="236" t="n">
        <v>10000</v>
      </c>
      <c r="C103" s="236" t="n"/>
      <c r="D103" s="236" t="n"/>
      <c r="E103" s="236" t="n">
        <v>6000002</v>
      </c>
      <c r="F103" s="236" t="n">
        <v>20000</v>
      </c>
      <c r="G103" s="236" t="n"/>
      <c r="H103" s="236" t="n"/>
      <c r="I103" s="236" t="n">
        <v>7500000</v>
      </c>
      <c r="J103" s="236" t="n">
        <v>30000</v>
      </c>
      <c r="K103" s="236" t="n"/>
      <c r="L103" s="236" t="n"/>
      <c r="M103" s="236" t="n">
        <v>9000001</v>
      </c>
      <c r="N103" s="236" t="n">
        <v>39999.99999</v>
      </c>
      <c r="O103" s="236" t="n"/>
      <c r="P103" s="236" t="n"/>
      <c r="Q103" s="236" t="n">
        <v>10999999</v>
      </c>
      <c r="R103" s="236" t="n">
        <v>49999.99998749999</v>
      </c>
      <c r="S103" s="236" t="n"/>
    </row>
    <row r="104" ht="14.25" customHeight="1" s="267">
      <c r="A104" s="236" t="n"/>
      <c r="B104" s="236" t="n"/>
      <c r="C104" s="236" t="n"/>
      <c r="D104" s="236" t="n"/>
      <c r="E104" s="236" t="n"/>
      <c r="F104" s="236" t="n"/>
      <c r="G104" s="236" t="n"/>
      <c r="H104" s="236" t="n"/>
      <c r="I104" s="236" t="n"/>
      <c r="J104" s="236" t="n"/>
      <c r="K104" s="236" t="n"/>
      <c r="L104" s="236" t="n"/>
      <c r="M104" s="236" t="n"/>
      <c r="N104" s="236" t="n"/>
      <c r="O104" s="236" t="n"/>
      <c r="P104" s="236" t="n"/>
      <c r="Q104" s="236" t="n"/>
      <c r="R104" s="236" t="n"/>
      <c r="S104" s="236" t="n"/>
    </row>
    <row r="105" ht="14.25" customHeight="1" s="267">
      <c r="A105" s="236" t="n">
        <v>600000</v>
      </c>
      <c r="B105" s="236" t="n"/>
      <c r="C105" s="236" t="n"/>
      <c r="D105" s="236" t="n"/>
      <c r="E105" s="236" t="n">
        <v>700000</v>
      </c>
      <c r="F105" s="236" t="n"/>
      <c r="G105" s="236" t="n"/>
      <c r="H105" s="236" t="n"/>
      <c r="I105" s="236" t="n">
        <v>800000</v>
      </c>
      <c r="J105" s="236" t="n"/>
      <c r="K105" s="236" t="n"/>
      <c r="L105" s="236" t="n"/>
      <c r="M105" s="236" t="n">
        <v>900000</v>
      </c>
      <c r="N105" s="236" t="n"/>
      <c r="O105" s="236" t="n"/>
      <c r="P105" s="236" t="n"/>
      <c r="Q105" s="236" t="n">
        <v>1000000</v>
      </c>
      <c r="R105" s="236" t="n"/>
      <c r="S105" s="236" t="n"/>
    </row>
    <row r="106" ht="14.25" customHeight="1" s="267">
      <c r="A106" s="45" t="n"/>
      <c r="B106" s="45" t="n"/>
      <c r="C106" s="45" t="n"/>
      <c r="D106" s="45" t="n"/>
      <c r="E106" s="45" t="n"/>
      <c r="F106" s="45" t="n"/>
      <c r="G106" s="45" t="n"/>
      <c r="H106" s="45" t="n"/>
      <c r="I106" s="45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</row>
    <row r="107" ht="14.25" customHeight="1" s="267">
      <c r="A107" s="234" t="inlineStr">
        <is>
          <t>Level</t>
        </is>
      </c>
      <c r="B107" s="45" t="n"/>
      <c r="C107" s="45" t="n"/>
      <c r="D107" s="45" t="n"/>
      <c r="E107" s="45" t="n"/>
      <c r="F107" s="45" t="n"/>
      <c r="G107" s="45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</row>
    <row r="108" ht="14.25" customHeight="1" s="267">
      <c r="A108" s="45" t="inlineStr">
        <is>
          <t>Rookie</t>
        </is>
      </c>
      <c r="B108" s="45" t="n">
        <v>1</v>
      </c>
      <c r="C108" s="45" t="n"/>
      <c r="D108" s="45" t="n"/>
      <c r="E108" s="45" t="n"/>
      <c r="F108" s="45" t="n"/>
      <c r="G108" s="45" t="n"/>
      <c r="H108" s="45" t="n"/>
      <c r="I108" s="45" t="n"/>
      <c r="J108" s="45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</row>
    <row r="109" ht="14.25" customHeight="1" s="267">
      <c r="A109" s="45" t="inlineStr">
        <is>
          <t>Amateur</t>
        </is>
      </c>
      <c r="B109" s="45" t="n">
        <v>2</v>
      </c>
      <c r="C109" s="45" t="n"/>
      <c r="D109" s="45" t="n"/>
      <c r="E109" s="45" t="n"/>
      <c r="F109" s="45" t="n"/>
      <c r="G109" s="45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</row>
    <row r="110" ht="14.25" customHeight="1" s="267">
      <c r="A110" s="45" t="inlineStr">
        <is>
          <t>Pro</t>
        </is>
      </c>
      <c r="B110" s="45" t="n">
        <v>3</v>
      </c>
      <c r="C110" s="45" t="n"/>
      <c r="D110" s="45" t="n"/>
      <c r="E110" s="45" t="n"/>
      <c r="F110" s="45" t="n"/>
      <c r="G110" s="45" t="n"/>
      <c r="H110" s="45" t="n"/>
      <c r="I110" s="45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</row>
    <row r="111" ht="14.25" customHeight="1" s="267">
      <c r="A111" s="45" t="inlineStr">
        <is>
          <t>Master</t>
        </is>
      </c>
      <c r="B111" s="45" t="n">
        <v>4</v>
      </c>
      <c r="C111" s="45" t="n"/>
      <c r="D111" s="45" t="n"/>
      <c r="E111" s="45" t="n"/>
      <c r="F111" s="45" t="n"/>
      <c r="G111" s="45" t="n"/>
      <c r="H111" s="45" t="n"/>
      <c r="I111" s="45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</row>
    <row r="112" ht="14.25" customHeight="1" s="267">
      <c r="A112" s="45" t="inlineStr">
        <is>
          <t>Elite</t>
        </is>
      </c>
      <c r="B112" s="45" t="n">
        <v>5</v>
      </c>
      <c r="C112" s="45" t="n"/>
      <c r="D112" s="45" t="n"/>
      <c r="E112" s="45" t="n"/>
      <c r="F112" s="45" t="n"/>
      <c r="G112" s="45" t="n"/>
      <c r="H112" s="45" t="n"/>
      <c r="I112" s="45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</row>
    <row r="113" ht="14.25" customHeight="1" s="267">
      <c r="A113" s="45" t="n"/>
      <c r="B113" s="45" t="n"/>
      <c r="C113" s="45" t="n"/>
      <c r="D113" s="45" t="n"/>
      <c r="E113" s="45" t="n"/>
      <c r="F113" s="45" t="n"/>
      <c r="G113" s="45" t="n"/>
      <c r="H113" s="45" t="n"/>
      <c r="I113" s="45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</row>
    <row r="114" ht="14.25" customHeight="1" s="267">
      <c r="A114" s="234" t="inlineStr">
        <is>
          <t>Compounds</t>
        </is>
      </c>
      <c r="B114" s="45" t="n"/>
      <c r="C114" s="45" t="n"/>
      <c r="D114" s="45" t="n"/>
      <c r="E114" s="45" t="n"/>
      <c r="F114" s="45" t="n"/>
      <c r="G114" s="45" t="n"/>
      <c r="H114" s="45" t="n"/>
      <c r="I114" s="45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</row>
    <row r="115" ht="14.25" customHeight="1" s="267">
      <c r="A115" s="45" t="inlineStr">
        <is>
          <t>Extra Soft</t>
        </is>
      </c>
      <c r="B115" s="45" t="n">
        <v>1</v>
      </c>
      <c r="C115" s="45" t="n"/>
      <c r="D115" s="45" t="n"/>
      <c r="E115" s="45" t="n"/>
      <c r="F115" s="45" t="n"/>
      <c r="G115" s="45" t="n"/>
      <c r="H115" s="45" t="n"/>
      <c r="I115" s="45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</row>
    <row r="116" ht="14.25" customHeight="1" s="267">
      <c r="A116" s="45" t="inlineStr">
        <is>
          <t>Soft</t>
        </is>
      </c>
      <c r="B116" s="45" t="n">
        <v>2</v>
      </c>
      <c r="C116" s="45" t="n"/>
      <c r="D116" s="45" t="n"/>
      <c r="E116" s="45" t="n"/>
      <c r="F116" s="45" t="n"/>
      <c r="G116" s="45" t="n"/>
      <c r="H116" s="45" t="n"/>
      <c r="I116" s="45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</row>
    <row r="117" ht="14.25" customHeight="1" s="267">
      <c r="A117" s="45" t="inlineStr">
        <is>
          <t>Medium</t>
        </is>
      </c>
      <c r="B117" s="45" t="n">
        <v>3</v>
      </c>
      <c r="C117" s="45" t="n"/>
      <c r="D117" s="45" t="n"/>
      <c r="E117" s="45" t="n"/>
      <c r="F117" s="45" t="n"/>
      <c r="G117" s="45" t="n"/>
      <c r="H117" s="45" t="n"/>
      <c r="I117" s="45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</row>
    <row r="118" ht="14.25" customHeight="1" s="267">
      <c r="A118" s="45" t="inlineStr">
        <is>
          <t>Hard</t>
        </is>
      </c>
      <c r="B118" s="45" t="n">
        <v>4</v>
      </c>
      <c r="C118" s="45" t="n"/>
      <c r="D118" s="45" t="n"/>
      <c r="E118" s="45" t="n"/>
      <c r="F118" s="45" t="n"/>
      <c r="G118" s="45" t="n"/>
      <c r="H118" s="45" t="n"/>
      <c r="I118" s="45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</row>
    <row r="119" ht="14.25" customHeight="1" s="267">
      <c r="A119" s="45" t="inlineStr">
        <is>
          <t>Rain</t>
        </is>
      </c>
      <c r="B119" s="45" t="n">
        <v>5</v>
      </c>
      <c r="C119" s="45" t="n"/>
      <c r="D119" s="45" t="n"/>
      <c r="E119" s="45" t="n"/>
      <c r="F119" s="45" t="n"/>
      <c r="G119" s="45" t="n"/>
      <c r="H119" s="45" t="n"/>
      <c r="I119" s="45" t="n"/>
      <c r="J119" s="45" t="n"/>
      <c r="K119" s="45" t="n"/>
      <c r="L119" s="45" t="n"/>
      <c r="M119" s="45" t="n"/>
      <c r="N119" s="45" t="n"/>
      <c r="O119" s="45" t="n"/>
      <c r="P119" s="45" t="n"/>
      <c r="Q119" s="45" t="n"/>
      <c r="R119" s="45" t="n"/>
      <c r="S119" s="45" t="n"/>
    </row>
    <row r="120" ht="14.25" customHeight="1" s="267">
      <c r="A120" s="45" t="n"/>
      <c r="B120" s="45" t="n"/>
      <c r="C120" s="45" t="n"/>
      <c r="D120" s="45" t="n"/>
      <c r="E120" s="45" t="n"/>
      <c r="F120" s="45" t="n"/>
      <c r="G120" s="45" t="n"/>
      <c r="H120" s="45" t="n"/>
      <c r="I120" s="45" t="n"/>
      <c r="J120" s="45" t="n"/>
      <c r="K120" s="45" t="n"/>
      <c r="L120" s="45" t="n"/>
      <c r="M120" s="45" t="n"/>
      <c r="N120" s="45" t="n"/>
      <c r="O120" s="45" t="n"/>
      <c r="P120" s="45" t="n"/>
      <c r="Q120" s="45" t="n"/>
      <c r="R120" s="45" t="n"/>
      <c r="S120" s="45" t="n"/>
    </row>
    <row r="121" ht="14.25" customHeight="1" s="267">
      <c r="A121" s="234" t="inlineStr">
        <is>
          <t>Attributes</t>
        </is>
      </c>
      <c r="B121" s="45" t="n"/>
      <c r="C121" s="45" t="n"/>
      <c r="D121" s="45" t="n"/>
      <c r="E121" s="45" t="n"/>
      <c r="F121" s="45" t="n"/>
      <c r="G121" s="45" t="n"/>
      <c r="H121" s="45" t="n"/>
      <c r="I121" s="45" t="n"/>
      <c r="J121" s="45" t="n"/>
      <c r="K121" s="45" t="n"/>
      <c r="L121" s="45" t="n"/>
      <c r="M121" s="45" t="n"/>
      <c r="N121" s="45" t="n"/>
      <c r="O121" s="45" t="n"/>
      <c r="P121" s="45" t="n"/>
      <c r="Q121" s="45" t="n"/>
      <c r="R121" s="45" t="n"/>
      <c r="S121" s="45" t="n"/>
    </row>
    <row r="122" ht="14.25" customHeight="1" s="267">
      <c r="A122" s="45" t="inlineStr">
        <is>
          <t>Very low</t>
        </is>
      </c>
      <c r="B122" s="45" t="n">
        <v>1</v>
      </c>
      <c r="C122" s="45" t="n"/>
      <c r="D122" s="45" t="n"/>
      <c r="E122" s="45" t="n"/>
      <c r="F122" s="45" t="n"/>
      <c r="G122" s="45" t="n"/>
      <c r="H122" s="45" t="n"/>
      <c r="I122" s="45" t="n"/>
      <c r="J122" s="45" t="n"/>
      <c r="K122" s="45" t="n"/>
      <c r="L122" s="45" t="n"/>
      <c r="M122" s="45" t="n"/>
      <c r="N122" s="45" t="n"/>
      <c r="O122" s="45" t="n"/>
      <c r="P122" s="45" t="n"/>
      <c r="Q122" s="45" t="n"/>
      <c r="R122" s="45" t="n"/>
      <c r="S122" s="45" t="n"/>
    </row>
    <row r="123" ht="14.25" customHeight="1" s="267">
      <c r="A123" s="45" t="inlineStr">
        <is>
          <t>Low</t>
        </is>
      </c>
      <c r="B123" s="45" t="n">
        <v>2</v>
      </c>
      <c r="C123" s="45" t="n"/>
      <c r="D123" s="45" t="n"/>
      <c r="E123" s="45" t="n"/>
      <c r="F123" s="45" t="n"/>
      <c r="G123" s="45" t="n"/>
      <c r="H123" s="45" t="n"/>
      <c r="I123" s="45" t="n"/>
      <c r="J123" s="45" t="n"/>
      <c r="K123" s="45" t="n"/>
      <c r="L123" s="45" t="n"/>
      <c r="M123" s="45" t="n"/>
      <c r="N123" s="45" t="n"/>
      <c r="O123" s="45" t="n"/>
      <c r="P123" s="45" t="n"/>
      <c r="Q123" s="45" t="n"/>
      <c r="R123" s="45" t="n"/>
      <c r="S123" s="45" t="n"/>
    </row>
    <row r="124" ht="14.25" customHeight="1" s="267">
      <c r="A124" s="45" t="inlineStr">
        <is>
          <t>Medium</t>
        </is>
      </c>
      <c r="B124" s="45" t="n">
        <v>3</v>
      </c>
      <c r="C124" s="45" t="n"/>
      <c r="D124" s="45" t="n"/>
      <c r="E124" s="45" t="n"/>
      <c r="F124" s="45" t="n"/>
      <c r="G124" s="45" t="n"/>
      <c r="H124" s="45" t="n"/>
      <c r="I124" s="45" t="n"/>
      <c r="J124" s="45" t="n"/>
      <c r="K124" s="45" t="n"/>
      <c r="L124" s="45" t="n"/>
      <c r="M124" s="45" t="n"/>
      <c r="N124" s="45" t="n"/>
      <c r="O124" s="45" t="n"/>
      <c r="P124" s="45" t="n"/>
      <c r="Q124" s="45" t="n"/>
      <c r="R124" s="45" t="n"/>
      <c r="S124" s="45" t="n"/>
    </row>
    <row r="125" ht="14.25" customHeight="1" s="267">
      <c r="A125" s="45" t="inlineStr">
        <is>
          <t>High</t>
        </is>
      </c>
      <c r="B125" s="45" t="n">
        <v>4</v>
      </c>
      <c r="C125" s="45" t="n"/>
      <c r="D125" s="45" t="n"/>
      <c r="E125" s="45" t="n"/>
      <c r="F125" s="45" t="n"/>
      <c r="G125" s="45" t="n"/>
      <c r="H125" s="45" t="n"/>
      <c r="I125" s="45" t="n"/>
      <c r="J125" s="45" t="n"/>
      <c r="K125" s="45" t="n"/>
      <c r="L125" s="45" t="n"/>
      <c r="M125" s="45" t="n"/>
      <c r="N125" s="45" t="n"/>
      <c r="O125" s="45" t="n"/>
      <c r="P125" s="45" t="n"/>
      <c r="Q125" s="45" t="n"/>
      <c r="R125" s="45" t="n"/>
      <c r="S125" s="45" t="n"/>
    </row>
    <row r="126" ht="14.25" customHeight="1" s="267">
      <c r="A126" s="45" t="inlineStr">
        <is>
          <t>Very high</t>
        </is>
      </c>
      <c r="B126" s="45" t="n">
        <v>5</v>
      </c>
      <c r="C126" s="45" t="n"/>
      <c r="D126" s="45" t="n"/>
      <c r="E126" s="45" t="n"/>
      <c r="F126" s="45" t="n"/>
      <c r="G126" s="45" t="n"/>
      <c r="H126" s="45" t="n"/>
      <c r="I126" s="45" t="n"/>
      <c r="J126" s="45" t="n"/>
      <c r="K126" s="45" t="n"/>
      <c r="L126" s="45" t="n"/>
      <c r="M126" s="45" t="n"/>
      <c r="N126" s="45" t="n"/>
      <c r="O126" s="45" t="n"/>
      <c r="P126" s="45" t="n"/>
      <c r="Q126" s="45" t="n"/>
      <c r="R126" s="45" t="n"/>
      <c r="S126" s="45" t="n"/>
    </row>
    <row r="127" ht="14.25" customHeight="1" s="267">
      <c r="A127" s="45" t="n"/>
      <c r="B127" s="45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</row>
    <row r="128" ht="14.25" customHeight="1" s="267">
      <c r="A128" s="234" t="inlineStr">
        <is>
          <t>PHA</t>
        </is>
      </c>
      <c r="B128" s="45" t="n"/>
      <c r="C128" s="45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  <c r="N128" s="45" t="n"/>
      <c r="O128" s="45" t="n"/>
      <c r="P128" s="45" t="n"/>
      <c r="Q128" s="45" t="n"/>
      <c r="R128" s="45" t="n"/>
      <c r="S128" s="45" t="n"/>
    </row>
    <row r="129" ht="14.25" customHeight="1" s="267">
      <c r="A129" s="45" t="inlineStr">
        <is>
          <t>Chassis</t>
        </is>
      </c>
      <c r="B129" s="45" t="n">
        <v>0.6611772840158725</v>
      </c>
      <c r="C129" s="45" t="n">
        <v>1.594943797598324</v>
      </c>
      <c r="D129" s="45" t="n">
        <v>1.319462498291667</v>
      </c>
      <c r="E129" s="45" t="n"/>
      <c r="F129" s="45" t="n"/>
      <c r="G129" s="45" t="n"/>
      <c r="H129" s="45" t="n"/>
      <c r="I129" s="45" t="n"/>
      <c r="J129" s="45" t="n"/>
      <c r="K129" s="45" t="n"/>
      <c r="L129" s="45" t="n"/>
      <c r="M129" s="45" t="n"/>
      <c r="N129" s="45" t="n"/>
      <c r="O129" s="45" t="n"/>
      <c r="P129" s="45" t="n"/>
      <c r="Q129" s="45" t="n"/>
      <c r="R129" s="45" t="n"/>
      <c r="S129" s="45" t="n"/>
    </row>
    <row r="130" ht="14.25" customHeight="1" s="267">
      <c r="A130" s="45" t="inlineStr">
        <is>
          <t>Engine</t>
        </is>
      </c>
      <c r="B130" s="45" t="n">
        <v>5.974035728053393</v>
      </c>
      <c r="C130" s="45" t="n">
        <v>0.6603720921858589</v>
      </c>
      <c r="D130" s="45" t="n">
        <v>2.130817858892837</v>
      </c>
      <c r="E130" s="45" t="n"/>
      <c r="F130" s="45" t="n"/>
      <c r="G130" s="45" t="n"/>
      <c r="H130" s="45" t="n"/>
      <c r="I130" s="45" t="n"/>
      <c r="J130" s="45" t="n"/>
      <c r="K130" s="45" t="n"/>
      <c r="L130" s="45" t="n"/>
      <c r="M130" s="45" t="n"/>
      <c r="N130" s="45" t="n"/>
      <c r="O130" s="45" t="n"/>
      <c r="P130" s="45" t="n"/>
      <c r="Q130" s="45" t="n"/>
      <c r="R130" s="45" t="n"/>
      <c r="S130" s="45" t="n"/>
    </row>
    <row r="131" ht="14.25" customHeight="1" s="267">
      <c r="A131" s="45" t="inlineStr">
        <is>
          <t>Front Wing</t>
        </is>
      </c>
      <c r="B131" s="45" t="n">
        <v>0.6613863794877104</v>
      </c>
      <c r="C131" s="45" t="n">
        <v>3.06192219995356</v>
      </c>
      <c r="D131" s="45" t="n">
        <v>0.3978455328601297</v>
      </c>
      <c r="E131" s="45" t="n"/>
      <c r="F131" s="45" t="n"/>
      <c r="G131" s="45" t="n"/>
      <c r="H131" s="45" t="n"/>
      <c r="I131" s="45" t="n"/>
      <c r="J131" s="45" t="n"/>
      <c r="K131" s="45" t="n"/>
      <c r="L131" s="45" t="n"/>
      <c r="M131" s="45" t="n"/>
      <c r="N131" s="45" t="n"/>
      <c r="O131" s="45" t="n"/>
      <c r="P131" s="45" t="n"/>
      <c r="Q131" s="45" t="n"/>
      <c r="R131" s="45" t="n"/>
      <c r="S131" s="45" t="n"/>
    </row>
    <row r="132" ht="14.25" customHeight="1" s="267">
      <c r="A132" s="45" t="inlineStr">
        <is>
          <t>Rear Wing</t>
        </is>
      </c>
      <c r="B132" s="45" t="n">
        <v>0.001177632942327431</v>
      </c>
      <c r="C132" s="45" t="n">
        <v>1.853422046724383</v>
      </c>
      <c r="D132" s="45" t="n">
        <v>2.125925890711291</v>
      </c>
      <c r="E132" s="45" t="n"/>
      <c r="F132" s="45" t="n"/>
      <c r="G132" s="45" t="n"/>
      <c r="H132" s="45" t="n"/>
      <c r="I132" s="45" t="n"/>
      <c r="J132" s="45" t="n"/>
      <c r="K132" s="45" t="n"/>
      <c r="L132" s="45" t="n"/>
      <c r="M132" s="45" t="n"/>
      <c r="N132" s="45" t="n"/>
      <c r="O132" s="45" t="n"/>
      <c r="P132" s="45" t="n"/>
      <c r="Q132" s="45" t="n"/>
      <c r="R132" s="45" t="n"/>
      <c r="S132" s="45" t="n"/>
    </row>
    <row r="133" ht="14.25" customHeight="1" s="267">
      <c r="A133" s="45" t="inlineStr">
        <is>
          <t>Underbody</t>
        </is>
      </c>
      <c r="B133" s="45" t="n">
        <v>0</v>
      </c>
      <c r="C133" s="45" t="n">
        <v>0.9330410277740928</v>
      </c>
      <c r="D133" s="45" t="n">
        <v>0.4027375010416658</v>
      </c>
      <c r="E133" s="45" t="n"/>
      <c r="F133" s="45" t="n"/>
      <c r="G133" s="45" t="n"/>
      <c r="H133" s="45" t="n"/>
      <c r="I133" s="45" t="n"/>
      <c r="J133" s="45" t="n"/>
      <c r="K133" s="45" t="n"/>
      <c r="L133" s="45" t="n"/>
      <c r="M133" s="45" t="n"/>
      <c r="N133" s="45" t="n"/>
      <c r="O133" s="45" t="n"/>
      <c r="P133" s="45" t="n"/>
      <c r="Q133" s="45" t="n"/>
      <c r="R133" s="45" t="n"/>
      <c r="S133" s="45" t="n"/>
    </row>
    <row r="134" ht="14.25" customHeight="1" s="267">
      <c r="A134" s="45" t="inlineStr">
        <is>
          <t>Sidepods</t>
        </is>
      </c>
      <c r="B134" s="45" t="n">
        <v>0.6666745795598527</v>
      </c>
      <c r="C134" s="45" t="n">
        <v>0.659781393955752</v>
      </c>
      <c r="D134" s="45" t="n">
        <v>0</v>
      </c>
      <c r="E134" s="45" t="n"/>
      <c r="F134" s="45" t="n"/>
      <c r="G134" s="45" t="n"/>
      <c r="H134" s="45" t="n"/>
      <c r="I134" s="45" t="n"/>
      <c r="J134" s="45" t="n"/>
      <c r="K134" s="45" t="n"/>
      <c r="L134" s="45" t="n"/>
      <c r="M134" s="45" t="n"/>
      <c r="N134" s="45" t="n"/>
      <c r="O134" s="45" t="n"/>
      <c r="P134" s="45" t="n"/>
      <c r="Q134" s="45" t="n"/>
      <c r="R134" s="45" t="n"/>
      <c r="S134" s="45" t="n"/>
    </row>
    <row r="135" ht="14.25" customHeight="1" s="267">
      <c r="A135" s="45" t="inlineStr">
        <is>
          <t>Cooling</t>
        </is>
      </c>
      <c r="B135" s="45" t="n">
        <v>1.192634303770551</v>
      </c>
      <c r="C135" s="45" t="n">
        <v>0.0009874668009924301</v>
      </c>
      <c r="D135" s="45" t="n">
        <v>1.799997924184363e-08</v>
      </c>
      <c r="E135" s="45" t="n"/>
      <c r="F135" s="45" t="n"/>
      <c r="G135" s="45" t="n"/>
      <c r="H135" s="45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</row>
    <row r="136" ht="14.25" customHeight="1" s="267">
      <c r="A136" s="45" t="inlineStr">
        <is>
          <t>Gearbox</t>
        </is>
      </c>
      <c r="B136" s="45" t="n">
        <v>3.054626643929288</v>
      </c>
      <c r="C136" s="45" t="n">
        <v>0.932792265605395</v>
      </c>
      <c r="D136" s="45" t="n">
        <v>4.246121430404773</v>
      </c>
      <c r="E136" s="45" t="n"/>
      <c r="F136" s="45" t="n"/>
      <c r="G136" s="45" t="n"/>
      <c r="H136" s="45" t="n"/>
      <c r="I136" s="45" t="n"/>
      <c r="J136" s="45" t="n"/>
      <c r="K136" s="45" t="n"/>
      <c r="L136" s="45" t="n"/>
      <c r="M136" s="45" t="n"/>
      <c r="N136" s="45" t="n"/>
      <c r="O136" s="45" t="n"/>
      <c r="P136" s="45" t="n"/>
      <c r="Q136" s="45" t="n"/>
      <c r="R136" s="45" t="n"/>
      <c r="S136" s="45" t="n"/>
    </row>
    <row r="137" ht="14.25" customHeight="1" s="267">
      <c r="A137" s="45" t="inlineStr">
        <is>
          <t>Brakes</t>
        </is>
      </c>
      <c r="B137" s="45" t="n">
        <v>0.002689100036086079</v>
      </c>
      <c r="C137" s="45" t="n">
        <v>1.853451262035285</v>
      </c>
      <c r="D137" s="45" t="n">
        <v>0</v>
      </c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5" t="n"/>
      <c r="Q137" s="45" t="n"/>
      <c r="R137" s="45" t="n"/>
      <c r="S137" s="45" t="n"/>
    </row>
    <row r="138" ht="14.25" customHeight="1" s="267">
      <c r="A138" s="45" t="inlineStr">
        <is>
          <t>Suspension</t>
        </is>
      </c>
      <c r="B138" s="45" t="n">
        <v>0</v>
      </c>
      <c r="C138" s="45" t="n">
        <v>1.854586785495106</v>
      </c>
      <c r="D138" s="45" t="n">
        <v>1.319512497791678</v>
      </c>
      <c r="E138" s="45" t="n"/>
      <c r="F138" s="45" t="n"/>
      <c r="G138" s="45" t="n"/>
      <c r="H138" s="45" t="n"/>
      <c r="I138" s="45" t="n"/>
      <c r="J138" s="45" t="n"/>
      <c r="K138" s="45" t="n"/>
      <c r="L138" s="45" t="n"/>
      <c r="M138" s="45" t="n"/>
      <c r="N138" s="45" t="n"/>
      <c r="O138" s="45" t="n"/>
      <c r="P138" s="45" t="n"/>
      <c r="Q138" s="45" t="n"/>
      <c r="R138" s="45" t="n"/>
      <c r="S138" s="45" t="n"/>
    </row>
    <row r="139" ht="14.25" customHeight="1" s="267">
      <c r="A139" s="45" t="inlineStr">
        <is>
          <t>Electronics</t>
        </is>
      </c>
      <c r="B139" s="45" t="n">
        <v>1.191331932148638</v>
      </c>
      <c r="C139" s="45" t="n">
        <v>0.0003957537435677561</v>
      </c>
      <c r="D139" s="45" t="n">
        <v>1.329396424154776</v>
      </c>
      <c r="E139" s="45" t="n"/>
      <c r="F139" s="45" t="n"/>
      <c r="G139" s="45" t="n"/>
      <c r="H139" s="45" t="n"/>
      <c r="I139" s="45" t="n"/>
      <c r="J139" s="45" t="n"/>
      <c r="K139" s="45" t="n"/>
      <c r="L139" s="45" t="n"/>
      <c r="M139" s="45" t="n"/>
      <c r="N139" s="45" t="n"/>
      <c r="O139" s="45" t="n"/>
      <c r="P139" s="45" t="n"/>
      <c r="Q139" s="45" t="n"/>
      <c r="R139" s="45" t="n"/>
      <c r="S139" s="45" t="n"/>
    </row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10" defaultColWidth="14.5" defaultRowHeight="15" customHeight="1"/>
  <cols>
    <col width="14.1640625" customWidth="1" style="267" min="1" max="1"/>
    <col width="9.1640625" customWidth="1" style="267" min="2" max="18"/>
  </cols>
  <sheetData>
    <row r="1" ht="14.25" customHeight="1" s="267">
      <c r="A1" s="244" t="n"/>
      <c r="B1" s="245" t="inlineStr">
        <is>
          <t>cha</t>
        </is>
      </c>
      <c r="C1" s="245" t="inlineStr">
        <is>
          <t>eng</t>
        </is>
      </c>
      <c r="D1" s="245" t="inlineStr">
        <is>
          <t>fwing</t>
        </is>
      </c>
      <c r="E1" s="245" t="inlineStr">
        <is>
          <t>rwing</t>
        </is>
      </c>
      <c r="F1" s="245" t="inlineStr">
        <is>
          <t>und</t>
        </is>
      </c>
      <c r="G1" s="245" t="inlineStr">
        <is>
          <t>side</t>
        </is>
      </c>
      <c r="H1" s="245" t="inlineStr">
        <is>
          <t>coo</t>
        </is>
      </c>
      <c r="I1" s="245" t="inlineStr">
        <is>
          <t>gear</t>
        </is>
      </c>
      <c r="J1" s="245" t="inlineStr">
        <is>
          <t>bra</t>
        </is>
      </c>
      <c r="K1" s="245" t="inlineStr">
        <is>
          <t>sus</t>
        </is>
      </c>
      <c r="L1" s="246" t="inlineStr">
        <is>
          <t>elec</t>
        </is>
      </c>
      <c r="M1" s="45" t="n"/>
      <c r="N1" s="45" t="n"/>
      <c r="O1" s="45" t="n"/>
      <c r="P1" s="45" t="n"/>
      <c r="Q1" s="45" t="n"/>
      <c r="R1" s="45" t="n"/>
    </row>
    <row r="2" ht="14.25" customHeight="1" s="267">
      <c r="A2" s="247" t="inlineStr">
        <is>
          <t>A1-Ring</t>
        </is>
      </c>
      <c r="B2" s="45" t="n">
        <v>17.16025958775613</v>
      </c>
      <c r="C2" s="45" t="n">
        <v>30.53206481474578</v>
      </c>
      <c r="D2" s="45" t="n">
        <v>12.24985396121306</v>
      </c>
      <c r="E2" s="45" t="n">
        <v>12.99839796864897</v>
      </c>
      <c r="F2" s="45" t="n">
        <v>12.4752499266918</v>
      </c>
      <c r="G2" s="45" t="n">
        <v>14.52394167794459</v>
      </c>
      <c r="H2" s="45" t="n">
        <v>11.21350189454934</v>
      </c>
      <c r="I2" s="45" t="n">
        <v>21.68263730615119</v>
      </c>
      <c r="J2" s="45" t="n">
        <v>25.23174840134884</v>
      </c>
      <c r="K2" s="45" t="n">
        <v>16.52518619196856</v>
      </c>
      <c r="L2" s="248" t="n">
        <v>12.98208074429721</v>
      </c>
      <c r="M2" s="45" t="n"/>
      <c r="N2" s="45" t="n"/>
      <c r="O2" s="45" t="n"/>
      <c r="P2" s="45" t="n"/>
      <c r="Q2" s="45" t="n"/>
      <c r="R2" s="45" t="n"/>
    </row>
    <row r="3" ht="14.25" customHeight="1" s="267">
      <c r="A3" s="247" t="inlineStr">
        <is>
          <t>Adelaide</t>
        </is>
      </c>
      <c r="B3" s="45" t="n">
        <v>22.60620441307623</v>
      </c>
      <c r="C3" s="45" t="n">
        <v>12.49428359344566</v>
      </c>
      <c r="D3" s="45" t="n">
        <v>23.92039568077115</v>
      </c>
      <c r="E3" s="45" t="n">
        <v>27.72915426680654</v>
      </c>
      <c r="F3" s="45" t="n">
        <v>25.37160942282661</v>
      </c>
      <c r="G3" s="45" t="n">
        <v>16.00628314365529</v>
      </c>
      <c r="H3" s="45" t="n">
        <v>18.36185197385046</v>
      </c>
      <c r="I3" s="45" t="n">
        <v>18.02160080343103</v>
      </c>
      <c r="J3" s="45" t="n">
        <v>14.93072506633319</v>
      </c>
      <c r="K3" s="45" t="n">
        <v>10.20586345898107</v>
      </c>
      <c r="L3" s="248" t="n">
        <v>13.74894938605522</v>
      </c>
      <c r="M3" s="45" t="n"/>
      <c r="N3" s="45" t="n"/>
      <c r="O3" s="45" t="n"/>
      <c r="P3" s="45" t="n"/>
      <c r="Q3" s="45" t="n"/>
      <c r="R3" s="45" t="n"/>
    </row>
    <row r="4" ht="14.25" customHeight="1" s="267">
      <c r="A4" s="247" t="inlineStr">
        <is>
          <t>Ahvenisto</t>
        </is>
      </c>
      <c r="B4" s="45" t="n">
        <v>12.02132108645497</v>
      </c>
      <c r="C4" s="45" t="n">
        <v>14.96711983542994</v>
      </c>
      <c r="D4" s="45" t="n">
        <v>15.91732297879178</v>
      </c>
      <c r="E4" s="45" t="n">
        <v>15.51713573142407</v>
      </c>
      <c r="F4" s="45" t="n">
        <v>13.40414871791051</v>
      </c>
      <c r="G4" s="45" t="n">
        <v>11.92906181846646</v>
      </c>
      <c r="H4" s="45" t="n">
        <v>9.87119622499298</v>
      </c>
      <c r="I4" s="45" t="n">
        <v>14.55569944686746</v>
      </c>
      <c r="J4" s="45" t="n">
        <v>18.02729343948364</v>
      </c>
      <c r="K4" s="45" t="n">
        <v>13.61654371394007</v>
      </c>
      <c r="L4" s="248" t="n">
        <v>7.790209129036779</v>
      </c>
      <c r="M4" s="45" t="n"/>
      <c r="N4" s="249" t="inlineStr">
        <is>
          <t>Constant</t>
        </is>
      </c>
      <c r="O4" s="250" t="n">
        <v>8.4</v>
      </c>
      <c r="P4" s="45" t="n"/>
      <c r="Q4" s="45" t="n"/>
      <c r="R4" s="45" t="n"/>
    </row>
    <row r="5" ht="14.25" customHeight="1" s="267">
      <c r="A5" s="247" t="inlineStr">
        <is>
          <t>Anderstorp</t>
        </is>
      </c>
      <c r="B5" s="45" t="n">
        <v>15.22983472009615</v>
      </c>
      <c r="C5" s="45" t="n">
        <v>29.22364520895889</v>
      </c>
      <c r="D5" s="45" t="n">
        <v>12.52144086325653</v>
      </c>
      <c r="E5" s="45" t="n">
        <v>11.7657347890894</v>
      </c>
      <c r="F5" s="45" t="n">
        <v>24.89809488866299</v>
      </c>
      <c r="G5" s="45" t="n">
        <v>16.61125234618815</v>
      </c>
      <c r="H5" s="45" t="n">
        <v>9.979184464363025</v>
      </c>
      <c r="I5" s="45" t="n">
        <v>24.22615252099784</v>
      </c>
      <c r="J5" s="45" t="n">
        <v>30.5405001125576</v>
      </c>
      <c r="K5" s="45" t="n">
        <v>13.36346102888952</v>
      </c>
      <c r="L5" s="248" t="n">
        <v>8.693877081805189</v>
      </c>
      <c r="M5" s="45" t="n"/>
      <c r="N5" s="244" t="inlineStr">
        <is>
          <t>Concentration</t>
        </is>
      </c>
      <c r="O5" s="246" t="n">
        <v>-0.022</v>
      </c>
      <c r="P5" s="45" t="n"/>
      <c r="Q5" s="45" t="n"/>
      <c r="R5" s="45" t="n"/>
    </row>
    <row r="6" ht="14.25" customHeight="1" s="267">
      <c r="A6" s="247" t="inlineStr">
        <is>
          <t>Austin</t>
        </is>
      </c>
      <c r="B6" s="45" t="n">
        <v>11.73170335879032</v>
      </c>
      <c r="C6" s="45" t="n">
        <v>22.38793194912105</v>
      </c>
      <c r="D6" s="45" t="n">
        <v>17.71892509964228</v>
      </c>
      <c r="E6" s="45" t="n">
        <v>17.73502838009486</v>
      </c>
      <c r="F6" s="45" t="n">
        <v>12.69029446300692</v>
      </c>
      <c r="G6" s="45" t="n">
        <v>12.09450061019525</v>
      </c>
      <c r="H6" s="45" t="n">
        <v>12.36784766851836</v>
      </c>
      <c r="I6" s="45" t="n">
        <v>18.52946617116234</v>
      </c>
      <c r="J6" s="45" t="n">
        <v>21.56016607312316</v>
      </c>
      <c r="K6" s="45" t="n">
        <v>10.17408579269857</v>
      </c>
      <c r="L6" s="248" t="n">
        <v>10.16066702080937</v>
      </c>
      <c r="M6" s="45" t="n"/>
      <c r="N6" s="247" t="inlineStr">
        <is>
          <t>Talent</t>
        </is>
      </c>
      <c r="O6" s="248" t="n">
        <v>-0.022</v>
      </c>
      <c r="P6" s="45" t="n"/>
      <c r="Q6" s="45" t="n"/>
      <c r="R6" s="45" t="n"/>
    </row>
    <row r="7" ht="14.25" customHeight="1" s="267">
      <c r="A7" s="247" t="inlineStr">
        <is>
          <t>Avus</t>
        </is>
      </c>
      <c r="B7" s="45" t="n">
        <v>18.92789115646259</v>
      </c>
      <c r="C7" s="45" t="n">
        <v>51.67194244604316</v>
      </c>
      <c r="D7" s="45" t="n">
        <v>10.66474820143885</v>
      </c>
      <c r="E7" s="45" t="n">
        <v>11.44489795918367</v>
      </c>
      <c r="F7" s="45" t="n">
        <v>22.32925170068027</v>
      </c>
      <c r="G7" s="45" t="n">
        <v>11.3841726618705</v>
      </c>
      <c r="H7" s="45" t="n">
        <v>12.12517006802721</v>
      </c>
      <c r="I7" s="45" t="n">
        <v>16.88707482993197</v>
      </c>
      <c r="J7" s="45" t="n">
        <v>14.84625850340136</v>
      </c>
      <c r="K7" s="45" t="n">
        <v>37.558</v>
      </c>
      <c r="L7" s="248" t="n">
        <v>13.48571428571428</v>
      </c>
      <c r="M7" s="45" t="n"/>
      <c r="N7" s="247" t="inlineStr">
        <is>
          <t>Aggressiveness</t>
        </is>
      </c>
      <c r="O7" s="248" t="n">
        <v>0</v>
      </c>
      <c r="P7" s="45" t="n"/>
      <c r="Q7" s="45" t="n"/>
      <c r="R7" s="45" t="n"/>
    </row>
    <row r="8" ht="14.25" customHeight="1" s="267">
      <c r="A8" s="247" t="inlineStr">
        <is>
          <t>Baku City</t>
        </is>
      </c>
      <c r="B8" s="45" t="n">
        <v>13.84421670826604</v>
      </c>
      <c r="C8" s="45" t="n">
        <v>32.86602562389437</v>
      </c>
      <c r="D8" s="45" t="n">
        <v>13.15040571624333</v>
      </c>
      <c r="E8" s="45" t="n">
        <v>14.55366514951304</v>
      </c>
      <c r="F8" s="45" t="n">
        <v>12.44237459012382</v>
      </c>
      <c r="G8" s="45" t="n">
        <v>15.39348309107816</v>
      </c>
      <c r="H8" s="45" t="n">
        <v>11.86327215778397</v>
      </c>
      <c r="I8" s="45" t="n">
        <v>17.31306807615132</v>
      </c>
      <c r="J8" s="45" t="n">
        <v>28.12386237948417</v>
      </c>
      <c r="K8" s="45" t="n">
        <v>12.72007438946802</v>
      </c>
      <c r="L8" s="248" t="n">
        <v>10.21423775265502</v>
      </c>
      <c r="M8" s="45" t="n"/>
      <c r="N8" s="247" t="inlineStr">
        <is>
          <t>Experience</t>
        </is>
      </c>
      <c r="O8" s="248" t="n">
        <v>-0.022</v>
      </c>
      <c r="P8" s="45" t="n"/>
      <c r="Q8" s="45" t="n"/>
      <c r="R8" s="45" t="n"/>
    </row>
    <row r="9" ht="14.25" customHeight="1" s="267">
      <c r="A9" s="247" t="inlineStr">
        <is>
          <t>Barcelona</t>
        </is>
      </c>
      <c r="B9" s="45" t="n">
        <v>16.62138257427386</v>
      </c>
      <c r="C9" s="45" t="n">
        <v>34.36610344814355</v>
      </c>
      <c r="D9" s="45" t="n">
        <v>26.61691011362258</v>
      </c>
      <c r="E9" s="45" t="n">
        <v>31.20658722659796</v>
      </c>
      <c r="F9" s="45" t="n">
        <v>20.16206697826927</v>
      </c>
      <c r="G9" s="45" t="n">
        <v>14.66018460642292</v>
      </c>
      <c r="H9" s="45" t="n">
        <v>14.44299197370698</v>
      </c>
      <c r="I9" s="45" t="n">
        <v>21.85591635288771</v>
      </c>
      <c r="J9" s="45" t="n">
        <v>31.33260289554818</v>
      </c>
      <c r="K9" s="45" t="n">
        <v>24.76829347513213</v>
      </c>
      <c r="L9" s="248" t="n">
        <v>12.7355109364373</v>
      </c>
      <c r="M9" s="45" t="n"/>
      <c r="N9" s="247" t="inlineStr">
        <is>
          <t>Technical</t>
        </is>
      </c>
      <c r="O9" s="248" t="n">
        <v>0</v>
      </c>
      <c r="P9" s="45" t="n"/>
      <c r="Q9" s="45" t="n"/>
      <c r="R9" s="45" t="n"/>
    </row>
    <row r="10" ht="14.25" customHeight="1" s="267">
      <c r="A10" s="247" t="inlineStr">
        <is>
          <t>Brands Hatch</t>
        </is>
      </c>
      <c r="B10" s="45" t="n">
        <v>7.938348718027067</v>
      </c>
      <c r="C10" s="45" t="n">
        <v>19.15518149568579</v>
      </c>
      <c r="D10" s="45" t="n">
        <v>12.65916145323857</v>
      </c>
      <c r="E10" s="45" t="n">
        <v>15.47539261799866</v>
      </c>
      <c r="F10" s="45" t="n">
        <v>17.00140900469978</v>
      </c>
      <c r="G10" s="45" t="n">
        <v>10.1139307172739</v>
      </c>
      <c r="H10" s="45" t="n">
        <v>8.68078711370014</v>
      </c>
      <c r="I10" s="45" t="n">
        <v>13.39407272013335</v>
      </c>
      <c r="J10" s="45" t="n">
        <v>22.8011399779749</v>
      </c>
      <c r="K10" s="45" t="n">
        <v>22.82416850639613</v>
      </c>
      <c r="L10" s="248" t="n">
        <v>12.51515608602429</v>
      </c>
      <c r="M10" s="45" t="n"/>
      <c r="N10" s="247" t="inlineStr">
        <is>
          <t>Stamina</t>
        </is>
      </c>
      <c r="O10" s="248" t="n">
        <v>0</v>
      </c>
      <c r="P10" s="45" t="n"/>
      <c r="Q10" s="45" t="n"/>
      <c r="R10" s="45" t="n"/>
    </row>
    <row r="11" ht="14.25" customHeight="1" s="267">
      <c r="A11" s="247" t="inlineStr">
        <is>
          <t>Brasilia</t>
        </is>
      </c>
      <c r="B11" s="45" t="n">
        <v>12.81094023918126</v>
      </c>
      <c r="C11" s="45" t="n">
        <v>23.62530637020404</v>
      </c>
      <c r="D11" s="45" t="n">
        <v>16.02277416046082</v>
      </c>
      <c r="E11" s="45" t="n">
        <v>19.25509170262077</v>
      </c>
      <c r="F11" s="45" t="n">
        <v>13.38011883441578</v>
      </c>
      <c r="G11" s="45" t="n">
        <v>12.53659868121924</v>
      </c>
      <c r="H11" s="45" t="n">
        <v>13.86639868993243</v>
      </c>
      <c r="I11" s="45" t="n">
        <v>20.00528108369253</v>
      </c>
      <c r="J11" s="45" t="n">
        <v>26.46470993883907</v>
      </c>
      <c r="K11" s="45" t="n">
        <v>13.44211086454356</v>
      </c>
      <c r="L11" s="248" t="n">
        <v>11.43348219851318</v>
      </c>
      <c r="M11" s="45" t="n"/>
      <c r="N11" s="247" t="inlineStr">
        <is>
          <t>Charisma</t>
        </is>
      </c>
      <c r="O11" s="248" t="n">
        <v>0</v>
      </c>
      <c r="P11" s="45" t="n"/>
      <c r="Q11" s="45" t="n"/>
      <c r="R11" s="45" t="n"/>
    </row>
    <row r="12" ht="14.25" customHeight="1" s="267">
      <c r="A12" s="247" t="inlineStr">
        <is>
          <t>Bremgarten</t>
        </is>
      </c>
      <c r="B12" s="45" t="n">
        <v>23.42829736211031</v>
      </c>
      <c r="C12" s="45" t="n">
        <v>13.8751652256082</v>
      </c>
      <c r="D12" s="45" t="n">
        <v>13.1031175059952</v>
      </c>
      <c r="E12" s="45" t="n">
        <v>12.63655198290347</v>
      </c>
      <c r="F12" s="45" t="n">
        <v>24.87437641723356</v>
      </c>
      <c r="G12" s="45" t="n">
        <v>19.56308585784434</v>
      </c>
      <c r="H12" s="45" t="n">
        <v>10.08616780045351</v>
      </c>
      <c r="I12" s="45" t="n">
        <v>21.63284882298244</v>
      </c>
      <c r="J12" s="45" t="n">
        <v>18.75192743764173</v>
      </c>
      <c r="K12" s="45" t="n">
        <v>25.5546485260771</v>
      </c>
      <c r="L12" s="248" t="n">
        <v>8.936485097636178</v>
      </c>
      <c r="M12" s="45" t="n"/>
      <c r="N12" s="247" t="inlineStr">
        <is>
          <t>Motivation</t>
        </is>
      </c>
      <c r="O12" s="248" t="n">
        <v>0</v>
      </c>
      <c r="P12" s="45" t="n"/>
      <c r="Q12" s="45" t="n"/>
      <c r="R12" s="45" t="n"/>
    </row>
    <row r="13" ht="14.25" customHeight="1" s="267">
      <c r="A13" s="247" t="inlineStr">
        <is>
          <t>Brno</t>
        </is>
      </c>
      <c r="B13" s="45" t="n">
        <v>16.60955247822696</v>
      </c>
      <c r="C13" s="45" t="n">
        <v>26.99668202824312</v>
      </c>
      <c r="D13" s="45" t="n">
        <v>18.09770733921746</v>
      </c>
      <c r="E13" s="45" t="n">
        <v>15.22660260195055</v>
      </c>
      <c r="F13" s="45" t="n">
        <v>17.73974325526241</v>
      </c>
      <c r="G13" s="45" t="n">
        <v>16.99525038572564</v>
      </c>
      <c r="H13" s="45" t="n">
        <v>15.98981603303414</v>
      </c>
      <c r="I13" s="45" t="n">
        <v>19.37778115216312</v>
      </c>
      <c r="J13" s="45" t="n">
        <v>21.66004828270954</v>
      </c>
      <c r="K13" s="45" t="n">
        <v>17.77567901063489</v>
      </c>
      <c r="L13" s="248" t="n">
        <v>13.17133068457866</v>
      </c>
      <c r="M13" s="45" t="n"/>
      <c r="N13" s="247" t="inlineStr">
        <is>
          <t>Reputation</t>
        </is>
      </c>
      <c r="O13" s="248" t="n">
        <v>0</v>
      </c>
      <c r="P13" s="45" t="n"/>
      <c r="Q13" s="45" t="n"/>
      <c r="R13" s="45" t="n"/>
    </row>
    <row r="14" ht="14.25" customHeight="1" s="267">
      <c r="A14" s="247" t="inlineStr">
        <is>
          <t>Bucharest Ring</t>
        </is>
      </c>
      <c r="B14" s="45" t="n">
        <v>17.46851876529387</v>
      </c>
      <c r="C14" s="45" t="n">
        <v>36.67213056893681</v>
      </c>
      <c r="D14" s="45" t="n">
        <v>17.62199444554813</v>
      </c>
      <c r="E14" s="45" t="n">
        <v>18.92852151645385</v>
      </c>
      <c r="F14" s="45" t="n">
        <v>22.81462385644222</v>
      </c>
      <c r="G14" s="45" t="n">
        <v>16.36178295608494</v>
      </c>
      <c r="H14" s="45" t="n">
        <v>13.73794967770782</v>
      </c>
      <c r="I14" s="45" t="n">
        <v>26.78522156075387</v>
      </c>
      <c r="J14" s="45" t="n">
        <v>33.4612802901371</v>
      </c>
      <c r="K14" s="45" t="n">
        <v>19.8715867784985</v>
      </c>
      <c r="L14" s="248" t="n">
        <v>16.01784041944226</v>
      </c>
      <c r="M14" s="45" t="n"/>
      <c r="N14" s="247" t="inlineStr">
        <is>
          <t>Weight</t>
        </is>
      </c>
      <c r="O14" s="248" t="n">
        <v>0</v>
      </c>
      <c r="P14" s="45" t="n"/>
      <c r="Q14" s="45" t="n"/>
      <c r="R14" s="45" t="n"/>
    </row>
    <row r="15" ht="14.25" customHeight="1" s="267">
      <c r="A15" s="247" t="inlineStr">
        <is>
          <t>Buenos Aires</t>
        </is>
      </c>
      <c r="B15" s="45" t="n">
        <v>18.57992296924423</v>
      </c>
      <c r="C15" s="45" t="n">
        <v>31.52227355244087</v>
      </c>
      <c r="D15" s="45" t="n">
        <v>14.79270014647461</v>
      </c>
      <c r="E15" s="45" t="n">
        <v>18.41605505400353</v>
      </c>
      <c r="F15" s="45" t="n">
        <v>13.81533258982711</v>
      </c>
      <c r="G15" s="45" t="n">
        <v>12.00719716550018</v>
      </c>
      <c r="H15" s="45" t="n">
        <v>16.04745642051066</v>
      </c>
      <c r="I15" s="45" t="n">
        <v>33.2223495389885</v>
      </c>
      <c r="J15" s="45" t="n">
        <v>41.48454400242217</v>
      </c>
      <c r="K15" s="45" t="n">
        <v>29.83218541444509</v>
      </c>
      <c r="L15" s="248" t="n">
        <v>13.03858449722562</v>
      </c>
      <c r="M15" s="45" t="n"/>
      <c r="N15" s="251" t="inlineStr">
        <is>
          <t>Age</t>
        </is>
      </c>
      <c r="O15" s="252" t="n">
        <v>0</v>
      </c>
      <c r="P15" s="45" t="n"/>
      <c r="Q15" s="45" t="n"/>
      <c r="R15" s="45" t="n"/>
    </row>
    <row r="16" ht="14.25" customHeight="1" s="267">
      <c r="A16" s="247" t="inlineStr">
        <is>
          <t>Estoril</t>
        </is>
      </c>
      <c r="B16" s="45" t="n">
        <v>13.8079309333363</v>
      </c>
      <c r="C16" s="45" t="n">
        <v>29.99585767817213</v>
      </c>
      <c r="D16" s="45" t="n">
        <v>18.04502972198113</v>
      </c>
      <c r="E16" s="45" t="n">
        <v>15.56614234801798</v>
      </c>
      <c r="F16" s="45" t="n">
        <v>17.31551121055764</v>
      </c>
      <c r="G16" s="45" t="n">
        <v>12.47837630120527</v>
      </c>
      <c r="H16" s="45" t="n">
        <v>9.709278242333619</v>
      </c>
      <c r="I16" s="45" t="n">
        <v>22.53201847946467</v>
      </c>
      <c r="J16" s="45" t="n">
        <v>26.20219064061665</v>
      </c>
      <c r="K16" s="45" t="n">
        <v>20.34106341943395</v>
      </c>
      <c r="L16" s="248" t="n">
        <v>9.380662123453298</v>
      </c>
      <c r="M16" s="45" t="n"/>
      <c r="N16" s="45" t="n"/>
      <c r="O16" s="45" t="n"/>
      <c r="P16" s="45" t="n"/>
      <c r="Q16" s="45" t="n"/>
      <c r="R16" s="45" t="n"/>
    </row>
    <row r="17" ht="14.25" customHeight="1" s="267">
      <c r="A17" s="247" t="inlineStr">
        <is>
          <t>Fiorano</t>
        </is>
      </c>
      <c r="B17" s="45" t="n">
        <v>17.09764035142961</v>
      </c>
      <c r="C17" s="45" t="n">
        <v>26.63942834512421</v>
      </c>
      <c r="D17" s="45" t="n">
        <v>17.20222113827205</v>
      </c>
      <c r="E17" s="45" t="n">
        <v>18.88034953916906</v>
      </c>
      <c r="F17" s="45" t="n">
        <v>14.54933354734507</v>
      </c>
      <c r="G17" s="45" t="n">
        <v>12.27019024808756</v>
      </c>
      <c r="H17" s="45" t="n">
        <v>14.1282611503048</v>
      </c>
      <c r="I17" s="45" t="n">
        <v>21.93011442173013</v>
      </c>
      <c r="J17" s="45" t="n">
        <v>27.94937189269901</v>
      </c>
      <c r="K17" s="45" t="n">
        <v>19.44824982682349</v>
      </c>
      <c r="L17" s="248" t="n">
        <v>14.05203148090432</v>
      </c>
      <c r="M17" s="45" t="n"/>
      <c r="N17" s="45" t="n"/>
      <c r="O17" s="45" t="n"/>
      <c r="P17" s="45" t="n"/>
      <c r="Q17" s="45" t="n"/>
      <c r="R17" s="45" t="n"/>
    </row>
    <row r="18" ht="14.25" customHeight="1" s="267">
      <c r="A18" s="247" t="inlineStr">
        <is>
          <t>Fuji</t>
        </is>
      </c>
      <c r="B18" s="45" t="n">
        <v>19.56630829997905</v>
      </c>
      <c r="C18" s="45" t="n">
        <v>22.35575400659398</v>
      </c>
      <c r="D18" s="45" t="n">
        <v>13.07371379687595</v>
      </c>
      <c r="E18" s="45" t="n">
        <v>14.98751167125449</v>
      </c>
      <c r="F18" s="45" t="n">
        <v>14.891526086331</v>
      </c>
      <c r="G18" s="45" t="n">
        <v>14.57200675356647</v>
      </c>
      <c r="H18" s="45" t="n">
        <v>19.40419850602255</v>
      </c>
      <c r="I18" s="45" t="n">
        <v>17.24684993827112</v>
      </c>
      <c r="J18" s="45" t="n">
        <v>31.14400589324407</v>
      </c>
      <c r="K18" s="45" t="n">
        <v>14.22276138039256</v>
      </c>
      <c r="L18" s="248" t="n">
        <v>13.09415838174302</v>
      </c>
      <c r="M18" s="45" t="n"/>
      <c r="N18" s="45" t="n"/>
      <c r="O18" s="45" t="n"/>
      <c r="P18" s="45" t="n"/>
      <c r="Q18" s="45" t="n"/>
      <c r="R18" s="45" t="n"/>
    </row>
    <row r="19" ht="14.25" customHeight="1" s="267">
      <c r="A19" s="247" t="inlineStr">
        <is>
          <t>Grobnik</t>
        </is>
      </c>
      <c r="B19" s="45" t="n">
        <v>20</v>
      </c>
      <c r="C19" s="45" t="n">
        <v>20.5</v>
      </c>
      <c r="D19" s="45" t="n">
        <v>14</v>
      </c>
      <c r="E19" s="45" t="n">
        <v>13.5</v>
      </c>
      <c r="F19" s="45" t="n">
        <v>15</v>
      </c>
      <c r="G19" s="45" t="n">
        <v>19</v>
      </c>
      <c r="H19" s="45" t="n">
        <v>17.5</v>
      </c>
      <c r="I19" s="45" t="n">
        <v>23</v>
      </c>
      <c r="J19" s="45" t="n">
        <v>14</v>
      </c>
      <c r="K19" s="45" t="n">
        <v>26</v>
      </c>
      <c r="L19" s="248" t="n">
        <v>12</v>
      </c>
      <c r="M19" s="45" t="n"/>
      <c r="N19" s="45" t="n"/>
      <c r="O19" s="45" t="n"/>
      <c r="P19" s="45" t="n"/>
      <c r="Q19" s="45" t="n"/>
      <c r="R19" s="45" t="n"/>
    </row>
    <row r="20" ht="14.25" customHeight="1" s="267">
      <c r="A20" s="247" t="inlineStr">
        <is>
          <t>Hockenheim</t>
        </is>
      </c>
      <c r="B20" s="45" t="n">
        <v>18.35354390365299</v>
      </c>
      <c r="C20" s="45" t="n">
        <v>35.62679841915183</v>
      </c>
      <c r="D20" s="45" t="n">
        <v>13.3945303636281</v>
      </c>
      <c r="E20" s="45" t="n">
        <v>14.4752417237999</v>
      </c>
      <c r="F20" s="45" t="n">
        <v>14.62075507010874</v>
      </c>
      <c r="G20" s="45" t="n">
        <v>12.26451851560175</v>
      </c>
      <c r="H20" s="45" t="n">
        <v>12.75490673796583</v>
      </c>
      <c r="I20" s="45" t="n">
        <v>22.30943339598253</v>
      </c>
      <c r="J20" s="45" t="n">
        <v>28.79296434321365</v>
      </c>
      <c r="K20" s="45" t="n">
        <v>15.78293771404954</v>
      </c>
      <c r="L20" s="248" t="n">
        <v>11.43723020072707</v>
      </c>
      <c r="M20" s="45" t="n"/>
      <c r="N20" s="45" t="n"/>
      <c r="O20" s="45" t="n"/>
      <c r="P20" s="45" t="n"/>
      <c r="Q20" s="45" t="n"/>
      <c r="R20" s="45" t="n"/>
    </row>
    <row r="21" ht="14.25" customHeight="1" s="267">
      <c r="A21" s="247" t="inlineStr">
        <is>
          <t>Hungaroring</t>
        </is>
      </c>
      <c r="B21" s="45" t="n">
        <v>15.64061721285428</v>
      </c>
      <c r="C21" s="45" t="n">
        <v>21.32493142706774</v>
      </c>
      <c r="D21" s="45" t="n">
        <v>44.24469029045761</v>
      </c>
      <c r="E21" s="45" t="n">
        <v>40.48488037228977</v>
      </c>
      <c r="F21" s="45" t="n">
        <v>21.33579868173797</v>
      </c>
      <c r="G21" s="45" t="n">
        <v>11.86233157336924</v>
      </c>
      <c r="H21" s="45" t="n">
        <v>9.937157760543405</v>
      </c>
      <c r="I21" s="45" t="n">
        <v>28.95285532109746</v>
      </c>
      <c r="J21" s="45" t="n">
        <v>19.50908916034186</v>
      </c>
      <c r="K21" s="45" t="n">
        <v>30.94501337147812</v>
      </c>
      <c r="L21" s="248" t="n">
        <v>8.512918347932159</v>
      </c>
      <c r="M21" s="45" t="n"/>
      <c r="N21" s="45" t="n"/>
      <c r="O21" s="45" t="n"/>
      <c r="P21" s="45" t="n"/>
      <c r="Q21" s="45" t="n"/>
      <c r="R21" s="45" t="n"/>
    </row>
    <row r="22" ht="14.25" customHeight="1" s="267">
      <c r="A22" s="247" t="inlineStr">
        <is>
          <t>Imola</t>
        </is>
      </c>
      <c r="B22" s="45" t="n">
        <v>14.60505712477397</v>
      </c>
      <c r="C22" s="45" t="n">
        <v>24.77258527686539</v>
      </c>
      <c r="D22" s="45" t="n">
        <v>23.83970529651696</v>
      </c>
      <c r="E22" s="45" t="n">
        <v>25.68800126266833</v>
      </c>
      <c r="F22" s="45" t="n">
        <v>19.9334340939992</v>
      </c>
      <c r="G22" s="45" t="n">
        <v>11.51033346061488</v>
      </c>
      <c r="H22" s="45" t="n">
        <v>13.10087675525867</v>
      </c>
      <c r="I22" s="45" t="n">
        <v>23.53277067478304</v>
      </c>
      <c r="J22" s="45" t="n">
        <v>28.48664218912216</v>
      </c>
      <c r="K22" s="45" t="n">
        <v>23.57340551323953</v>
      </c>
      <c r="L22" s="248" t="n">
        <v>12.61523927653623</v>
      </c>
      <c r="M22" s="45" t="n"/>
      <c r="N22" s="244" t="n">
        <v>1</v>
      </c>
      <c r="O22" s="244" t="n">
        <v>0</v>
      </c>
      <c r="P22" s="246" t="n">
        <v>2</v>
      </c>
      <c r="Q22" s="45" t="n"/>
      <c r="R22" s="45" t="n"/>
    </row>
    <row r="23" ht="14.25" customHeight="1" s="267">
      <c r="A23" s="247" t="inlineStr">
        <is>
          <t>Indianapolis</t>
        </is>
      </c>
      <c r="B23" s="45" t="n">
        <v>27.30282571035714</v>
      </c>
      <c r="C23" s="45" t="n">
        <v>34.74937126883894</v>
      </c>
      <c r="D23" s="45" t="n">
        <v>16.79719104911321</v>
      </c>
      <c r="E23" s="45" t="n">
        <v>20.07576347787541</v>
      </c>
      <c r="F23" s="45" t="n">
        <v>23.82908639593628</v>
      </c>
      <c r="G23" s="45" t="n">
        <v>22.13957318305536</v>
      </c>
      <c r="H23" s="45" t="n">
        <v>11.19782489739951</v>
      </c>
      <c r="I23" s="45" t="n">
        <v>27.61366769420951</v>
      </c>
      <c r="J23" s="45" t="n">
        <v>31.04278899521316</v>
      </c>
      <c r="K23" s="45" t="n">
        <v>30.62822785398969</v>
      </c>
      <c r="L23" s="248" t="n">
        <v>9.773009970336838</v>
      </c>
      <c r="M23" s="45" t="n"/>
      <c r="N23" s="247" t="n">
        <v>2</v>
      </c>
      <c r="O23" s="247" t="n">
        <v>0</v>
      </c>
      <c r="P23" s="248" t="n">
        <v>1.17</v>
      </c>
      <c r="Q23" s="45" t="n"/>
      <c r="R23" s="45" t="n"/>
    </row>
    <row r="24" ht="14.25" customHeight="1" s="267">
      <c r="A24" s="247" t="inlineStr">
        <is>
          <t>Indianapolis Oval</t>
        </is>
      </c>
      <c r="B24" s="45" t="n">
        <v>17.55844748085551</v>
      </c>
      <c r="C24" s="45" t="n">
        <v>58.65266565985257</v>
      </c>
      <c r="D24" s="45" t="n">
        <v>11.35055820431375</v>
      </c>
      <c r="E24" s="45" t="n">
        <v>13.04197671877386</v>
      </c>
      <c r="F24" s="45" t="n">
        <v>20.56705234371783</v>
      </c>
      <c r="G24" s="45" t="n">
        <v>13.82965085057909</v>
      </c>
      <c r="H24" s="45" t="n">
        <v>16.25578235336221</v>
      </c>
      <c r="I24" s="45" t="n">
        <v>10.69812545284569</v>
      </c>
      <c r="J24" s="45" t="n">
        <v>7.896991075488524</v>
      </c>
      <c r="K24" s="45" t="n">
        <v>18.82788913472515</v>
      </c>
      <c r="L24" s="248" t="n">
        <v>12.16150906874466</v>
      </c>
      <c r="M24" s="45" t="n"/>
      <c r="N24" s="247" t="n">
        <v>3</v>
      </c>
      <c r="O24" s="247" t="n">
        <v>0</v>
      </c>
      <c r="P24" s="248" t="n">
        <v>0.78</v>
      </c>
      <c r="Q24" s="45" t="n"/>
      <c r="R24" s="45" t="n"/>
    </row>
    <row r="25" ht="14.25" customHeight="1" s="267">
      <c r="A25" s="247" t="inlineStr">
        <is>
          <t>Interlagos</t>
        </is>
      </c>
      <c r="B25" s="45" t="n">
        <v>24.15920532302284</v>
      </c>
      <c r="C25" s="45" t="n">
        <v>32.19557937321347</v>
      </c>
      <c r="D25" s="45" t="n">
        <v>19.57196583319557</v>
      </c>
      <c r="E25" s="45" t="n">
        <v>15.02463176456701</v>
      </c>
      <c r="F25" s="45" t="n">
        <v>27.6928267691785</v>
      </c>
      <c r="G25" s="45" t="n">
        <v>14.70935230801957</v>
      </c>
      <c r="H25" s="45" t="n">
        <v>13.55386483941013</v>
      </c>
      <c r="I25" s="45" t="n">
        <v>19.90424682864649</v>
      </c>
      <c r="J25" s="45" t="n">
        <v>34.40389438253642</v>
      </c>
      <c r="K25" s="45" t="n">
        <v>24.89792474473863</v>
      </c>
      <c r="L25" s="248" t="n">
        <v>12.87509347098316</v>
      </c>
      <c r="M25" s="45" t="n"/>
      <c r="N25" s="247" t="n">
        <v>4</v>
      </c>
      <c r="O25" s="247" t="n">
        <v>0</v>
      </c>
      <c r="P25" s="248" t="n">
        <v>0.58</v>
      </c>
      <c r="Q25" s="45" t="n"/>
      <c r="R25" s="45" t="n"/>
    </row>
    <row r="26" ht="14.25" customHeight="1" s="267">
      <c r="A26" s="247" t="inlineStr">
        <is>
          <t>Irungattukottai</t>
        </is>
      </c>
      <c r="B26" s="45" t="n">
        <v>17.12510241015136</v>
      </c>
      <c r="C26" s="45" t="n">
        <v>30.1030123494519</v>
      </c>
      <c r="D26" s="45" t="n">
        <v>26.35288362197924</v>
      </c>
      <c r="E26" s="45" t="n">
        <v>25.00751757528003</v>
      </c>
      <c r="F26" s="45" t="n">
        <v>21.99268950993502</v>
      </c>
      <c r="G26" s="45" t="n">
        <v>19.69848573137131</v>
      </c>
      <c r="H26" s="45" t="n">
        <v>21.38065155979687</v>
      </c>
      <c r="I26" s="45" t="n">
        <v>27.10858802022134</v>
      </c>
      <c r="J26" s="45" t="n">
        <v>30.85796777259992</v>
      </c>
      <c r="K26" s="45" t="n">
        <v>21.07241558747911</v>
      </c>
      <c r="L26" s="248" t="n">
        <v>12.62467131923529</v>
      </c>
      <c r="M26" s="45" t="n"/>
      <c r="N26" s="247" t="n">
        <v>5</v>
      </c>
      <c r="O26" s="247" t="n">
        <v>0</v>
      </c>
      <c r="P26" s="248" t="n">
        <v>0.47</v>
      </c>
      <c r="Q26" s="45" t="n"/>
      <c r="R26" s="45" t="n"/>
    </row>
    <row r="27" ht="14.25" customHeight="1" s="267">
      <c r="A27" s="247" t="inlineStr">
        <is>
          <t>Istanbul</t>
        </is>
      </c>
      <c r="B27" s="45" t="n">
        <v>17.12069023703195</v>
      </c>
      <c r="C27" s="45" t="n">
        <v>18.36005525790499</v>
      </c>
      <c r="D27" s="45" t="n">
        <v>11.45221565787993</v>
      </c>
      <c r="E27" s="45" t="n">
        <v>12.78461530477535</v>
      </c>
      <c r="F27" s="45" t="n">
        <v>12.90287743996801</v>
      </c>
      <c r="G27" s="45" t="n">
        <v>13.30467844880985</v>
      </c>
      <c r="H27" s="45" t="n">
        <v>16.81747318859303</v>
      </c>
      <c r="I27" s="45" t="n">
        <v>13.68433900232584</v>
      </c>
      <c r="J27" s="45" t="n">
        <v>26.58790564521751</v>
      </c>
      <c r="K27" s="45" t="n">
        <v>12.77230607727977</v>
      </c>
      <c r="L27" s="248" t="n">
        <v>11.43773304119258</v>
      </c>
      <c r="M27" s="45" t="n"/>
      <c r="N27" s="247" t="n">
        <v>6</v>
      </c>
      <c r="O27" s="247" t="n">
        <v>0</v>
      </c>
      <c r="P27" s="248" t="n">
        <v>0.39</v>
      </c>
      <c r="Q27" s="45" t="n"/>
      <c r="R27" s="45" t="n"/>
    </row>
    <row r="28" ht="14.25" customHeight="1" s="267">
      <c r="A28" s="247" t="inlineStr">
        <is>
          <t>Jerez</t>
        </is>
      </c>
      <c r="B28" s="45" t="n">
        <v>21.85922192978961</v>
      </c>
      <c r="C28" s="45" t="n">
        <v>33.14740070374427</v>
      </c>
      <c r="D28" s="45" t="n">
        <v>22.48299110783608</v>
      </c>
      <c r="E28" s="45" t="n">
        <v>24.55595928270693</v>
      </c>
      <c r="F28" s="45" t="n">
        <v>20.48453105915627</v>
      </c>
      <c r="G28" s="45" t="n">
        <v>17.80282076287374</v>
      </c>
      <c r="H28" s="45" t="n">
        <v>12.96846988881462</v>
      </c>
      <c r="I28" s="45" t="n">
        <v>19.40501424107617</v>
      </c>
      <c r="J28" s="45" t="n">
        <v>29.69360023067772</v>
      </c>
      <c r="K28" s="45" t="n">
        <v>28.08779311415768</v>
      </c>
      <c r="L28" s="248" t="n">
        <v>14.37786383573917</v>
      </c>
      <c r="M28" s="45" t="n"/>
      <c r="N28" s="247" t="n">
        <v>7</v>
      </c>
      <c r="O28" s="247" t="n">
        <v>0</v>
      </c>
      <c r="P28" s="248" t="n">
        <v>0.47</v>
      </c>
      <c r="Q28" s="45" t="n"/>
      <c r="R28" s="45" t="n"/>
    </row>
    <row r="29" ht="14.25" customHeight="1" s="267">
      <c r="A29" s="247" t="inlineStr">
        <is>
          <t>Jyllands-Ringen</t>
        </is>
      </c>
      <c r="B29" s="45" t="n">
        <v>11</v>
      </c>
      <c r="C29" s="45" t="n">
        <v>15.5</v>
      </c>
      <c r="D29" s="45" t="n">
        <v>20</v>
      </c>
      <c r="E29" s="45" t="n">
        <v>19</v>
      </c>
      <c r="F29" s="45" t="n">
        <v>10</v>
      </c>
      <c r="G29" s="45" t="n">
        <v>9</v>
      </c>
      <c r="H29" s="45" t="n">
        <v>8</v>
      </c>
      <c r="I29" s="45" t="n">
        <v>16</v>
      </c>
      <c r="J29" s="45" t="n">
        <v>22</v>
      </c>
      <c r="K29" s="45" t="n">
        <v>11.5</v>
      </c>
      <c r="L29" s="248" t="n">
        <v>10.5</v>
      </c>
      <c r="M29" s="45" t="n"/>
      <c r="N29" s="247" t="n">
        <v>8</v>
      </c>
      <c r="O29" s="247" t="n">
        <v>0</v>
      </c>
      <c r="P29" s="248" t="n">
        <v>1.19</v>
      </c>
      <c r="Q29" s="45" t="n"/>
      <c r="R29" s="45" t="n"/>
    </row>
    <row r="30" hidden="1" ht="14.25" customHeight="1" s="267">
      <c r="A30" s="247" t="inlineStr">
        <is>
          <t>Kaunas</t>
        </is>
      </c>
      <c r="B30" s="45" t="n">
        <v>14.52053259478215</v>
      </c>
      <c r="C30" s="45" t="n">
        <v>24.56526922698144</v>
      </c>
      <c r="D30" s="45" t="n">
        <v>17.31030173149168</v>
      </c>
      <c r="E30" s="45" t="n">
        <v>15.29211897740471</v>
      </c>
      <c r="F30" s="45" t="n">
        <v>18.00979717744952</v>
      </c>
      <c r="G30" s="45" t="n">
        <v>12.57279372252541</v>
      </c>
      <c r="H30" s="45" t="n">
        <v>8.819102821062884</v>
      </c>
      <c r="I30" s="45" t="n">
        <v>12.91760217030057</v>
      </c>
      <c r="J30" s="45" t="n">
        <v>7.890291162487682</v>
      </c>
      <c r="K30" s="45" t="n">
        <v>26.03251775663851</v>
      </c>
      <c r="L30" s="248" t="n">
        <v>7.938688673327294</v>
      </c>
      <c r="M30" s="45" t="n"/>
      <c r="N30" s="251" t="n">
        <v>9</v>
      </c>
      <c r="O30" s="251" t="n">
        <v>0</v>
      </c>
      <c r="P30" s="252" t="n">
        <v>2.25</v>
      </c>
      <c r="Q30" s="45" t="n"/>
      <c r="R30" s="45" t="n"/>
    </row>
    <row r="31" hidden="1" ht="14.25" customHeight="1" s="267">
      <c r="A31" s="247" t="inlineStr">
        <is>
          <t>Kyalami</t>
        </is>
      </c>
      <c r="B31" s="45" t="n">
        <v>14.08316996899663</v>
      </c>
      <c r="C31" s="45" t="n">
        <v>19.75413103973041</v>
      </c>
      <c r="D31" s="45" t="n">
        <v>21.47375842427047</v>
      </c>
      <c r="E31" s="45" t="n">
        <v>23.78250957711058</v>
      </c>
      <c r="F31" s="45" t="n">
        <v>12.61588559338125</v>
      </c>
      <c r="G31" s="45" t="n">
        <v>11.47388442282868</v>
      </c>
      <c r="H31" s="45" t="n">
        <v>19.30701346852846</v>
      </c>
      <c r="I31" s="45" t="n">
        <v>27.22173855768786</v>
      </c>
      <c r="J31" s="45" t="n">
        <v>17.05611206519488</v>
      </c>
      <c r="K31" s="45" t="n">
        <v>14.82429800283122</v>
      </c>
      <c r="L31" s="248" t="n">
        <v>13.37399917010931</v>
      </c>
      <c r="M31" s="45" t="n"/>
      <c r="N31" s="45" t="n"/>
      <c r="O31" s="45" t="n"/>
      <c r="P31" s="45" t="n"/>
      <c r="Q31" s="45" t="n"/>
      <c r="R31" s="45" t="n"/>
    </row>
    <row r="32" hidden="1" ht="14.25" customHeight="1" s="267">
      <c r="A32" s="247" t="inlineStr">
        <is>
          <t>Laguna Seca</t>
        </is>
      </c>
      <c r="B32" s="45" t="n">
        <v>18.46621011282992</v>
      </c>
      <c r="C32" s="45" t="n">
        <v>22.67091003694401</v>
      </c>
      <c r="D32" s="45" t="n">
        <v>16.16567368616852</v>
      </c>
      <c r="E32" s="45" t="n">
        <v>11.03837778785363</v>
      </c>
      <c r="F32" s="45" t="n">
        <v>10.60300442779453</v>
      </c>
      <c r="G32" s="45" t="n">
        <v>9.841480144634492</v>
      </c>
      <c r="H32" s="45" t="n">
        <v>14.87322737164864</v>
      </c>
      <c r="I32" s="45" t="n">
        <v>23.86009695177902</v>
      </c>
      <c r="J32" s="45" t="n">
        <v>25.79411781416471</v>
      </c>
      <c r="K32" s="45" t="n">
        <v>21.12703728312391</v>
      </c>
      <c r="L32" s="248" t="n">
        <v>5.948279983750543</v>
      </c>
      <c r="M32" s="45" t="n"/>
      <c r="N32" s="45" t="n"/>
      <c r="O32" s="45" t="n"/>
      <c r="P32" s="45" t="n"/>
      <c r="Q32" s="45" t="n"/>
      <c r="R32" s="45" t="n"/>
    </row>
    <row r="33" hidden="1" ht="14.25" customHeight="1" s="267">
      <c r="A33" s="247" t="inlineStr">
        <is>
          <t>Magny Cours</t>
        </is>
      </c>
      <c r="B33" s="45" t="n">
        <v>14.80428152983544</v>
      </c>
      <c r="C33" s="45" t="n">
        <v>27.19282986447987</v>
      </c>
      <c r="D33" s="45" t="n">
        <v>18.18132969917287</v>
      </c>
      <c r="E33" s="45" t="n">
        <v>16.17156148065247</v>
      </c>
      <c r="F33" s="45" t="n">
        <v>17.29600858948885</v>
      </c>
      <c r="G33" s="45" t="n">
        <v>12.95239963561224</v>
      </c>
      <c r="H33" s="45" t="n">
        <v>13.36265178879197</v>
      </c>
      <c r="I33" s="45" t="n">
        <v>22.9506300128773</v>
      </c>
      <c r="J33" s="45" t="n">
        <v>30.81025690453006</v>
      </c>
      <c r="K33" s="45" t="n">
        <v>23.99307267425166</v>
      </c>
      <c r="L33" s="248" t="n">
        <v>8.237633678362128</v>
      </c>
      <c r="M33" s="45" t="n"/>
      <c r="N33" s="45" t="n"/>
      <c r="O33" s="45" t="n"/>
      <c r="P33" s="45" t="n"/>
      <c r="Q33" s="45" t="n"/>
      <c r="R33" s="45" t="n"/>
    </row>
    <row r="34" hidden="1" ht="14.25" customHeight="1" s="267">
      <c r="A34" s="247" t="inlineStr">
        <is>
          <t>Melbourne</t>
        </is>
      </c>
      <c r="B34" s="45" t="n">
        <v>14.23294549631043</v>
      </c>
      <c r="C34" s="45" t="n">
        <v>28.21753002408711</v>
      </c>
      <c r="D34" s="45" t="n">
        <v>16.82454241404172</v>
      </c>
      <c r="E34" s="45" t="n">
        <v>18.23982874856445</v>
      </c>
      <c r="F34" s="45" t="n">
        <v>13.93574066658103</v>
      </c>
      <c r="G34" s="45" t="n">
        <v>13.66929821632922</v>
      </c>
      <c r="H34" s="45" t="n">
        <v>12.79934822282956</v>
      </c>
      <c r="I34" s="45" t="n">
        <v>19.62432902432557</v>
      </c>
      <c r="J34" s="45" t="n">
        <v>22.52946041576426</v>
      </c>
      <c r="K34" s="45" t="n">
        <v>14.01981776066173</v>
      </c>
      <c r="L34" s="248" t="n">
        <v>11.21104094904576</v>
      </c>
      <c r="M34" s="45" t="n"/>
      <c r="N34" s="45" t="n"/>
      <c r="O34" s="45" t="n"/>
      <c r="P34" s="45" t="n"/>
      <c r="Q34" s="45" t="n"/>
      <c r="R34" s="45" t="n"/>
    </row>
    <row r="35" hidden="1" ht="14.25" customHeight="1" s="267">
      <c r="A35" s="247" t="inlineStr">
        <is>
          <t>Mexico City</t>
        </is>
      </c>
      <c r="B35" s="45" t="n">
        <v>8.923669040819391</v>
      </c>
      <c r="C35" s="45" t="n">
        <v>15.38280369340837</v>
      </c>
      <c r="D35" s="45" t="n">
        <v>10.9439539729495</v>
      </c>
      <c r="E35" s="45" t="n">
        <v>10.01277831498181</v>
      </c>
      <c r="F35" s="45" t="n">
        <v>13.01766510647159</v>
      </c>
      <c r="G35" s="45" t="n">
        <v>9.522084002995845</v>
      </c>
      <c r="H35" s="45" t="n">
        <v>12.65522071839959</v>
      </c>
      <c r="I35" s="45" t="n">
        <v>19.46909390120187</v>
      </c>
      <c r="J35" s="45" t="n">
        <v>9.227281995404619</v>
      </c>
      <c r="K35" s="45" t="n">
        <v>22.88507868612298</v>
      </c>
      <c r="L35" s="248" t="n">
        <v>11.36490422790342</v>
      </c>
      <c r="M35" s="45" t="n"/>
      <c r="N35" s="45" t="n"/>
      <c r="O35" s="45" t="n"/>
      <c r="P35" s="45" t="n"/>
      <c r="Q35" s="45" t="n"/>
      <c r="R35" s="45" t="n"/>
    </row>
    <row r="36" hidden="1" ht="14.25" customHeight="1" s="267">
      <c r="A36" s="247" t="inlineStr">
        <is>
          <t>Monte Carlo</t>
        </is>
      </c>
      <c r="B36" s="45" t="n">
        <v>10.04306432343748</v>
      </c>
      <c r="C36" s="45" t="n">
        <v>11.58640698130698</v>
      </c>
      <c r="D36" s="45" t="n">
        <v>33.09594042183699</v>
      </c>
      <c r="E36" s="45" t="n">
        <v>33.14211108305306</v>
      </c>
      <c r="F36" s="45" t="n">
        <v>17.70838055007965</v>
      </c>
      <c r="G36" s="45" t="n">
        <v>7.338012628411266</v>
      </c>
      <c r="H36" s="45" t="n">
        <v>9.935394429893204</v>
      </c>
      <c r="I36" s="45" t="n">
        <v>18.41859502264813</v>
      </c>
      <c r="J36" s="45" t="n">
        <v>29.30537378329168</v>
      </c>
      <c r="K36" s="45" t="n">
        <v>23.48921148817452</v>
      </c>
      <c r="L36" s="248" t="n">
        <v>8.881222739481229</v>
      </c>
      <c r="M36" s="45" t="n"/>
      <c r="N36" s="45" t="n"/>
      <c r="O36" s="45" t="n"/>
      <c r="P36" s="45" t="n"/>
      <c r="Q36" s="45" t="n"/>
      <c r="R36" s="45" t="n"/>
    </row>
    <row r="37" hidden="1" ht="14.25" customHeight="1" s="267">
      <c r="A37" s="247" t="inlineStr">
        <is>
          <t>Montreal</t>
        </is>
      </c>
      <c r="B37" s="45" t="n">
        <v>16.35479915977681</v>
      </c>
      <c r="C37" s="45" t="n">
        <v>28.03369721792565</v>
      </c>
      <c r="D37" s="45" t="n">
        <v>16.6908533640212</v>
      </c>
      <c r="E37" s="45" t="n">
        <v>10.99328898680821</v>
      </c>
      <c r="F37" s="45" t="n">
        <v>15.71118316955197</v>
      </c>
      <c r="G37" s="45" t="n">
        <v>11.95960790262776</v>
      </c>
      <c r="H37" s="45" t="n">
        <v>8.812804705022474</v>
      </c>
      <c r="I37" s="45" t="n">
        <v>22.52214255478832</v>
      </c>
      <c r="J37" s="45" t="n">
        <v>29.74089536653653</v>
      </c>
      <c r="K37" s="45" t="n">
        <v>26.29943257309262</v>
      </c>
      <c r="L37" s="248" t="n">
        <v>8.849716603150076</v>
      </c>
      <c r="M37" s="45" t="n"/>
      <c r="N37" s="45" t="n"/>
      <c r="O37" s="45" t="n"/>
      <c r="P37" s="45" t="n"/>
      <c r="Q37" s="45" t="n"/>
      <c r="R37" s="45" t="n"/>
    </row>
    <row r="38" hidden="1" ht="14.25" customHeight="1" s="267">
      <c r="A38" s="247" t="inlineStr">
        <is>
          <t>Monza</t>
        </is>
      </c>
      <c r="B38" s="45" t="n">
        <v>18.46190554421517</v>
      </c>
      <c r="C38" s="45" t="n">
        <v>33.96557564206537</v>
      </c>
      <c r="D38" s="45" t="n">
        <v>12.87725534626029</v>
      </c>
      <c r="E38" s="45" t="n">
        <v>10.32877759518126</v>
      </c>
      <c r="F38" s="45" t="n">
        <v>16.97022074817946</v>
      </c>
      <c r="G38" s="45" t="n">
        <v>15.24241115824849</v>
      </c>
      <c r="H38" s="45" t="n">
        <v>12.08077477039175</v>
      </c>
      <c r="I38" s="45" t="n">
        <v>26.04699906524843</v>
      </c>
      <c r="J38" s="45" t="n">
        <v>31.37351673389965</v>
      </c>
      <c r="K38" s="45" t="n">
        <v>18.22008203200694</v>
      </c>
      <c r="L38" s="248" t="n">
        <v>13.17058180038176</v>
      </c>
      <c r="M38" s="45" t="n"/>
      <c r="N38" s="45" t="n"/>
      <c r="O38" s="45" t="n"/>
      <c r="P38" s="45" t="n"/>
      <c r="Q38" s="45" t="n"/>
      <c r="R38" s="45" t="n"/>
    </row>
    <row r="39" hidden="1" ht="14.25" customHeight="1" s="267">
      <c r="A39" s="247" t="inlineStr">
        <is>
          <t>Mugello</t>
        </is>
      </c>
      <c r="B39" s="45" t="n">
        <v>14.54846905179685</v>
      </c>
      <c r="C39" s="45" t="n">
        <v>13.88969481295564</v>
      </c>
      <c r="D39" s="45" t="n">
        <v>16.79576374785455</v>
      </c>
      <c r="E39" s="45" t="n">
        <v>12.55465313011806</v>
      </c>
      <c r="F39" s="45" t="n">
        <v>17.466711402874</v>
      </c>
      <c r="G39" s="45" t="n">
        <v>19.67065333268201</v>
      </c>
      <c r="H39" s="45" t="n">
        <v>20.2456659636377</v>
      </c>
      <c r="I39" s="45" t="n">
        <v>22.90883965400361</v>
      </c>
      <c r="J39" s="45" t="n">
        <v>20.85610801218644</v>
      </c>
      <c r="K39" s="45" t="n">
        <v>17.67948320103491</v>
      </c>
      <c r="L39" s="248" t="n">
        <v>11.63351797396064</v>
      </c>
      <c r="M39" s="45" t="n"/>
      <c r="N39" s="45" t="n"/>
      <c r="O39" s="45" t="n"/>
      <c r="P39" s="45" t="n"/>
      <c r="Q39" s="45" t="n"/>
      <c r="R39" s="45" t="n"/>
    </row>
    <row r="40" hidden="1" ht="14.25" customHeight="1" s="267">
      <c r="A40" s="247" t="inlineStr">
        <is>
          <t>New Delhi</t>
        </is>
      </c>
      <c r="B40" s="45" t="n">
        <v>16.92370134303489</v>
      </c>
      <c r="C40" s="45" t="n">
        <v>27.74573057545372</v>
      </c>
      <c r="D40" s="45" t="n">
        <v>23.21192263731416</v>
      </c>
      <c r="E40" s="45" t="n">
        <v>20.3173952209816</v>
      </c>
      <c r="F40" s="45" t="n">
        <v>15.50888443361425</v>
      </c>
      <c r="G40" s="45" t="n">
        <v>10.75389958579312</v>
      </c>
      <c r="H40" s="45" t="n">
        <v>13.37811025033452</v>
      </c>
      <c r="I40" s="45" t="n">
        <v>20.84265995836937</v>
      </c>
      <c r="J40" s="45" t="n">
        <v>27.7063449269281</v>
      </c>
      <c r="K40" s="45" t="n">
        <v>25.34212917877715</v>
      </c>
      <c r="L40" s="248" t="n">
        <v>8.980888428487571</v>
      </c>
      <c r="M40" s="45" t="n"/>
      <c r="N40" s="45" t="n"/>
      <c r="O40" s="45" t="n"/>
      <c r="P40" s="45" t="n"/>
      <c r="Q40" s="45" t="n"/>
      <c r="R40" s="45" t="n"/>
    </row>
    <row r="41" hidden="1" ht="14.25" customHeight="1" s="267">
      <c r="A41" s="247" t="inlineStr">
        <is>
          <t>Nurburgring</t>
        </is>
      </c>
      <c r="B41" s="45" t="n">
        <v>19.36319275729997</v>
      </c>
      <c r="C41" s="45" t="n">
        <v>28.28691180477401</v>
      </c>
      <c r="D41" s="45" t="n">
        <v>16.6678939419829</v>
      </c>
      <c r="E41" s="45" t="n">
        <v>21.42051459834894</v>
      </c>
      <c r="F41" s="45" t="n">
        <v>18.19381553501015</v>
      </c>
      <c r="G41" s="45" t="n">
        <v>10.98804386385562</v>
      </c>
      <c r="H41" s="45" t="n">
        <v>11.33428452285066</v>
      </c>
      <c r="I41" s="45" t="n">
        <v>19.42734821472881</v>
      </c>
      <c r="J41" s="45" t="n">
        <v>30.5665431209829</v>
      </c>
      <c r="K41" s="45" t="n">
        <v>27.97452841225932</v>
      </c>
      <c r="L41" s="248" t="n">
        <v>8.456246190581657</v>
      </c>
      <c r="M41" s="45" t="n"/>
      <c r="N41" s="45" t="n"/>
      <c r="O41" s="45" t="n"/>
      <c r="P41" s="45" t="n"/>
      <c r="Q41" s="45" t="n"/>
      <c r="R41" s="45" t="n"/>
    </row>
    <row r="42" hidden="1" ht="14.25" customHeight="1" s="267">
      <c r="A42" s="247" t="inlineStr">
        <is>
          <t>Oesterreichring</t>
        </is>
      </c>
      <c r="B42" s="45" t="n">
        <v>14.5840761848257</v>
      </c>
      <c r="C42" s="45" t="n">
        <v>29.84876884705908</v>
      </c>
      <c r="D42" s="45" t="n">
        <v>17.99153881656375</v>
      </c>
      <c r="E42" s="45" t="n">
        <v>20.40786204942545</v>
      </c>
      <c r="F42" s="45" t="n">
        <v>15.41865607729028</v>
      </c>
      <c r="G42" s="45" t="n">
        <v>13.67801984866562</v>
      </c>
      <c r="H42" s="45" t="n">
        <v>15.21898967829342</v>
      </c>
      <c r="I42" s="45" t="n">
        <v>17.57947033687344</v>
      </c>
      <c r="J42" s="45" t="n">
        <v>24.45672446472798</v>
      </c>
      <c r="K42" s="45" t="n">
        <v>14.99500280664693</v>
      </c>
      <c r="L42" s="248" t="n">
        <v>9.861007044326074</v>
      </c>
      <c r="M42" s="45" t="n"/>
      <c r="N42" s="45" t="n"/>
      <c r="O42" s="45" t="n"/>
      <c r="P42" s="45" t="n"/>
      <c r="Q42" s="45" t="n"/>
      <c r="R42" s="45" t="n"/>
    </row>
    <row r="43" hidden="1" ht="14.25" customHeight="1" s="267">
      <c r="A43" s="247" t="inlineStr">
        <is>
          <t>Paul Ricard</t>
        </is>
      </c>
      <c r="B43" s="45" t="n">
        <v>16.73762122518212</v>
      </c>
      <c r="C43" s="45" t="n">
        <v>35.4919904770279</v>
      </c>
      <c r="D43" s="45" t="n">
        <v>17.24156404122819</v>
      </c>
      <c r="E43" s="45" t="n">
        <v>21.83623460864126</v>
      </c>
      <c r="F43" s="45" t="n">
        <v>19.51758810209416</v>
      </c>
      <c r="G43" s="45" t="n">
        <v>10.19715856346292</v>
      </c>
      <c r="H43" s="45" t="n">
        <v>12.30165756854855</v>
      </c>
      <c r="I43" s="45" t="n">
        <v>18.6086668012777</v>
      </c>
      <c r="J43" s="45" t="n">
        <v>30.00337130056302</v>
      </c>
      <c r="K43" s="45" t="n">
        <v>15.58962547300788</v>
      </c>
      <c r="L43" s="248" t="n">
        <v>7.819379059281473</v>
      </c>
      <c r="M43" s="45" t="n"/>
      <c r="N43" s="45" t="n"/>
      <c r="O43" s="45" t="n"/>
      <c r="P43" s="45" t="n"/>
      <c r="Q43" s="45" t="n"/>
      <c r="R43" s="45" t="n"/>
    </row>
    <row r="44" hidden="1" ht="14.25" customHeight="1" s="267">
      <c r="A44" s="247" t="inlineStr">
        <is>
          <t>Portimao</t>
        </is>
      </c>
      <c r="B44" s="45" t="n">
        <v>15.36011021514394</v>
      </c>
      <c r="C44" s="45" t="n">
        <v>13.88390671327854</v>
      </c>
      <c r="D44" s="45" t="n">
        <v>15.39547598717519</v>
      </c>
      <c r="E44" s="45" t="n">
        <v>16.68929181840252</v>
      </c>
      <c r="F44" s="45" t="n">
        <v>27.60973296572779</v>
      </c>
      <c r="G44" s="45" t="n">
        <v>14.00375828704285</v>
      </c>
      <c r="H44" s="45" t="n">
        <v>13.68706148075235</v>
      </c>
      <c r="I44" s="45" t="n">
        <v>14.67337878834578</v>
      </c>
      <c r="J44" s="45" t="n">
        <v>20.41007202656157</v>
      </c>
      <c r="K44" s="45" t="n">
        <v>30.10258055559101</v>
      </c>
      <c r="L44" s="248" t="n">
        <v>11.82636348036087</v>
      </c>
      <c r="M44" s="45" t="n"/>
      <c r="N44" s="45" t="n"/>
      <c r="O44" s="45" t="n"/>
      <c r="P44" s="45" t="n"/>
      <c r="Q44" s="45" t="n"/>
      <c r="R44" s="45" t="n"/>
    </row>
    <row r="45" hidden="1" ht="14.25" customHeight="1" s="267">
      <c r="A45" s="247" t="inlineStr">
        <is>
          <t>Poznan</t>
        </is>
      </c>
      <c r="B45" s="45" t="n">
        <v>17.82141210129964</v>
      </c>
      <c r="C45" s="45" t="n">
        <v>24.99722887235903</v>
      </c>
      <c r="D45" s="45" t="n">
        <v>20.98617141778846</v>
      </c>
      <c r="E45" s="45" t="n">
        <v>24.58994298534675</v>
      </c>
      <c r="F45" s="45" t="n">
        <v>21.13423675807478</v>
      </c>
      <c r="G45" s="45" t="n">
        <v>17.53675220778461</v>
      </c>
      <c r="H45" s="45" t="n">
        <v>15.16414052909755</v>
      </c>
      <c r="I45" s="45" t="n">
        <v>18.99962276653554</v>
      </c>
      <c r="J45" s="45" t="n">
        <v>19.72595779893949</v>
      </c>
      <c r="K45" s="45" t="n">
        <v>16.03268403956121</v>
      </c>
      <c r="L45" s="248" t="n">
        <v>13.49918726852684</v>
      </c>
      <c r="M45" s="45" t="n"/>
      <c r="N45" s="45" t="n"/>
      <c r="O45" s="45" t="n"/>
      <c r="P45" s="45" t="n"/>
      <c r="Q45" s="45" t="n"/>
      <c r="R45" s="45" t="n"/>
    </row>
    <row r="46" hidden="1" ht="14.25" customHeight="1" s="267">
      <c r="A46" s="247" t="inlineStr">
        <is>
          <t>Rafaela Oval</t>
        </is>
      </c>
      <c r="B46" s="45" t="n">
        <v>15.392</v>
      </c>
      <c r="C46" s="45" t="n">
        <v>55.392</v>
      </c>
      <c r="D46" s="45" t="n">
        <v>9.391999999999999</v>
      </c>
      <c r="E46" s="45" t="n">
        <v>11.392</v>
      </c>
      <c r="F46" s="45" t="n">
        <v>18.392</v>
      </c>
      <c r="G46" s="45" t="n">
        <v>11.392</v>
      </c>
      <c r="H46" s="45" t="n">
        <v>14.392</v>
      </c>
      <c r="I46" s="45" t="n">
        <v>16.392</v>
      </c>
      <c r="J46" s="45" t="n">
        <v>16.392</v>
      </c>
      <c r="K46" s="45" t="n">
        <v>22.392</v>
      </c>
      <c r="L46" s="248" t="n">
        <v>11.392</v>
      </c>
      <c r="M46" s="45" t="n"/>
      <c r="N46" s="45" t="n"/>
      <c r="O46" s="45" t="n"/>
      <c r="P46" s="45" t="n"/>
      <c r="Q46" s="45" t="n"/>
      <c r="R46" s="45" t="n"/>
    </row>
    <row r="47" hidden="1" ht="14.25" customHeight="1" s="267">
      <c r="A47" s="247" t="inlineStr">
        <is>
          <t>Sakhir</t>
        </is>
      </c>
      <c r="B47" s="45" t="n">
        <v>17.60560792414756</v>
      </c>
      <c r="C47" s="45" t="n">
        <v>36.5841075294551</v>
      </c>
      <c r="D47" s="45" t="n">
        <v>21.10303959014914</v>
      </c>
      <c r="E47" s="45" t="n">
        <v>16.72926643510285</v>
      </c>
      <c r="F47" s="45" t="n">
        <v>16.39223693447888</v>
      </c>
      <c r="G47" s="45" t="n">
        <v>19.5412718975905</v>
      </c>
      <c r="H47" s="45" t="n">
        <v>22.31734972528784</v>
      </c>
      <c r="I47" s="45" t="n">
        <v>19.4569447793904</v>
      </c>
      <c r="J47" s="45" t="n">
        <v>22.1919354175993</v>
      </c>
      <c r="K47" s="45" t="n">
        <v>22.31734972528784</v>
      </c>
      <c r="L47" s="248" t="n">
        <v>12.02208511515735</v>
      </c>
      <c r="M47" s="45" t="n"/>
      <c r="N47" s="45" t="n"/>
      <c r="O47" s="45" t="n"/>
      <c r="P47" s="45" t="n"/>
      <c r="Q47" s="45" t="n"/>
      <c r="R47" s="45" t="n"/>
    </row>
    <row r="48" hidden="1" ht="14.25" customHeight="1" s="267">
      <c r="A48" s="247" t="inlineStr">
        <is>
          <t>Sepang</t>
        </is>
      </c>
      <c r="B48" s="45" t="n">
        <v>15.97022250190127</v>
      </c>
      <c r="C48" s="45" t="n">
        <v>27.41529280095548</v>
      </c>
      <c r="D48" s="45" t="n">
        <v>20.356724612039</v>
      </c>
      <c r="E48" s="45" t="n">
        <v>16.55778242178576</v>
      </c>
      <c r="F48" s="45" t="n">
        <v>20.05555937485973</v>
      </c>
      <c r="G48" s="45" t="n">
        <v>11.9909357209584</v>
      </c>
      <c r="H48" s="45" t="n">
        <v>19.82430898429884</v>
      </c>
      <c r="I48" s="45" t="n">
        <v>22.57651582637427</v>
      </c>
      <c r="J48" s="45" t="n">
        <v>26.10410517050055</v>
      </c>
      <c r="K48" s="45" t="n">
        <v>16.41103156068796</v>
      </c>
      <c r="L48" s="248" t="n">
        <v>12.15605754038368</v>
      </c>
      <c r="M48" s="45" t="n"/>
      <c r="N48" s="45" t="n"/>
      <c r="O48" s="45" t="n"/>
      <c r="P48" s="45" t="n"/>
      <c r="Q48" s="45" t="n"/>
      <c r="R48" s="45" t="n"/>
    </row>
    <row r="49" hidden="1" ht="14.25" customHeight="1" s="267">
      <c r="A49" s="247" t="inlineStr">
        <is>
          <t>Serres</t>
        </is>
      </c>
      <c r="B49" s="45" t="n">
        <v>15.54048206568967</v>
      </c>
      <c r="C49" s="45" t="n">
        <v>18.77812938072661</v>
      </c>
      <c r="D49" s="45" t="n">
        <v>15.48019647605749</v>
      </c>
      <c r="E49" s="45" t="n">
        <v>16.79893548867108</v>
      </c>
      <c r="F49" s="45" t="n">
        <v>14.60711354307625</v>
      </c>
      <c r="G49" s="45" t="n">
        <v>12.39312634003074</v>
      </c>
      <c r="H49" s="45" t="n">
        <v>14.34580722710508</v>
      </c>
      <c r="I49" s="45" t="n">
        <v>20.87943337108744</v>
      </c>
      <c r="J49" s="45" t="n">
        <v>17.43817529643663</v>
      </c>
      <c r="K49" s="45" t="n">
        <v>18.18945230045211</v>
      </c>
      <c r="L49" s="248" t="n">
        <v>12.91180905468242</v>
      </c>
      <c r="M49" s="45" t="n"/>
      <c r="N49" s="45" t="n"/>
      <c r="O49" s="45" t="n"/>
      <c r="P49" s="45" t="n"/>
      <c r="Q49" s="45" t="n"/>
      <c r="R49" s="45" t="n"/>
    </row>
    <row r="50" hidden="1" ht="14.25" customHeight="1" s="267">
      <c r="A50" s="247" t="inlineStr">
        <is>
          <t>Shanghai</t>
        </is>
      </c>
      <c r="B50" s="45" t="n">
        <v>13.37235978969532</v>
      </c>
      <c r="C50" s="45" t="n">
        <v>35.69188602698922</v>
      </c>
      <c r="D50" s="45" t="n">
        <v>21.63738554370535</v>
      </c>
      <c r="E50" s="45" t="n">
        <v>24.61055375009412</v>
      </c>
      <c r="F50" s="45" t="n">
        <v>21.50964117587623</v>
      </c>
      <c r="G50" s="45" t="n">
        <v>17.56223559379595</v>
      </c>
      <c r="H50" s="45" t="n">
        <v>16.65945299722987</v>
      </c>
      <c r="I50" s="45" t="n">
        <v>23.92315066742055</v>
      </c>
      <c r="J50" s="45" t="n">
        <v>26.95776474968477</v>
      </c>
      <c r="K50" s="45" t="n">
        <v>30.2449969580052</v>
      </c>
      <c r="L50" s="248" t="n">
        <v>12.46809032817479</v>
      </c>
      <c r="M50" s="45" t="n"/>
      <c r="N50" s="45" t="n"/>
      <c r="O50" s="45" t="n"/>
      <c r="P50" s="45" t="n"/>
      <c r="Q50" s="45" t="n"/>
      <c r="R50" s="45" t="n"/>
    </row>
    <row r="51" hidden="1" ht="14.25" customHeight="1" s="267">
      <c r="A51" s="247" t="inlineStr">
        <is>
          <t>Silverstone</t>
        </is>
      </c>
      <c r="B51" s="45" t="n">
        <v>15.95384410546801</v>
      </c>
      <c r="C51" s="45" t="n">
        <v>32.04325862116195</v>
      </c>
      <c r="D51" s="45" t="n">
        <v>14.43857145907038</v>
      </c>
      <c r="E51" s="45" t="n">
        <v>16.97345911804867</v>
      </c>
      <c r="F51" s="45" t="n">
        <v>17.81011773412644</v>
      </c>
      <c r="G51" s="45" t="n">
        <v>11.35381059098983</v>
      </c>
      <c r="H51" s="45" t="n">
        <v>10.96112705301523</v>
      </c>
      <c r="I51" s="45" t="n">
        <v>23.20717500025998</v>
      </c>
      <c r="J51" s="45" t="n">
        <v>17.24101833433227</v>
      </c>
      <c r="K51" s="45" t="n">
        <v>14.40958700016158</v>
      </c>
      <c r="L51" s="248" t="n">
        <v>8.738515249389005</v>
      </c>
      <c r="M51" s="45" t="n"/>
      <c r="N51" s="45" t="n"/>
      <c r="O51" s="45" t="n"/>
      <c r="P51" s="45" t="n"/>
      <c r="Q51" s="45" t="n"/>
      <c r="R51" s="45" t="n"/>
    </row>
    <row r="52" hidden="1" ht="14.25" customHeight="1" s="267">
      <c r="A52" s="247" t="inlineStr">
        <is>
          <t>Singapore</t>
        </is>
      </c>
      <c r="B52" s="45" t="n">
        <v>18.0406225939465</v>
      </c>
      <c r="C52" s="45" t="n">
        <v>13.77509845536812</v>
      </c>
      <c r="D52" s="45" t="n">
        <v>21.20665324019906</v>
      </c>
      <c r="E52" s="45" t="n">
        <v>18.88624561142644</v>
      </c>
      <c r="F52" s="45" t="n">
        <v>20.89172361346853</v>
      </c>
      <c r="G52" s="45" t="n">
        <v>14.85646047019847</v>
      </c>
      <c r="H52" s="45" t="n">
        <v>17.95740119263723</v>
      </c>
      <c r="I52" s="45" t="n">
        <v>17.96441235226312</v>
      </c>
      <c r="J52" s="45" t="n">
        <v>26.90546522354963</v>
      </c>
      <c r="K52" s="45" t="n">
        <v>16.44357664292514</v>
      </c>
      <c r="L52" s="248" t="n">
        <v>16.13621923891357</v>
      </c>
      <c r="M52" s="45" t="n"/>
      <c r="N52" s="45" t="n"/>
      <c r="O52" s="45" t="n"/>
      <c r="P52" s="45" t="n"/>
      <c r="Q52" s="45" t="n"/>
      <c r="R52" s="45" t="n"/>
    </row>
    <row r="53" hidden="1" ht="14.25" customHeight="1" s="267">
      <c r="A53" s="247" t="inlineStr">
        <is>
          <t>Slovakiaring</t>
        </is>
      </c>
      <c r="B53" s="45" t="n">
        <v>13.42992029134524</v>
      </c>
      <c r="C53" s="45" t="n">
        <v>27.68417182491396</v>
      </c>
      <c r="D53" s="45" t="n">
        <v>15.56996981248003</v>
      </c>
      <c r="E53" s="45" t="n">
        <v>17.65367577007293</v>
      </c>
      <c r="F53" s="45" t="n">
        <v>22.73455208620787</v>
      </c>
      <c r="G53" s="45" t="n">
        <v>12.10893942719096</v>
      </c>
      <c r="H53" s="45" t="n">
        <v>10.49918548405145</v>
      </c>
      <c r="I53" s="45" t="n">
        <v>27.34931486856614</v>
      </c>
      <c r="J53" s="45" t="n">
        <v>18.92503550740583</v>
      </c>
      <c r="K53" s="45" t="n">
        <v>23.79747787018774</v>
      </c>
      <c r="L53" s="248" t="n">
        <v>10.09047611455461</v>
      </c>
      <c r="M53" s="45" t="n"/>
      <c r="N53" s="45" t="n"/>
      <c r="O53" s="45" t="n"/>
      <c r="P53" s="45" t="n"/>
      <c r="Q53" s="45" t="n"/>
      <c r="R53" s="45" t="n"/>
    </row>
    <row r="54" hidden="1" ht="14.25" customHeight="1" s="267">
      <c r="A54" s="247" t="inlineStr">
        <is>
          <t>Sochi</t>
        </is>
      </c>
      <c r="B54" s="45" t="n">
        <v>13.42563010815837</v>
      </c>
      <c r="C54" s="45" t="n">
        <v>27.00748299319728</v>
      </c>
      <c r="D54" s="45" t="n">
        <v>16.8888637035577</v>
      </c>
      <c r="E54" s="45" t="n">
        <v>16.30084097105877</v>
      </c>
      <c r="F54" s="45" t="n">
        <v>15.40218991706272</v>
      </c>
      <c r="G54" s="45" t="n">
        <v>10.457337726143</v>
      </c>
      <c r="H54" s="45" t="n">
        <v>12.44748529943169</v>
      </c>
      <c r="I54" s="45" t="n">
        <v>19.02441638525914</v>
      </c>
      <c r="J54" s="45" t="n">
        <v>24.73030472462958</v>
      </c>
      <c r="K54" s="45" t="n">
        <v>13.85184126671266</v>
      </c>
      <c r="L54" s="248" t="n">
        <v>11.07826856770105</v>
      </c>
      <c r="M54" s="45" t="n"/>
      <c r="N54" s="45" t="n"/>
      <c r="O54" s="45" t="n"/>
      <c r="P54" s="45" t="n"/>
      <c r="Q54" s="45" t="n"/>
      <c r="R54" s="45" t="n"/>
    </row>
    <row r="55" hidden="1" ht="14.25" customHeight="1" s="267">
      <c r="A55" s="247" t="inlineStr">
        <is>
          <t>Spa</t>
        </is>
      </c>
      <c r="B55" s="45" t="n">
        <v>17.72123948376906</v>
      </c>
      <c r="C55" s="45" t="n">
        <v>30.81389982431486</v>
      </c>
      <c r="D55" s="45" t="n">
        <v>17.82159264922934</v>
      </c>
      <c r="E55" s="45" t="n">
        <v>20.0687153310496</v>
      </c>
      <c r="F55" s="45" t="n">
        <v>19.87341172428536</v>
      </c>
      <c r="G55" s="45" t="n">
        <v>13.44765151421163</v>
      </c>
      <c r="H55" s="45" t="n">
        <v>11.47535384074778</v>
      </c>
      <c r="I55" s="45" t="n">
        <v>24.27633094905831</v>
      </c>
      <c r="J55" s="45" t="n">
        <v>26.34797847991142</v>
      </c>
      <c r="K55" s="45" t="n">
        <v>29.69788899014359</v>
      </c>
      <c r="L55" s="248" t="n">
        <v>10.98396319969825</v>
      </c>
      <c r="M55" s="45" t="n"/>
      <c r="N55" s="45" t="n"/>
      <c r="O55" s="45" t="n"/>
      <c r="P55" s="45" t="n"/>
      <c r="Q55" s="45" t="n"/>
      <c r="R55" s="45" t="n"/>
    </row>
    <row r="56" hidden="1" ht="14.25" customHeight="1" s="267">
      <c r="A56" s="247" t="inlineStr">
        <is>
          <t>Suzuka</t>
        </is>
      </c>
      <c r="B56" s="45" t="n">
        <v>11.62070818305907</v>
      </c>
      <c r="C56" s="45" t="n">
        <v>20.75970955783695</v>
      </c>
      <c r="D56" s="45" t="n">
        <v>14.27096636856344</v>
      </c>
      <c r="E56" s="45" t="n">
        <v>18.1389898716093</v>
      </c>
      <c r="F56" s="45" t="n">
        <v>15.04584724379985</v>
      </c>
      <c r="G56" s="45" t="n">
        <v>10.52542891237337</v>
      </c>
      <c r="H56" s="45" t="n">
        <v>9.748971231630941</v>
      </c>
      <c r="I56" s="45" t="n">
        <v>23.08990404120268</v>
      </c>
      <c r="J56" s="45" t="n">
        <v>18.20228622685642</v>
      </c>
      <c r="K56" s="45" t="n">
        <v>19.51659586579707</v>
      </c>
      <c r="L56" s="248" t="n">
        <v>10.33962816760572</v>
      </c>
      <c r="M56" s="45" t="n"/>
      <c r="N56" s="45" t="n"/>
      <c r="O56" s="45" t="n"/>
      <c r="P56" s="45" t="n"/>
      <c r="Q56" s="45" t="n"/>
      <c r="R56" s="45" t="n"/>
    </row>
    <row r="57" hidden="1" ht="14.25" customHeight="1" s="267">
      <c r="A57" s="247" t="inlineStr">
        <is>
          <t>Valencia</t>
        </is>
      </c>
      <c r="B57" s="45" t="n">
        <v>16.660241739655</v>
      </c>
      <c r="C57" s="45" t="n">
        <v>16.56958717388311</v>
      </c>
      <c r="D57" s="45" t="n">
        <v>27.84384588572585</v>
      </c>
      <c r="E57" s="45" t="n">
        <v>27.85336232023706</v>
      </c>
      <c r="F57" s="45" t="n">
        <v>13.7448412086282</v>
      </c>
      <c r="G57" s="45" t="n">
        <v>19.42769191813278</v>
      </c>
      <c r="H57" s="45" t="n">
        <v>10.84686363737738</v>
      </c>
      <c r="I57" s="45" t="n">
        <v>16.5830976468287</v>
      </c>
      <c r="J57" s="45" t="n">
        <v>19.32567417678827</v>
      </c>
      <c r="K57" s="45" t="n">
        <v>22.21812020411113</v>
      </c>
      <c r="L57" s="248" t="n">
        <v>13.68723902447935</v>
      </c>
      <c r="M57" s="45" t="n"/>
      <c r="N57" s="45" t="n"/>
      <c r="O57" s="45" t="n"/>
      <c r="P57" s="45" t="n"/>
      <c r="Q57" s="45" t="n"/>
      <c r="R57" s="45" t="n"/>
    </row>
    <row r="58" hidden="1" ht="14.25" customHeight="1" s="267">
      <c r="A58" s="247" t="inlineStr">
        <is>
          <t>Yas Marina</t>
        </is>
      </c>
      <c r="B58" s="45" t="n">
        <v>14.52722914869022</v>
      </c>
      <c r="C58" s="45" t="n">
        <v>10.04591857629003</v>
      </c>
      <c r="D58" s="45" t="n">
        <v>21.56743992398965</v>
      </c>
      <c r="E58" s="45" t="n">
        <v>24.13499548983258</v>
      </c>
      <c r="F58" s="45" t="n">
        <v>17.52484600966051</v>
      </c>
      <c r="G58" s="45" t="n">
        <v>13.67956362402231</v>
      </c>
      <c r="H58" s="45" t="n">
        <v>18.09552218185889</v>
      </c>
      <c r="I58" s="45" t="n">
        <v>21.77531228081653</v>
      </c>
      <c r="J58" s="45" t="n">
        <v>24.81115077994149</v>
      </c>
      <c r="K58" s="45" t="n">
        <v>18.82721815890836</v>
      </c>
      <c r="L58" s="248" t="n">
        <v>13.54483992391756</v>
      </c>
      <c r="M58" s="45" t="n"/>
      <c r="N58" s="45" t="n"/>
      <c r="O58" s="45" t="n"/>
      <c r="P58" s="45" t="n"/>
      <c r="Q58" s="45" t="n"/>
      <c r="R58" s="45" t="n"/>
    </row>
    <row r="59" hidden="1" ht="14.25" customHeight="1" s="267">
      <c r="A59" s="247" t="inlineStr">
        <is>
          <t>Yeongam</t>
        </is>
      </c>
      <c r="B59" s="45" t="n">
        <v>18.14401116566172</v>
      </c>
      <c r="C59" s="45" t="n">
        <v>26.80810166760837</v>
      </c>
      <c r="D59" s="45" t="n">
        <v>19.1911042993936</v>
      </c>
      <c r="E59" s="45" t="n">
        <v>21.19420569297938</v>
      </c>
      <c r="F59" s="45" t="n">
        <v>13.69412180976948</v>
      </c>
      <c r="G59" s="45" t="n">
        <v>14.67220762279333</v>
      </c>
      <c r="H59" s="45" t="n">
        <v>15.11571855054859</v>
      </c>
      <c r="I59" s="45" t="n">
        <v>16.37497278599873</v>
      </c>
      <c r="J59" s="45" t="n">
        <v>20.38518643384671</v>
      </c>
      <c r="K59" s="45" t="n">
        <v>17.59352755146477</v>
      </c>
      <c r="L59" s="248" t="n">
        <v>12.70217376969386</v>
      </c>
      <c r="M59" s="45" t="n"/>
      <c r="N59" s="45" t="n"/>
      <c r="O59" s="45" t="n"/>
      <c r="P59" s="45" t="n"/>
      <c r="Q59" s="45" t="n"/>
      <c r="R59" s="45" t="n"/>
    </row>
    <row r="60" hidden="1" ht="14.25" customHeight="1" s="267">
      <c r="A60" s="247" t="inlineStr">
        <is>
          <t>Zandvoort</t>
        </is>
      </c>
      <c r="B60" s="45" t="n">
        <v>23.86372790289776</v>
      </c>
      <c r="C60" s="45" t="n">
        <v>37.55721724490903</v>
      </c>
      <c r="D60" s="45" t="n">
        <v>28.79493118436752</v>
      </c>
      <c r="E60" s="45" t="n">
        <v>23.10460476601656</v>
      </c>
      <c r="F60" s="45" t="n">
        <v>20.2594497345989</v>
      </c>
      <c r="G60" s="45" t="n">
        <v>17.45875798061596</v>
      </c>
      <c r="H60" s="45" t="n">
        <v>16.15723553657894</v>
      </c>
      <c r="I60" s="45" t="n">
        <v>22.46165104371992</v>
      </c>
      <c r="J60" s="45" t="n">
        <v>40.55644103423851</v>
      </c>
      <c r="K60" s="45" t="n">
        <v>32.24797373498895</v>
      </c>
      <c r="L60" s="248" t="n">
        <v>14.00292284787507</v>
      </c>
      <c r="M60" s="45" t="n"/>
      <c r="N60" s="45" t="n"/>
      <c r="O60" s="45" t="n"/>
      <c r="P60" s="45" t="n"/>
      <c r="Q60" s="45" t="n"/>
      <c r="R60" s="45" t="n"/>
    </row>
    <row r="61" hidden="1" ht="14.25" customHeight="1" s="267">
      <c r="A61" s="251" t="inlineStr">
        <is>
          <t>Zolder</t>
        </is>
      </c>
      <c r="B61" s="253" t="n">
        <v>11.43022251989905</v>
      </c>
      <c r="C61" s="253" t="n">
        <v>12.87880078431092</v>
      </c>
      <c r="D61" s="253" t="n">
        <v>15.88016159319562</v>
      </c>
      <c r="E61" s="253" t="n">
        <v>14.51656252896191</v>
      </c>
      <c r="F61" s="253" t="n">
        <v>13.14646776245996</v>
      </c>
      <c r="G61" s="253" t="n">
        <v>14.67060265036667</v>
      </c>
      <c r="H61" s="253" t="n">
        <v>13.47520065179212</v>
      </c>
      <c r="I61" s="253" t="n">
        <v>24.95352864263096</v>
      </c>
      <c r="J61" s="253" t="n">
        <v>17.99856942120256</v>
      </c>
      <c r="K61" s="253" t="n">
        <v>19.76883656225739</v>
      </c>
      <c r="L61" s="252" t="n">
        <v>12.16317018304665</v>
      </c>
      <c r="M61" s="45" t="n"/>
      <c r="N61" s="45" t="n"/>
      <c r="O61" s="45" t="n"/>
      <c r="P61" s="45" t="n"/>
      <c r="Q61" s="45" t="n"/>
      <c r="R61" s="45" t="n"/>
    </row>
    <row r="62" hidden="1" ht="14.25" customHeight="1" s="267">
      <c r="A62" s="45" t="n"/>
      <c r="B62" s="45" t="n"/>
      <c r="C62" s="45" t="n"/>
      <c r="D62" s="45" t="n"/>
      <c r="E62" s="45" t="n"/>
      <c r="F62" s="45" t="n"/>
      <c r="G62" s="45" t="n"/>
      <c r="H62" s="45" t="n"/>
      <c r="I62" s="45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</row>
    <row r="63" ht="14.25" customHeight="1" s="267">
      <c r="A63" s="45" t="n"/>
      <c r="B63" s="254" t="n">
        <v>1</v>
      </c>
      <c r="C63" s="254" t="n">
        <v>2</v>
      </c>
      <c r="D63" s="254" t="n">
        <v>3</v>
      </c>
      <c r="E63" s="254" t="n">
        <v>4</v>
      </c>
      <c r="F63" s="254" t="n">
        <v>5</v>
      </c>
      <c r="G63" s="254" t="n">
        <v>6</v>
      </c>
      <c r="H63" s="254" t="n">
        <v>7</v>
      </c>
      <c r="I63" s="254" t="n">
        <v>8</v>
      </c>
      <c r="J63" s="254" t="n">
        <v>9</v>
      </c>
      <c r="K63" s="254" t="n">
        <v>10</v>
      </c>
      <c r="L63" s="254" t="n">
        <v>11</v>
      </c>
      <c r="M63" s="254" t="n">
        <v>12</v>
      </c>
      <c r="N63" s="254" t="n">
        <v>13</v>
      </c>
      <c r="O63" s="254" t="n">
        <v>14</v>
      </c>
      <c r="P63" s="254" t="n">
        <v>15</v>
      </c>
      <c r="Q63" s="254" t="n">
        <v>16</v>
      </c>
      <c r="R63" s="254" t="n">
        <v>17</v>
      </c>
    </row>
    <row r="64" ht="14.25" customHeight="1" s="267">
      <c r="A64" s="45" t="n"/>
      <c r="B64" s="242">
        <f>'1 Season'!B6</f>
        <v/>
      </c>
      <c r="C64" s="242">
        <f>'1 Season'!B7</f>
        <v/>
      </c>
      <c r="D64" s="242">
        <f>'1 Season'!B8</f>
        <v/>
      </c>
      <c r="E64" s="242">
        <f>'1 Season'!B9</f>
        <v/>
      </c>
      <c r="F64" s="242">
        <f>'1 Season'!B10</f>
        <v/>
      </c>
      <c r="G64" s="242">
        <f>'1 Season'!B11</f>
        <v/>
      </c>
      <c r="H64" s="242">
        <f>'1 Season'!B12</f>
        <v/>
      </c>
      <c r="I64" s="242">
        <f>'1 Season'!B13</f>
        <v/>
      </c>
      <c r="J64" s="242">
        <f>'1 Season'!B14</f>
        <v/>
      </c>
      <c r="K64" s="242">
        <f>'1 Season'!B15</f>
        <v/>
      </c>
      <c r="L64" s="242">
        <f>'1 Season'!B16</f>
        <v/>
      </c>
      <c r="M64" s="242">
        <f>'1 Season'!B17</f>
        <v/>
      </c>
      <c r="N64" s="242">
        <f>'1 Season'!B18</f>
        <v/>
      </c>
      <c r="O64" s="242">
        <f>'1 Season'!B19</f>
        <v/>
      </c>
      <c r="P64" s="242">
        <f>'1 Season'!B20</f>
        <v/>
      </c>
      <c r="Q64" s="242">
        <f>'1 Season'!B21</f>
        <v/>
      </c>
      <c r="R64" s="242">
        <f>'1 Season'!B22</f>
        <v/>
      </c>
    </row>
    <row r="65" hidden="1" ht="14.25" customHeight="1" s="267">
      <c r="A65" s="45" t="n"/>
      <c r="B65" s="45" t="n"/>
      <c r="C65" s="45" t="n"/>
      <c r="D65" s="45" t="n"/>
      <c r="E65" s="45" t="n"/>
      <c r="F65" s="45" t="n"/>
      <c r="G65" s="45" t="n"/>
      <c r="H65" s="45" t="n"/>
      <c r="I65" s="45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</row>
    <row r="66" hidden="1" ht="14.25" customHeight="1" s="267">
      <c r="A66" s="247" t="inlineStr">
        <is>
          <t>Concentration</t>
        </is>
      </c>
      <c r="B66" s="255">
        <f>'9 Calculated Stuff Data'!B6</f>
        <v/>
      </c>
      <c r="C66" s="255">
        <f>'9 Calculated Stuff Data'!C6</f>
        <v/>
      </c>
      <c r="D66" s="255">
        <f>'9 Calculated Stuff Data'!D6</f>
        <v/>
      </c>
      <c r="E66" s="255">
        <f>'9 Calculated Stuff Data'!E6</f>
        <v/>
      </c>
      <c r="F66" s="255">
        <f>'9 Calculated Stuff Data'!F6</f>
        <v/>
      </c>
      <c r="G66" s="255">
        <f>'9 Calculated Stuff Data'!G6</f>
        <v/>
      </c>
      <c r="H66" s="255">
        <f>'9 Calculated Stuff Data'!H6</f>
        <v/>
      </c>
      <c r="I66" s="255">
        <f>'9 Calculated Stuff Data'!I6</f>
        <v/>
      </c>
      <c r="J66" s="255">
        <f>'9 Calculated Stuff Data'!J6</f>
        <v/>
      </c>
      <c r="K66" s="255">
        <f>'9 Calculated Stuff Data'!K6</f>
        <v/>
      </c>
      <c r="L66" s="255">
        <f>'9 Calculated Stuff Data'!L6</f>
        <v/>
      </c>
      <c r="M66" s="255">
        <f>'9 Calculated Stuff Data'!M6</f>
        <v/>
      </c>
      <c r="N66" s="255">
        <f>'9 Calculated Stuff Data'!N6</f>
        <v/>
      </c>
      <c r="O66" s="255">
        <f>'9 Calculated Stuff Data'!O6</f>
        <v/>
      </c>
      <c r="P66" s="255">
        <f>'9 Calculated Stuff Data'!P6</f>
        <v/>
      </c>
      <c r="Q66" s="255">
        <f>'9 Calculated Stuff Data'!Q6</f>
        <v/>
      </c>
      <c r="R66" s="255">
        <f>'9 Calculated Stuff Data'!R6</f>
        <v/>
      </c>
    </row>
    <row r="67" hidden="1" ht="14.25" customHeight="1" s="267">
      <c r="A67" s="247" t="inlineStr">
        <is>
          <t>Talent</t>
        </is>
      </c>
      <c r="B67" s="255">
        <f>'9 Calculated Stuff Data'!B7</f>
        <v/>
      </c>
      <c r="C67" s="255">
        <f>'9 Calculated Stuff Data'!C7</f>
        <v/>
      </c>
      <c r="D67" s="255">
        <f>'9 Calculated Stuff Data'!D7</f>
        <v/>
      </c>
      <c r="E67" s="255">
        <f>'9 Calculated Stuff Data'!E7</f>
        <v/>
      </c>
      <c r="F67" s="255">
        <f>'9 Calculated Stuff Data'!F7</f>
        <v/>
      </c>
      <c r="G67" s="255">
        <f>'9 Calculated Stuff Data'!G7</f>
        <v/>
      </c>
      <c r="H67" s="255">
        <f>'9 Calculated Stuff Data'!H7</f>
        <v/>
      </c>
      <c r="I67" s="255">
        <f>'9 Calculated Stuff Data'!I7</f>
        <v/>
      </c>
      <c r="J67" s="255">
        <f>'9 Calculated Stuff Data'!J7</f>
        <v/>
      </c>
      <c r="K67" s="255">
        <f>'9 Calculated Stuff Data'!K7</f>
        <v/>
      </c>
      <c r="L67" s="255">
        <f>'9 Calculated Stuff Data'!L7</f>
        <v/>
      </c>
      <c r="M67" s="255">
        <f>'9 Calculated Stuff Data'!M7</f>
        <v/>
      </c>
      <c r="N67" s="255">
        <f>'9 Calculated Stuff Data'!N7</f>
        <v/>
      </c>
      <c r="O67" s="255">
        <f>'9 Calculated Stuff Data'!O7</f>
        <v/>
      </c>
      <c r="P67" s="255">
        <f>'9 Calculated Stuff Data'!P7</f>
        <v/>
      </c>
      <c r="Q67" s="255">
        <f>'9 Calculated Stuff Data'!Q7</f>
        <v/>
      </c>
      <c r="R67" s="255">
        <f>'9 Calculated Stuff Data'!R7</f>
        <v/>
      </c>
    </row>
    <row r="68" hidden="1" ht="14.25" customHeight="1" s="267">
      <c r="A68" s="247" t="inlineStr">
        <is>
          <t>Aggressiveness</t>
        </is>
      </c>
      <c r="B68" s="255">
        <f>'9 Calculated Stuff Data'!B8</f>
        <v/>
      </c>
      <c r="C68" s="255">
        <f>'9 Calculated Stuff Data'!C8</f>
        <v/>
      </c>
      <c r="D68" s="255">
        <f>'9 Calculated Stuff Data'!D8</f>
        <v/>
      </c>
      <c r="E68" s="255">
        <f>'9 Calculated Stuff Data'!E8</f>
        <v/>
      </c>
      <c r="F68" s="255">
        <f>'9 Calculated Stuff Data'!F8</f>
        <v/>
      </c>
      <c r="G68" s="255">
        <f>'9 Calculated Stuff Data'!G8</f>
        <v/>
      </c>
      <c r="H68" s="255">
        <f>'9 Calculated Stuff Data'!H8</f>
        <v/>
      </c>
      <c r="I68" s="255">
        <f>'9 Calculated Stuff Data'!I8</f>
        <v/>
      </c>
      <c r="J68" s="255">
        <f>'9 Calculated Stuff Data'!J8</f>
        <v/>
      </c>
      <c r="K68" s="255">
        <f>'9 Calculated Stuff Data'!K8</f>
        <v/>
      </c>
      <c r="L68" s="255">
        <f>'9 Calculated Stuff Data'!L8</f>
        <v/>
      </c>
      <c r="M68" s="255">
        <f>'9 Calculated Stuff Data'!M8</f>
        <v/>
      </c>
      <c r="N68" s="255">
        <f>'9 Calculated Stuff Data'!N8</f>
        <v/>
      </c>
      <c r="O68" s="255">
        <f>'9 Calculated Stuff Data'!O8</f>
        <v/>
      </c>
      <c r="P68" s="255">
        <f>'9 Calculated Stuff Data'!P8</f>
        <v/>
      </c>
      <c r="Q68" s="255">
        <f>'9 Calculated Stuff Data'!Q8</f>
        <v/>
      </c>
      <c r="R68" s="255">
        <f>'9 Calculated Stuff Data'!R8</f>
        <v/>
      </c>
    </row>
    <row r="69" hidden="1" ht="14.25" customHeight="1" s="267">
      <c r="A69" s="247" t="inlineStr">
        <is>
          <t>Experience</t>
        </is>
      </c>
      <c r="B69" s="255">
        <f>'9 Calculated Stuff Data'!B9</f>
        <v/>
      </c>
      <c r="C69" s="255">
        <f>'9 Calculated Stuff Data'!C9</f>
        <v/>
      </c>
      <c r="D69" s="255">
        <f>'9 Calculated Stuff Data'!D9</f>
        <v/>
      </c>
      <c r="E69" s="255">
        <f>'9 Calculated Stuff Data'!E9</f>
        <v/>
      </c>
      <c r="F69" s="255">
        <f>'9 Calculated Stuff Data'!F9</f>
        <v/>
      </c>
      <c r="G69" s="255">
        <f>'9 Calculated Stuff Data'!G9</f>
        <v/>
      </c>
      <c r="H69" s="255">
        <f>'9 Calculated Stuff Data'!H9</f>
        <v/>
      </c>
      <c r="I69" s="255">
        <f>'9 Calculated Stuff Data'!I9</f>
        <v/>
      </c>
      <c r="J69" s="255">
        <f>'9 Calculated Stuff Data'!J9</f>
        <v/>
      </c>
      <c r="K69" s="255">
        <f>'9 Calculated Stuff Data'!K9</f>
        <v/>
      </c>
      <c r="L69" s="255">
        <f>'9 Calculated Stuff Data'!L9</f>
        <v/>
      </c>
      <c r="M69" s="255">
        <f>'9 Calculated Stuff Data'!M9</f>
        <v/>
      </c>
      <c r="N69" s="255">
        <f>'9 Calculated Stuff Data'!N9</f>
        <v/>
      </c>
      <c r="O69" s="255">
        <f>'9 Calculated Stuff Data'!O9</f>
        <v/>
      </c>
      <c r="P69" s="255">
        <f>'9 Calculated Stuff Data'!P9</f>
        <v/>
      </c>
      <c r="Q69" s="255">
        <f>'9 Calculated Stuff Data'!Q9</f>
        <v/>
      </c>
      <c r="R69" s="255">
        <f>'9 Calculated Stuff Data'!R9</f>
        <v/>
      </c>
    </row>
    <row r="70" hidden="1" ht="14.25" customHeight="1" s="267">
      <c r="A70" s="247" t="inlineStr">
        <is>
          <t>Technical</t>
        </is>
      </c>
      <c r="B70" s="255">
        <f>'9 Calculated Stuff Data'!B10</f>
        <v/>
      </c>
      <c r="C70" s="255">
        <f>'9 Calculated Stuff Data'!C10</f>
        <v/>
      </c>
      <c r="D70" s="255">
        <f>'9 Calculated Stuff Data'!D10</f>
        <v/>
      </c>
      <c r="E70" s="255">
        <f>'9 Calculated Stuff Data'!E10</f>
        <v/>
      </c>
      <c r="F70" s="255">
        <f>'9 Calculated Stuff Data'!F10</f>
        <v/>
      </c>
      <c r="G70" s="255">
        <f>'9 Calculated Stuff Data'!G10</f>
        <v/>
      </c>
      <c r="H70" s="255">
        <f>'9 Calculated Stuff Data'!H10</f>
        <v/>
      </c>
      <c r="I70" s="255">
        <f>'9 Calculated Stuff Data'!I10</f>
        <v/>
      </c>
      <c r="J70" s="255">
        <f>'9 Calculated Stuff Data'!J10</f>
        <v/>
      </c>
      <c r="K70" s="255">
        <f>'9 Calculated Stuff Data'!K10</f>
        <v/>
      </c>
      <c r="L70" s="255">
        <f>'9 Calculated Stuff Data'!L10</f>
        <v/>
      </c>
      <c r="M70" s="255">
        <f>'9 Calculated Stuff Data'!M10</f>
        <v/>
      </c>
      <c r="N70" s="255">
        <f>'9 Calculated Stuff Data'!N10</f>
        <v/>
      </c>
      <c r="O70" s="255">
        <f>'9 Calculated Stuff Data'!O10</f>
        <v/>
      </c>
      <c r="P70" s="255">
        <f>'9 Calculated Stuff Data'!P10</f>
        <v/>
      </c>
      <c r="Q70" s="255">
        <f>'9 Calculated Stuff Data'!Q10</f>
        <v/>
      </c>
      <c r="R70" s="255">
        <f>'9 Calculated Stuff Data'!R10</f>
        <v/>
      </c>
    </row>
    <row r="71" hidden="1" ht="14.25" customHeight="1" s="267">
      <c r="A71" s="247" t="inlineStr">
        <is>
          <t>Stamina</t>
        </is>
      </c>
      <c r="B71" s="255">
        <f>'9 Calculated Stuff Data'!B11</f>
        <v/>
      </c>
      <c r="C71" s="255">
        <f>'9 Calculated Stuff Data'!C11</f>
        <v/>
      </c>
      <c r="D71" s="255">
        <f>'9 Calculated Stuff Data'!D11</f>
        <v/>
      </c>
      <c r="E71" s="255">
        <f>'9 Calculated Stuff Data'!E11</f>
        <v/>
      </c>
      <c r="F71" s="255">
        <f>'9 Calculated Stuff Data'!F11</f>
        <v/>
      </c>
      <c r="G71" s="255">
        <f>'9 Calculated Stuff Data'!G11</f>
        <v/>
      </c>
      <c r="H71" s="255">
        <f>'9 Calculated Stuff Data'!H11</f>
        <v/>
      </c>
      <c r="I71" s="255">
        <f>'9 Calculated Stuff Data'!I11</f>
        <v/>
      </c>
      <c r="J71" s="255">
        <f>'9 Calculated Stuff Data'!J11</f>
        <v/>
      </c>
      <c r="K71" s="255">
        <f>'9 Calculated Stuff Data'!K11</f>
        <v/>
      </c>
      <c r="L71" s="255">
        <f>'9 Calculated Stuff Data'!L11</f>
        <v/>
      </c>
      <c r="M71" s="255">
        <f>'9 Calculated Stuff Data'!M11</f>
        <v/>
      </c>
      <c r="N71" s="255">
        <f>'9 Calculated Stuff Data'!N11</f>
        <v/>
      </c>
      <c r="O71" s="255">
        <f>'9 Calculated Stuff Data'!O11</f>
        <v/>
      </c>
      <c r="P71" s="255">
        <f>'9 Calculated Stuff Data'!P11</f>
        <v/>
      </c>
      <c r="Q71" s="255">
        <f>'9 Calculated Stuff Data'!Q11</f>
        <v/>
      </c>
      <c r="R71" s="255">
        <f>'9 Calculated Stuff Data'!R11</f>
        <v/>
      </c>
    </row>
    <row r="72" hidden="1" ht="14.25" customHeight="1" s="267">
      <c r="A72" s="247" t="inlineStr">
        <is>
          <t>Charisma</t>
        </is>
      </c>
      <c r="B72" s="255">
        <f>'9 Calculated Stuff Data'!B12</f>
        <v/>
      </c>
      <c r="C72" s="255">
        <f>'9 Calculated Stuff Data'!C12</f>
        <v/>
      </c>
      <c r="D72" s="255">
        <f>'9 Calculated Stuff Data'!D12</f>
        <v/>
      </c>
      <c r="E72" s="255">
        <f>'9 Calculated Stuff Data'!E12</f>
        <v/>
      </c>
      <c r="F72" s="255">
        <f>'9 Calculated Stuff Data'!F12</f>
        <v/>
      </c>
      <c r="G72" s="255">
        <f>'9 Calculated Stuff Data'!G12</f>
        <v/>
      </c>
      <c r="H72" s="255">
        <f>'9 Calculated Stuff Data'!H12</f>
        <v/>
      </c>
      <c r="I72" s="255">
        <f>'9 Calculated Stuff Data'!I12</f>
        <v/>
      </c>
      <c r="J72" s="255">
        <f>'9 Calculated Stuff Data'!J12</f>
        <v/>
      </c>
      <c r="K72" s="255">
        <f>'9 Calculated Stuff Data'!K12</f>
        <v/>
      </c>
      <c r="L72" s="255">
        <f>'9 Calculated Stuff Data'!L12</f>
        <v/>
      </c>
      <c r="M72" s="255">
        <f>'9 Calculated Stuff Data'!M12</f>
        <v/>
      </c>
      <c r="N72" s="255">
        <f>'9 Calculated Stuff Data'!N12</f>
        <v/>
      </c>
      <c r="O72" s="255">
        <f>'9 Calculated Stuff Data'!O12</f>
        <v/>
      </c>
      <c r="P72" s="255">
        <f>'9 Calculated Stuff Data'!P12</f>
        <v/>
      </c>
      <c r="Q72" s="255">
        <f>'9 Calculated Stuff Data'!Q12</f>
        <v/>
      </c>
      <c r="R72" s="255">
        <f>'9 Calculated Stuff Data'!R12</f>
        <v/>
      </c>
    </row>
    <row r="73" hidden="1" ht="14.25" customHeight="1" s="267">
      <c r="A73" s="247" t="inlineStr">
        <is>
          <t>Motivation</t>
        </is>
      </c>
      <c r="B73" s="255">
        <f>'9 Calculated Stuff Data'!B13</f>
        <v/>
      </c>
      <c r="C73" s="255">
        <f>'9 Calculated Stuff Data'!C13</f>
        <v/>
      </c>
      <c r="D73" s="255">
        <f>'9 Calculated Stuff Data'!D13</f>
        <v/>
      </c>
      <c r="E73" s="255">
        <f>'9 Calculated Stuff Data'!E13</f>
        <v/>
      </c>
      <c r="F73" s="255">
        <f>'9 Calculated Stuff Data'!F13</f>
        <v/>
      </c>
      <c r="G73" s="255">
        <f>'9 Calculated Stuff Data'!G13</f>
        <v/>
      </c>
      <c r="H73" s="255">
        <f>'9 Calculated Stuff Data'!H13</f>
        <v/>
      </c>
      <c r="I73" s="255">
        <f>'9 Calculated Stuff Data'!I13</f>
        <v/>
      </c>
      <c r="J73" s="255">
        <f>'9 Calculated Stuff Data'!J13</f>
        <v/>
      </c>
      <c r="K73" s="255">
        <f>'9 Calculated Stuff Data'!K13</f>
        <v/>
      </c>
      <c r="L73" s="255">
        <f>'9 Calculated Stuff Data'!L13</f>
        <v/>
      </c>
      <c r="M73" s="255">
        <f>'9 Calculated Stuff Data'!M13</f>
        <v/>
      </c>
      <c r="N73" s="255">
        <f>'9 Calculated Stuff Data'!N13</f>
        <v/>
      </c>
      <c r="O73" s="255">
        <f>'9 Calculated Stuff Data'!O13</f>
        <v/>
      </c>
      <c r="P73" s="255">
        <f>'9 Calculated Stuff Data'!P13</f>
        <v/>
      </c>
      <c r="Q73" s="255">
        <f>'9 Calculated Stuff Data'!Q13</f>
        <v/>
      </c>
      <c r="R73" s="255">
        <f>'9 Calculated Stuff Data'!R13</f>
        <v/>
      </c>
    </row>
    <row r="74" hidden="1" ht="14.25" customHeight="1" s="267">
      <c r="A74" s="247" t="inlineStr">
        <is>
          <t>Reputation</t>
        </is>
      </c>
      <c r="B74" s="255">
        <f>'9 Calculated Stuff Data'!B14</f>
        <v/>
      </c>
      <c r="C74" s="255">
        <f>'9 Calculated Stuff Data'!C14</f>
        <v/>
      </c>
      <c r="D74" s="255">
        <f>'9 Calculated Stuff Data'!D14</f>
        <v/>
      </c>
      <c r="E74" s="255">
        <f>'9 Calculated Stuff Data'!E14</f>
        <v/>
      </c>
      <c r="F74" s="255">
        <f>'9 Calculated Stuff Data'!F14</f>
        <v/>
      </c>
      <c r="G74" s="255">
        <f>'9 Calculated Stuff Data'!G14</f>
        <v/>
      </c>
      <c r="H74" s="255">
        <f>'9 Calculated Stuff Data'!H14</f>
        <v/>
      </c>
      <c r="I74" s="255">
        <f>'9 Calculated Stuff Data'!I14</f>
        <v/>
      </c>
      <c r="J74" s="255">
        <f>'9 Calculated Stuff Data'!J14</f>
        <v/>
      </c>
      <c r="K74" s="255">
        <f>'9 Calculated Stuff Data'!K14</f>
        <v/>
      </c>
      <c r="L74" s="255">
        <f>'9 Calculated Stuff Data'!L14</f>
        <v/>
      </c>
      <c r="M74" s="255">
        <f>'9 Calculated Stuff Data'!M14</f>
        <v/>
      </c>
      <c r="N74" s="255">
        <f>'9 Calculated Stuff Data'!N14</f>
        <v/>
      </c>
      <c r="O74" s="255">
        <f>'9 Calculated Stuff Data'!O14</f>
        <v/>
      </c>
      <c r="P74" s="255">
        <f>'9 Calculated Stuff Data'!P14</f>
        <v/>
      </c>
      <c r="Q74" s="255">
        <f>'9 Calculated Stuff Data'!Q14</f>
        <v/>
      </c>
      <c r="R74" s="255">
        <f>'9 Calculated Stuff Data'!R14</f>
        <v/>
      </c>
    </row>
    <row r="75" hidden="1" ht="14.25" customHeight="1" s="267">
      <c r="A75" s="247" t="inlineStr">
        <is>
          <t>Weight</t>
        </is>
      </c>
      <c r="B75" s="255">
        <f>'9 Calculated Stuff Data'!B15</f>
        <v/>
      </c>
      <c r="C75" s="255">
        <f>'9 Calculated Stuff Data'!C15</f>
        <v/>
      </c>
      <c r="D75" s="255">
        <f>'9 Calculated Stuff Data'!D15</f>
        <v/>
      </c>
      <c r="E75" s="255">
        <f>'9 Calculated Stuff Data'!E15</f>
        <v/>
      </c>
      <c r="F75" s="255">
        <f>'9 Calculated Stuff Data'!F15</f>
        <v/>
      </c>
      <c r="G75" s="255">
        <f>'9 Calculated Stuff Data'!G15</f>
        <v/>
      </c>
      <c r="H75" s="255">
        <f>'9 Calculated Stuff Data'!H15</f>
        <v/>
      </c>
      <c r="I75" s="255">
        <f>'9 Calculated Stuff Data'!I15</f>
        <v/>
      </c>
      <c r="J75" s="255">
        <f>'9 Calculated Stuff Data'!J15</f>
        <v/>
      </c>
      <c r="K75" s="255">
        <f>'9 Calculated Stuff Data'!K15</f>
        <v/>
      </c>
      <c r="L75" s="255">
        <f>'9 Calculated Stuff Data'!L15</f>
        <v/>
      </c>
      <c r="M75" s="255">
        <f>'9 Calculated Stuff Data'!M15</f>
        <v/>
      </c>
      <c r="N75" s="255">
        <f>'9 Calculated Stuff Data'!N15</f>
        <v/>
      </c>
      <c r="O75" s="255">
        <f>'9 Calculated Stuff Data'!O15</f>
        <v/>
      </c>
      <c r="P75" s="255">
        <f>'9 Calculated Stuff Data'!P15</f>
        <v/>
      </c>
      <c r="Q75" s="255">
        <f>'9 Calculated Stuff Data'!Q15</f>
        <v/>
      </c>
      <c r="R75" s="255">
        <f>'9 Calculated Stuff Data'!R15</f>
        <v/>
      </c>
    </row>
    <row r="76" hidden="1" ht="14.25" customHeight="1" s="267">
      <c r="A76" s="45" t="inlineStr">
        <is>
          <t>Age</t>
        </is>
      </c>
      <c r="B76" s="255">
        <f>'9 Calculated Stuff Data'!B16</f>
        <v/>
      </c>
      <c r="C76" s="255">
        <f>'9 Calculated Stuff Data'!C16</f>
        <v/>
      </c>
      <c r="D76" s="255">
        <f>'9 Calculated Stuff Data'!D16</f>
        <v/>
      </c>
      <c r="E76" s="255">
        <f>'9 Calculated Stuff Data'!E16</f>
        <v/>
      </c>
      <c r="F76" s="255">
        <f>'9 Calculated Stuff Data'!F16</f>
        <v/>
      </c>
      <c r="G76" s="255">
        <f>'9 Calculated Stuff Data'!G16</f>
        <v/>
      </c>
      <c r="H76" s="255">
        <f>'9 Calculated Stuff Data'!H16</f>
        <v/>
      </c>
      <c r="I76" s="255">
        <f>'9 Calculated Stuff Data'!I16</f>
        <v/>
      </c>
      <c r="J76" s="255">
        <f>'9 Calculated Stuff Data'!J16</f>
        <v/>
      </c>
      <c r="K76" s="255">
        <f>'9 Calculated Stuff Data'!K16</f>
        <v/>
      </c>
      <c r="L76" s="255">
        <f>'9 Calculated Stuff Data'!L16</f>
        <v/>
      </c>
      <c r="M76" s="255">
        <f>'9 Calculated Stuff Data'!M16</f>
        <v/>
      </c>
      <c r="N76" s="255">
        <f>'9 Calculated Stuff Data'!N16</f>
        <v/>
      </c>
      <c r="O76" s="255">
        <f>'9 Calculated Stuff Data'!O16</f>
        <v/>
      </c>
      <c r="P76" s="255">
        <f>'9 Calculated Stuff Data'!P16</f>
        <v/>
      </c>
      <c r="Q76" s="255">
        <f>'9 Calculated Stuff Data'!Q16</f>
        <v/>
      </c>
      <c r="R76" s="255">
        <f>'9 Calculated Stuff Data'!R16</f>
        <v/>
      </c>
    </row>
    <row r="77" hidden="1" ht="14.25" customHeight="1" s="267">
      <c r="A77" s="45" t="n"/>
      <c r="B77" s="45" t="n"/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</row>
    <row r="78" hidden="1" ht="14.25" customHeight="1" s="267">
      <c r="A78" s="45" t="inlineStr">
        <is>
          <t>Chassis</t>
        </is>
      </c>
      <c r="B78" s="45">
        <f>'10 Calculated Part Data'!B18</f>
        <v/>
      </c>
      <c r="C78" s="45">
        <f>'10 Calculated Part Data'!C18</f>
        <v/>
      </c>
      <c r="D78" s="45">
        <f>'10 Calculated Part Data'!D18</f>
        <v/>
      </c>
      <c r="E78" s="45">
        <f>'10 Calculated Part Data'!E18</f>
        <v/>
      </c>
      <c r="F78" s="45">
        <f>'10 Calculated Part Data'!F18</f>
        <v/>
      </c>
      <c r="G78" s="45">
        <f>'10 Calculated Part Data'!G18</f>
        <v/>
      </c>
      <c r="H78" s="45">
        <f>'10 Calculated Part Data'!H18</f>
        <v/>
      </c>
      <c r="I78" s="45">
        <f>'10 Calculated Part Data'!I18</f>
        <v/>
      </c>
      <c r="J78" s="45">
        <f>'10 Calculated Part Data'!J18</f>
        <v/>
      </c>
      <c r="K78" s="45">
        <f>'10 Calculated Part Data'!K18</f>
        <v/>
      </c>
      <c r="L78" s="45">
        <f>'10 Calculated Part Data'!L18</f>
        <v/>
      </c>
      <c r="M78" s="45">
        <f>'10 Calculated Part Data'!M18</f>
        <v/>
      </c>
      <c r="N78" s="45">
        <f>'10 Calculated Part Data'!N18</f>
        <v/>
      </c>
      <c r="O78" s="45">
        <f>'10 Calculated Part Data'!O18</f>
        <v/>
      </c>
      <c r="P78" s="45">
        <f>'10 Calculated Part Data'!P18</f>
        <v/>
      </c>
      <c r="Q78" s="45">
        <f>'10 Calculated Part Data'!Q18</f>
        <v/>
      </c>
      <c r="R78" s="45">
        <f>'10 Calculated Part Data'!R18</f>
        <v/>
      </c>
    </row>
    <row r="79" hidden="1" ht="14.25" customHeight="1" s="267">
      <c r="A79" s="45" t="inlineStr">
        <is>
          <t>Engine</t>
        </is>
      </c>
      <c r="B79" s="45">
        <f>'10 Calculated Part Data'!B19</f>
        <v/>
      </c>
      <c r="C79" s="45">
        <f>'10 Calculated Part Data'!C19</f>
        <v/>
      </c>
      <c r="D79" s="45">
        <f>'10 Calculated Part Data'!D19</f>
        <v/>
      </c>
      <c r="E79" s="45">
        <f>'10 Calculated Part Data'!E19</f>
        <v/>
      </c>
      <c r="F79" s="45">
        <f>'10 Calculated Part Data'!F19</f>
        <v/>
      </c>
      <c r="G79" s="45">
        <f>'10 Calculated Part Data'!G19</f>
        <v/>
      </c>
      <c r="H79" s="45">
        <f>'10 Calculated Part Data'!H19</f>
        <v/>
      </c>
      <c r="I79" s="45">
        <f>'10 Calculated Part Data'!I19</f>
        <v/>
      </c>
      <c r="J79" s="45">
        <f>'10 Calculated Part Data'!J19</f>
        <v/>
      </c>
      <c r="K79" s="45">
        <f>'10 Calculated Part Data'!K19</f>
        <v/>
      </c>
      <c r="L79" s="45">
        <f>'10 Calculated Part Data'!L19</f>
        <v/>
      </c>
      <c r="M79" s="45">
        <f>'10 Calculated Part Data'!M19</f>
        <v/>
      </c>
      <c r="N79" s="45">
        <f>'10 Calculated Part Data'!N19</f>
        <v/>
      </c>
      <c r="O79" s="45">
        <f>'10 Calculated Part Data'!O19</f>
        <v/>
      </c>
      <c r="P79" s="45">
        <f>'10 Calculated Part Data'!P19</f>
        <v/>
      </c>
      <c r="Q79" s="45">
        <f>'10 Calculated Part Data'!Q19</f>
        <v/>
      </c>
      <c r="R79" s="45">
        <f>'10 Calculated Part Data'!R19</f>
        <v/>
      </c>
    </row>
    <row r="80" hidden="1" ht="14.25" customHeight="1" s="267">
      <c r="A80" s="45" t="inlineStr">
        <is>
          <t>Front Wing</t>
        </is>
      </c>
      <c r="B80" s="45">
        <f>'10 Calculated Part Data'!B20</f>
        <v/>
      </c>
      <c r="C80" s="45">
        <f>'10 Calculated Part Data'!C20</f>
        <v/>
      </c>
      <c r="D80" s="45">
        <f>'10 Calculated Part Data'!D20</f>
        <v/>
      </c>
      <c r="E80" s="45">
        <f>'10 Calculated Part Data'!E20</f>
        <v/>
      </c>
      <c r="F80" s="45">
        <f>'10 Calculated Part Data'!F20</f>
        <v/>
      </c>
      <c r="G80" s="45">
        <f>'10 Calculated Part Data'!G20</f>
        <v/>
      </c>
      <c r="H80" s="45">
        <f>'10 Calculated Part Data'!H20</f>
        <v/>
      </c>
      <c r="I80" s="45">
        <f>'10 Calculated Part Data'!I20</f>
        <v/>
      </c>
      <c r="J80" s="45">
        <f>'10 Calculated Part Data'!J20</f>
        <v/>
      </c>
      <c r="K80" s="45">
        <f>'10 Calculated Part Data'!K20</f>
        <v/>
      </c>
      <c r="L80" s="45">
        <f>'10 Calculated Part Data'!L20</f>
        <v/>
      </c>
      <c r="M80" s="45">
        <f>'10 Calculated Part Data'!M20</f>
        <v/>
      </c>
      <c r="N80" s="45">
        <f>'10 Calculated Part Data'!N20</f>
        <v/>
      </c>
      <c r="O80" s="45">
        <f>'10 Calculated Part Data'!O20</f>
        <v/>
      </c>
      <c r="P80" s="45">
        <f>'10 Calculated Part Data'!P20</f>
        <v/>
      </c>
      <c r="Q80" s="45">
        <f>'10 Calculated Part Data'!Q20</f>
        <v/>
      </c>
      <c r="R80" s="45">
        <f>'10 Calculated Part Data'!R20</f>
        <v/>
      </c>
    </row>
    <row r="81" hidden="1" ht="14.25" customHeight="1" s="267">
      <c r="A81" s="45" t="inlineStr">
        <is>
          <t>Rear Wing</t>
        </is>
      </c>
      <c r="B81" s="45">
        <f>'10 Calculated Part Data'!B21</f>
        <v/>
      </c>
      <c r="C81" s="45">
        <f>'10 Calculated Part Data'!C21</f>
        <v/>
      </c>
      <c r="D81" s="45">
        <f>'10 Calculated Part Data'!D21</f>
        <v/>
      </c>
      <c r="E81" s="45">
        <f>'10 Calculated Part Data'!E21</f>
        <v/>
      </c>
      <c r="F81" s="45">
        <f>'10 Calculated Part Data'!F21</f>
        <v/>
      </c>
      <c r="G81" s="45">
        <f>'10 Calculated Part Data'!G21</f>
        <v/>
      </c>
      <c r="H81" s="45">
        <f>'10 Calculated Part Data'!H21</f>
        <v/>
      </c>
      <c r="I81" s="45">
        <f>'10 Calculated Part Data'!I21</f>
        <v/>
      </c>
      <c r="J81" s="45">
        <f>'10 Calculated Part Data'!J21</f>
        <v/>
      </c>
      <c r="K81" s="45">
        <f>'10 Calculated Part Data'!K21</f>
        <v/>
      </c>
      <c r="L81" s="45">
        <f>'10 Calculated Part Data'!L21</f>
        <v/>
      </c>
      <c r="M81" s="45">
        <f>'10 Calculated Part Data'!M21</f>
        <v/>
      </c>
      <c r="N81" s="45">
        <f>'10 Calculated Part Data'!N21</f>
        <v/>
      </c>
      <c r="O81" s="45">
        <f>'10 Calculated Part Data'!O21</f>
        <v/>
      </c>
      <c r="P81" s="45">
        <f>'10 Calculated Part Data'!P21</f>
        <v/>
      </c>
      <c r="Q81" s="45">
        <f>'10 Calculated Part Data'!Q21</f>
        <v/>
      </c>
      <c r="R81" s="45">
        <f>'10 Calculated Part Data'!R21</f>
        <v/>
      </c>
    </row>
    <row r="82" hidden="1" ht="14.25" customHeight="1" s="267">
      <c r="A82" s="45" t="inlineStr">
        <is>
          <t>Underbody</t>
        </is>
      </c>
      <c r="B82" s="45">
        <f>'10 Calculated Part Data'!B22</f>
        <v/>
      </c>
      <c r="C82" s="45">
        <f>'10 Calculated Part Data'!C22</f>
        <v/>
      </c>
      <c r="D82" s="45">
        <f>'10 Calculated Part Data'!D22</f>
        <v/>
      </c>
      <c r="E82" s="45">
        <f>'10 Calculated Part Data'!E22</f>
        <v/>
      </c>
      <c r="F82" s="45">
        <f>'10 Calculated Part Data'!F22</f>
        <v/>
      </c>
      <c r="G82" s="45">
        <f>'10 Calculated Part Data'!G22</f>
        <v/>
      </c>
      <c r="H82" s="45">
        <f>'10 Calculated Part Data'!H22</f>
        <v/>
      </c>
      <c r="I82" s="45">
        <f>'10 Calculated Part Data'!I22</f>
        <v/>
      </c>
      <c r="J82" s="45">
        <f>'10 Calculated Part Data'!J22</f>
        <v/>
      </c>
      <c r="K82" s="45">
        <f>'10 Calculated Part Data'!K22</f>
        <v/>
      </c>
      <c r="L82" s="45">
        <f>'10 Calculated Part Data'!L22</f>
        <v/>
      </c>
      <c r="M82" s="45">
        <f>'10 Calculated Part Data'!M22</f>
        <v/>
      </c>
      <c r="N82" s="45">
        <f>'10 Calculated Part Data'!N22</f>
        <v/>
      </c>
      <c r="O82" s="45">
        <f>'10 Calculated Part Data'!O22</f>
        <v/>
      </c>
      <c r="P82" s="45">
        <f>'10 Calculated Part Data'!P22</f>
        <v/>
      </c>
      <c r="Q82" s="45">
        <f>'10 Calculated Part Data'!Q22</f>
        <v/>
      </c>
      <c r="R82" s="45">
        <f>'10 Calculated Part Data'!R22</f>
        <v/>
      </c>
    </row>
    <row r="83" hidden="1" ht="14.25" customHeight="1" s="267">
      <c r="A83" s="45" t="inlineStr">
        <is>
          <t>Sidepods</t>
        </is>
      </c>
      <c r="B83" s="45">
        <f>'10 Calculated Part Data'!B23</f>
        <v/>
      </c>
      <c r="C83" s="45">
        <f>'10 Calculated Part Data'!C23</f>
        <v/>
      </c>
      <c r="D83" s="45">
        <f>'10 Calculated Part Data'!D23</f>
        <v/>
      </c>
      <c r="E83" s="45">
        <f>'10 Calculated Part Data'!E23</f>
        <v/>
      </c>
      <c r="F83" s="45">
        <f>'10 Calculated Part Data'!F23</f>
        <v/>
      </c>
      <c r="G83" s="45">
        <f>'10 Calculated Part Data'!G23</f>
        <v/>
      </c>
      <c r="H83" s="45">
        <f>'10 Calculated Part Data'!H23</f>
        <v/>
      </c>
      <c r="I83" s="45">
        <f>'10 Calculated Part Data'!I23</f>
        <v/>
      </c>
      <c r="J83" s="45">
        <f>'10 Calculated Part Data'!J23</f>
        <v/>
      </c>
      <c r="K83" s="45">
        <f>'10 Calculated Part Data'!K23</f>
        <v/>
      </c>
      <c r="L83" s="45">
        <f>'10 Calculated Part Data'!L23</f>
        <v/>
      </c>
      <c r="M83" s="45">
        <f>'10 Calculated Part Data'!M23</f>
        <v/>
      </c>
      <c r="N83" s="45">
        <f>'10 Calculated Part Data'!N23</f>
        <v/>
      </c>
      <c r="O83" s="45">
        <f>'10 Calculated Part Data'!O23</f>
        <v/>
      </c>
      <c r="P83" s="45">
        <f>'10 Calculated Part Data'!P23</f>
        <v/>
      </c>
      <c r="Q83" s="45">
        <f>'10 Calculated Part Data'!Q23</f>
        <v/>
      </c>
      <c r="R83" s="45">
        <f>'10 Calculated Part Data'!R23</f>
        <v/>
      </c>
    </row>
    <row r="84" hidden="1" ht="14.25" customHeight="1" s="267">
      <c r="A84" s="45" t="inlineStr">
        <is>
          <t>Cooling</t>
        </is>
      </c>
      <c r="B84" s="45">
        <f>'10 Calculated Part Data'!B24</f>
        <v/>
      </c>
      <c r="C84" s="45">
        <f>'10 Calculated Part Data'!C24</f>
        <v/>
      </c>
      <c r="D84" s="45">
        <f>'10 Calculated Part Data'!D24</f>
        <v/>
      </c>
      <c r="E84" s="45">
        <f>'10 Calculated Part Data'!E24</f>
        <v/>
      </c>
      <c r="F84" s="45">
        <f>'10 Calculated Part Data'!F24</f>
        <v/>
      </c>
      <c r="G84" s="45">
        <f>'10 Calculated Part Data'!G24</f>
        <v/>
      </c>
      <c r="H84" s="45">
        <f>'10 Calculated Part Data'!H24</f>
        <v/>
      </c>
      <c r="I84" s="45">
        <f>'10 Calculated Part Data'!I24</f>
        <v/>
      </c>
      <c r="J84" s="45">
        <f>'10 Calculated Part Data'!J24</f>
        <v/>
      </c>
      <c r="K84" s="45">
        <f>'10 Calculated Part Data'!K24</f>
        <v/>
      </c>
      <c r="L84" s="45">
        <f>'10 Calculated Part Data'!L24</f>
        <v/>
      </c>
      <c r="M84" s="45">
        <f>'10 Calculated Part Data'!M24</f>
        <v/>
      </c>
      <c r="N84" s="45">
        <f>'10 Calculated Part Data'!N24</f>
        <v/>
      </c>
      <c r="O84" s="45">
        <f>'10 Calculated Part Data'!O24</f>
        <v/>
      </c>
      <c r="P84" s="45">
        <f>'10 Calculated Part Data'!P24</f>
        <v/>
      </c>
      <c r="Q84" s="45">
        <f>'10 Calculated Part Data'!Q24</f>
        <v/>
      </c>
      <c r="R84" s="45">
        <f>'10 Calculated Part Data'!R24</f>
        <v/>
      </c>
    </row>
    <row r="85" hidden="1" ht="14.25" customHeight="1" s="267">
      <c r="A85" s="45" t="inlineStr">
        <is>
          <t>Gearbox</t>
        </is>
      </c>
      <c r="B85" s="45">
        <f>'10 Calculated Part Data'!B25</f>
        <v/>
      </c>
      <c r="C85" s="45">
        <f>'10 Calculated Part Data'!C25</f>
        <v/>
      </c>
      <c r="D85" s="45">
        <f>'10 Calculated Part Data'!D25</f>
        <v/>
      </c>
      <c r="E85" s="45">
        <f>'10 Calculated Part Data'!E25</f>
        <v/>
      </c>
      <c r="F85" s="45">
        <f>'10 Calculated Part Data'!F25</f>
        <v/>
      </c>
      <c r="G85" s="45">
        <f>'10 Calculated Part Data'!G25</f>
        <v/>
      </c>
      <c r="H85" s="45">
        <f>'10 Calculated Part Data'!H25</f>
        <v/>
      </c>
      <c r="I85" s="45">
        <f>'10 Calculated Part Data'!I25</f>
        <v/>
      </c>
      <c r="J85" s="45">
        <f>'10 Calculated Part Data'!J25</f>
        <v/>
      </c>
      <c r="K85" s="45">
        <f>'10 Calculated Part Data'!K25</f>
        <v/>
      </c>
      <c r="L85" s="45">
        <f>'10 Calculated Part Data'!L25</f>
        <v/>
      </c>
      <c r="M85" s="45">
        <f>'10 Calculated Part Data'!M25</f>
        <v/>
      </c>
      <c r="N85" s="45">
        <f>'10 Calculated Part Data'!N25</f>
        <v/>
      </c>
      <c r="O85" s="45">
        <f>'10 Calculated Part Data'!O25</f>
        <v/>
      </c>
      <c r="P85" s="45">
        <f>'10 Calculated Part Data'!P25</f>
        <v/>
      </c>
      <c r="Q85" s="45">
        <f>'10 Calculated Part Data'!Q25</f>
        <v/>
      </c>
      <c r="R85" s="45">
        <f>'10 Calculated Part Data'!R25</f>
        <v/>
      </c>
    </row>
    <row r="86" hidden="1" ht="14.25" customHeight="1" s="267">
      <c r="A86" s="45" t="inlineStr">
        <is>
          <t>Brakes</t>
        </is>
      </c>
      <c r="B86" s="45">
        <f>'10 Calculated Part Data'!B26</f>
        <v/>
      </c>
      <c r="C86" s="45">
        <f>'10 Calculated Part Data'!C26</f>
        <v/>
      </c>
      <c r="D86" s="45">
        <f>'10 Calculated Part Data'!D26</f>
        <v/>
      </c>
      <c r="E86" s="45">
        <f>'10 Calculated Part Data'!E26</f>
        <v/>
      </c>
      <c r="F86" s="45">
        <f>'10 Calculated Part Data'!F26</f>
        <v/>
      </c>
      <c r="G86" s="45">
        <f>'10 Calculated Part Data'!G26</f>
        <v/>
      </c>
      <c r="H86" s="45">
        <f>'10 Calculated Part Data'!H26</f>
        <v/>
      </c>
      <c r="I86" s="45">
        <f>'10 Calculated Part Data'!I26</f>
        <v/>
      </c>
      <c r="J86" s="45">
        <f>'10 Calculated Part Data'!J26</f>
        <v/>
      </c>
      <c r="K86" s="45">
        <f>'10 Calculated Part Data'!K26</f>
        <v/>
      </c>
      <c r="L86" s="45">
        <f>'10 Calculated Part Data'!L26</f>
        <v/>
      </c>
      <c r="M86" s="45">
        <f>'10 Calculated Part Data'!M26</f>
        <v/>
      </c>
      <c r="N86" s="45">
        <f>'10 Calculated Part Data'!N26</f>
        <v/>
      </c>
      <c r="O86" s="45">
        <f>'10 Calculated Part Data'!O26</f>
        <v/>
      </c>
      <c r="P86" s="45">
        <f>'10 Calculated Part Data'!P26</f>
        <v/>
      </c>
      <c r="Q86" s="45">
        <f>'10 Calculated Part Data'!Q26</f>
        <v/>
      </c>
      <c r="R86" s="45">
        <f>'10 Calculated Part Data'!R26</f>
        <v/>
      </c>
    </row>
    <row r="87" hidden="1" ht="14.25" customHeight="1" s="267">
      <c r="A87" s="45" t="inlineStr">
        <is>
          <t>Suspension</t>
        </is>
      </c>
      <c r="B87" s="45">
        <f>'10 Calculated Part Data'!B27</f>
        <v/>
      </c>
      <c r="C87" s="45">
        <f>'10 Calculated Part Data'!C27</f>
        <v/>
      </c>
      <c r="D87" s="45">
        <f>'10 Calculated Part Data'!D27</f>
        <v/>
      </c>
      <c r="E87" s="45">
        <f>'10 Calculated Part Data'!E27</f>
        <v/>
      </c>
      <c r="F87" s="45">
        <f>'10 Calculated Part Data'!F27</f>
        <v/>
      </c>
      <c r="G87" s="45">
        <f>'10 Calculated Part Data'!G27</f>
        <v/>
      </c>
      <c r="H87" s="45">
        <f>'10 Calculated Part Data'!H27</f>
        <v/>
      </c>
      <c r="I87" s="45">
        <f>'10 Calculated Part Data'!I27</f>
        <v/>
      </c>
      <c r="J87" s="45">
        <f>'10 Calculated Part Data'!J27</f>
        <v/>
      </c>
      <c r="K87" s="45">
        <f>'10 Calculated Part Data'!K27</f>
        <v/>
      </c>
      <c r="L87" s="45">
        <f>'10 Calculated Part Data'!L27</f>
        <v/>
      </c>
      <c r="M87" s="45">
        <f>'10 Calculated Part Data'!M27</f>
        <v/>
      </c>
      <c r="N87" s="45">
        <f>'10 Calculated Part Data'!N27</f>
        <v/>
      </c>
      <c r="O87" s="45">
        <f>'10 Calculated Part Data'!O27</f>
        <v/>
      </c>
      <c r="P87" s="45">
        <f>'10 Calculated Part Data'!P27</f>
        <v/>
      </c>
      <c r="Q87" s="45">
        <f>'10 Calculated Part Data'!Q27</f>
        <v/>
      </c>
      <c r="R87" s="45">
        <f>'10 Calculated Part Data'!R27</f>
        <v/>
      </c>
    </row>
    <row r="88" hidden="1" ht="14.25" customHeight="1" s="267">
      <c r="A88" s="45" t="inlineStr">
        <is>
          <t>Electronics</t>
        </is>
      </c>
      <c r="B88" s="45">
        <f>'10 Calculated Part Data'!B28</f>
        <v/>
      </c>
      <c r="C88" s="45">
        <f>'10 Calculated Part Data'!C28</f>
        <v/>
      </c>
      <c r="D88" s="45">
        <f>'10 Calculated Part Data'!D28</f>
        <v/>
      </c>
      <c r="E88" s="45">
        <f>'10 Calculated Part Data'!E28</f>
        <v/>
      </c>
      <c r="F88" s="45">
        <f>'10 Calculated Part Data'!F28</f>
        <v/>
      </c>
      <c r="G88" s="45">
        <f>'10 Calculated Part Data'!G28</f>
        <v/>
      </c>
      <c r="H88" s="45">
        <f>'10 Calculated Part Data'!H28</f>
        <v/>
      </c>
      <c r="I88" s="45">
        <f>'10 Calculated Part Data'!I28</f>
        <v/>
      </c>
      <c r="J88" s="45">
        <f>'10 Calculated Part Data'!J28</f>
        <v/>
      </c>
      <c r="K88" s="45">
        <f>'10 Calculated Part Data'!K28</f>
        <v/>
      </c>
      <c r="L88" s="45">
        <f>'10 Calculated Part Data'!L28</f>
        <v/>
      </c>
      <c r="M88" s="45">
        <f>'10 Calculated Part Data'!M28</f>
        <v/>
      </c>
      <c r="N88" s="45">
        <f>'10 Calculated Part Data'!N28</f>
        <v/>
      </c>
      <c r="O88" s="45">
        <f>'10 Calculated Part Data'!O28</f>
        <v/>
      </c>
      <c r="P88" s="45">
        <f>'10 Calculated Part Data'!P28</f>
        <v/>
      </c>
      <c r="Q88" s="45">
        <f>'10 Calculated Part Data'!Q28</f>
        <v/>
      </c>
      <c r="R88" s="45">
        <f>'10 Calculated Part Data'!R28</f>
        <v/>
      </c>
    </row>
    <row r="89" hidden="1" ht="14.25" customHeight="1" s="267">
      <c r="A89" s="45" t="n"/>
      <c r="B89" s="45" t="n"/>
      <c r="C89" s="45" t="n"/>
      <c r="D89" s="45" t="n"/>
      <c r="E89" s="45" t="n"/>
      <c r="F89" s="45" t="n"/>
      <c r="G89" s="45" t="n"/>
      <c r="H89" s="45" t="n"/>
      <c r="I89" s="45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</row>
    <row r="90" hidden="1" ht="14.25" customHeight="1" s="267">
      <c r="A90" s="45" t="inlineStr">
        <is>
          <t>Risk</t>
        </is>
      </c>
      <c r="B90" s="45">
        <f>'6 Wear Planner'!C5</f>
        <v/>
      </c>
      <c r="C90" s="45">
        <f>'6 Wear Planner'!D5</f>
        <v/>
      </c>
      <c r="D90" s="45">
        <f>'6 Wear Planner'!E5</f>
        <v/>
      </c>
      <c r="E90" s="45">
        <f>'6 Wear Planner'!F5</f>
        <v/>
      </c>
      <c r="F90" s="45">
        <f>'6 Wear Planner'!G5</f>
        <v/>
      </c>
      <c r="G90" s="45">
        <f>'6 Wear Planner'!H5</f>
        <v/>
      </c>
      <c r="H90" s="45">
        <f>'6 Wear Planner'!I5</f>
        <v/>
      </c>
      <c r="I90" s="45">
        <f>'6 Wear Planner'!J5</f>
        <v/>
      </c>
      <c r="J90" s="45">
        <f>'6 Wear Planner'!K5</f>
        <v/>
      </c>
      <c r="K90" s="45">
        <f>'6 Wear Planner'!L5</f>
        <v/>
      </c>
      <c r="L90" s="45">
        <f>'6 Wear Planner'!M5</f>
        <v/>
      </c>
      <c r="M90" s="45">
        <f>'6 Wear Planner'!N5</f>
        <v/>
      </c>
      <c r="N90" s="45">
        <f>'6 Wear Planner'!O5</f>
        <v/>
      </c>
      <c r="O90" s="45">
        <f>'6 Wear Planner'!P5</f>
        <v/>
      </c>
      <c r="P90" s="45">
        <f>'6 Wear Planner'!Q5</f>
        <v/>
      </c>
      <c r="Q90" s="45">
        <f>'6 Wear Planner'!R5</f>
        <v/>
      </c>
      <c r="R90" s="45">
        <f>'6 Wear Planner'!S5</f>
        <v/>
      </c>
    </row>
    <row r="91" hidden="1" ht="14.25" customHeight="1" s="267">
      <c r="A91" s="45" t="n"/>
      <c r="B91" s="45" t="n"/>
      <c r="C91" s="45" t="n"/>
      <c r="D91" s="45" t="n"/>
      <c r="E91" s="45" t="n"/>
      <c r="F91" s="45" t="n"/>
      <c r="G91" s="45" t="n"/>
      <c r="H91" s="45" t="n"/>
      <c r="I91" s="45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</row>
    <row r="92" ht="14.25" customHeight="1" s="267">
      <c r="A92" s="244" t="inlineStr">
        <is>
          <t>Chassis</t>
        </is>
      </c>
      <c r="B92" s="245">
        <f>ROUND($O$4+SUMPRODUCT(B$66:B$76,$O$5:$O$15)+(1+B$90/100*VLOOKUP(B78,$N$22:$P$30,3)+(100-B$90)/100*VLOOKUP(B78,$N$22:$P$30,2))*VLOOKUP(B$64,$A$2:$L$61,2),0)</f>
        <v/>
      </c>
      <c r="C92" s="245">
        <f>ROUND($O$4+SUMPRODUCT(C$66:C$76,$O$5:$O$15)+(1+C$90/100*VLOOKUP(C78,$N$22:$P$30,3)+(100-C$90)/100*VLOOKUP(C78,$N$22:$P$30,2))*VLOOKUP(C$64,$A$2:$L$61,2),0)</f>
        <v/>
      </c>
      <c r="D92" s="245">
        <f>ROUND($O$4+SUMPRODUCT(D$66:D$76,$O$5:$O$15)+(1+D$90/100*VLOOKUP(D78,$N$22:$P$30,3)+(100-D$90)/100*VLOOKUP(D78,$N$22:$P$30,2))*VLOOKUP(D$64,$A$2:$L$61,2),0)</f>
        <v/>
      </c>
      <c r="E92" s="245">
        <f>ROUND($O$4+SUMPRODUCT(E$66:E$76,$O$5:$O$15)+(1+E$90/100*VLOOKUP(E78,$N$22:$P$30,3)+(100-E$90)/100*VLOOKUP(E78,$N$22:$P$30,2))*VLOOKUP(E$64,$A$2:$L$61,2),0)</f>
        <v/>
      </c>
      <c r="F92" s="245">
        <f>ROUND($O$4+SUMPRODUCT(F$66:F$76,$O$5:$O$15)+(1+F$90/100*VLOOKUP(F78,$N$22:$P$30,3)+(100-F$90)/100*VLOOKUP(F78,$N$22:$P$30,2))*VLOOKUP(F$64,$A$2:$L$61,2),0)</f>
        <v/>
      </c>
      <c r="G92" s="256">
        <f>ROUND($O$4+SUMPRODUCT(G$66:G$76,$O$5:$O$15)+(1+G$90/100*VLOOKUP(G78,$N$22:$P$30,3)+(100-G$90)/100*VLOOKUP(G78,$N$22:$P$30,2))*VLOOKUP(G$64,$A$2:$L$61,2),0)</f>
        <v/>
      </c>
      <c r="H92" s="245">
        <f>ROUND($O$4+SUMPRODUCT(H$66:H$76,$O$5:$O$15)+(1+H$90/100*VLOOKUP(H78,$N$22:$P$30,3)+(100-H$90)/100*VLOOKUP(H78,$N$22:$P$30,2))*VLOOKUP(H$64,$A$2:$L$61,2),0)</f>
        <v/>
      </c>
      <c r="I92" s="245">
        <f>ROUND($O$4+SUMPRODUCT(I$66:I$76,$O$5:$O$15)+(1+I$90/100*VLOOKUP(I78,$N$22:$P$30,3)+(100-I$90)/100*VLOOKUP(I78,$N$22:$P$30,2))*VLOOKUP(I$64,$A$2:$L$61,2),0)</f>
        <v/>
      </c>
      <c r="J92" s="245">
        <f>ROUND($O$4+SUMPRODUCT(J$66:J$76,$O$5:$O$15)+(1+J$90/100*VLOOKUP(J78,$N$22:$P$30,3)+(100-J$90)/100*VLOOKUP(J78,$N$22:$P$30,2))*VLOOKUP(J$64,$A$2:$L$61,2),0)</f>
        <v/>
      </c>
      <c r="K92" s="245">
        <f>ROUND($O$4+SUMPRODUCT(K$66:K$76,$O$5:$O$15)+(1+K$90/100*VLOOKUP(K78,$N$22:$P$30,3)+(100-K$90)/100*VLOOKUP(K78,$N$22:$P$30,2))*VLOOKUP(K$64,$A$2:$L$61,2),0)</f>
        <v/>
      </c>
      <c r="L92" s="245">
        <f>ROUND($O$4+SUMPRODUCT(L$66:L$76,$O$5:$O$15)+(1+L$90/100*VLOOKUP(L78,$N$22:$P$30,3)+(100-L$90)/100*VLOOKUP(L78,$N$22:$P$30,2))*VLOOKUP(L$64,$A$2:$L$61,2),0)</f>
        <v/>
      </c>
      <c r="M92" s="245">
        <f>ROUND($O$4+SUMPRODUCT(M$66:M$76,$O$5:$O$15)+(1+M$90/100*VLOOKUP(M78,$N$22:$P$30,3)+(100-M$90)/100*VLOOKUP(M78,$N$22:$P$30,2))*VLOOKUP(M$64,$A$2:$L$61,2),0)</f>
        <v/>
      </c>
      <c r="N92" s="245">
        <f>ROUND($O$4+SUMPRODUCT(N$66:N$76,$O$5:$O$15)+(1+N$90/100*VLOOKUP(N78,$N$22:$P$30,3)+(100-N$90)/100*VLOOKUP(N78,$N$22:$P$30,2))*VLOOKUP(N$64,$A$2:$L$61,2),0)</f>
        <v/>
      </c>
      <c r="O92" s="245">
        <f>ROUND($O$4+SUMPRODUCT(O$66:O$76,$O$5:$O$15)+(1+O$90/100*VLOOKUP(O78,$N$22:$P$30,3)+(100-O$90)/100*VLOOKUP(O78,$N$22:$P$30,2))*VLOOKUP(O$64,$A$2:$L$61,2),0)</f>
        <v/>
      </c>
      <c r="P92" s="245">
        <f>ROUND($O$4+SUMPRODUCT(P$66:P$76,$O$5:$O$15)+(1+P$90/100*VLOOKUP(P78,$N$22:$P$30,3)+(100-P$90)/100*VLOOKUP(P78,$N$22:$P$30,2))*VLOOKUP(P$64,$A$2:$L$61,2),0)</f>
        <v/>
      </c>
      <c r="Q92" s="245">
        <f>ROUND($O$4+SUMPRODUCT(Q$66:Q$76,$O$5:$O$15)+(1+Q$90/100*VLOOKUP(Q78,$N$22:$P$30,3)+(100-Q$90)/100*VLOOKUP(Q78,$N$22:$P$30,2))*VLOOKUP(Q$64,$A$2:$L$61,2),0)</f>
        <v/>
      </c>
      <c r="R92" s="246">
        <f>ROUND($O$4+SUMPRODUCT(R$66:R$76,$O$5:$O$15)+(1+R$90/100*VLOOKUP(R78,$N$22:$P$30,3)+(100-R$90)/100*VLOOKUP(R78,$N$22:$P$30,2))*VLOOKUP(R$64,$A$2:$L$61,2),0)</f>
        <v/>
      </c>
    </row>
    <row r="93" ht="14.25" customHeight="1" s="267">
      <c r="A93" s="247" t="inlineStr">
        <is>
          <t>Engine</t>
        </is>
      </c>
      <c r="B93" s="45">
        <f>ROUND($O$4+SUMPRODUCT(B$66:B$76,$O$5:$O$15)+(1+B$90/100*VLOOKUP(B79,$N$22:$P$30,3)+(100-B$90)/100*VLOOKUP(B79,$N$22:$P$30,2))*VLOOKUP(B$64,$A$2:$L$61,3),0)</f>
        <v/>
      </c>
      <c r="C93" s="45">
        <f>ROUND($O$4+SUMPRODUCT(C$66:C$76,$O$5:$O$15)+(1+C$90/100*VLOOKUP(C79,$N$22:$P$30,3)+(100-C$90)/100*VLOOKUP(C79,$N$22:$P$30,2))*VLOOKUP(C$64,$A$2:$L$61,3),0)</f>
        <v/>
      </c>
      <c r="D93" s="45">
        <f>ROUND($O$4+SUMPRODUCT(D$66:D$76,$O$5:$O$15)+(1+D$90/100*VLOOKUP(D79,$N$22:$P$30,3)+(100-D$90)/100*VLOOKUP(D79,$N$22:$P$30,2))*VLOOKUP(D$64,$A$2:$L$61,3),0)</f>
        <v/>
      </c>
      <c r="E93" s="45">
        <f>ROUND($O$4+SUMPRODUCT(E$66:E$76,$O$5:$O$15)+(1+E$90/100*VLOOKUP(E79,$N$22:$P$30,3)+(100-E$90)/100*VLOOKUP(E79,$N$22:$P$30,2))*VLOOKUP(E$64,$A$2:$L$61,3),0)</f>
        <v/>
      </c>
      <c r="F93" s="45">
        <f>ROUND($O$4+SUMPRODUCT(F$66:F$76,$O$5:$O$15)+(1+F$90/100*VLOOKUP(F79,$N$22:$P$30,3)+(100-F$90)/100*VLOOKUP(F79,$N$22:$P$30,2))*VLOOKUP(F$64,$A$2:$L$61,3),0)</f>
        <v/>
      </c>
      <c r="G93" s="257">
        <f>ROUND($O$4+SUMPRODUCT(G$66:G$76,$O$5:$O$15)+(1+G$90/100*VLOOKUP(G79,$N$22:$P$30,3)+(100-G$90)/100*VLOOKUP(G79,$N$22:$P$30,2))*VLOOKUP(G$64,$A$2:$L$61,3),0)</f>
        <v/>
      </c>
      <c r="H93" s="45">
        <f>ROUND($O$4+SUMPRODUCT(H$66:H$76,$O$5:$O$15)+(1+H$90/100*VLOOKUP(H79,$N$22:$P$30,3)+(100-H$90)/100*VLOOKUP(H79,$N$22:$P$30,2))*VLOOKUP(H$64,$A$2:$L$61,3),0)</f>
        <v/>
      </c>
      <c r="I93" s="45">
        <f>ROUND($O$4+SUMPRODUCT(I$66:I$76,$O$5:$O$15)+(1+I$90/100*VLOOKUP(I79,$N$22:$P$30,3)+(100-I$90)/100*VLOOKUP(I79,$N$22:$P$30,2))*VLOOKUP(I$64,$A$2:$L$61,3),0)</f>
        <v/>
      </c>
      <c r="J93" s="45">
        <f>ROUND($O$4+SUMPRODUCT(J$66:J$76,$O$5:$O$15)+(1+J$90/100*VLOOKUP(J79,$N$22:$P$30,3)+(100-J$90)/100*VLOOKUP(J79,$N$22:$P$30,2))*VLOOKUP(J$64,$A$2:$L$61,3),0)</f>
        <v/>
      </c>
      <c r="K93" s="45">
        <f>ROUND($O$4+SUMPRODUCT(K$66:K$76,$O$5:$O$15)+(1+K$90/100*VLOOKUP(K79,$N$22:$P$30,3)+(100-K$90)/100*VLOOKUP(K79,$N$22:$P$30,2))*VLOOKUP(K$64,$A$2:$L$61,3),0)</f>
        <v/>
      </c>
      <c r="L93" s="45">
        <f>ROUND($O$4+SUMPRODUCT(L$66:L$76,$O$5:$O$15)+(1+L$90/100*VLOOKUP(L79,$N$22:$P$30,3)+(100-L$90)/100*VLOOKUP(L79,$N$22:$P$30,2))*VLOOKUP(L$64,$A$2:$L$61,3),0)</f>
        <v/>
      </c>
      <c r="M93" s="45">
        <f>ROUND($O$4+SUMPRODUCT(M$66:M$76,$O$5:$O$15)+(1+M$90/100*VLOOKUP(M79,$N$22:$P$30,3)+(100-M$90)/100*VLOOKUP(M79,$N$22:$P$30,2))*VLOOKUP(M$64,$A$2:$L$61,3),0)</f>
        <v/>
      </c>
      <c r="N93" s="45">
        <f>ROUND($O$4+SUMPRODUCT(N$66:N$76,$O$5:$O$15)+(1+N$90/100*VLOOKUP(N79,$N$22:$P$30,3)+(100-N$90)/100*VLOOKUP(N79,$N$22:$P$30,2))*VLOOKUP(N$64,$A$2:$L$61,3),0)</f>
        <v/>
      </c>
      <c r="O93" s="45">
        <f>ROUND($O$4+SUMPRODUCT(O$66:O$76,$O$5:$O$15)+(1+O$90/100*VLOOKUP(O79,$N$22:$P$30,3)+(100-O$90)/100*VLOOKUP(O79,$N$22:$P$30,2))*VLOOKUP(O$64,$A$2:$L$61,3),0)</f>
        <v/>
      </c>
      <c r="P93" s="45">
        <f>ROUND($O$4+SUMPRODUCT(P$66:P$76,$O$5:$O$15)+(1+P$90/100*VLOOKUP(P79,$N$22:$P$30,3)+(100-P$90)/100*VLOOKUP(P79,$N$22:$P$30,2))*VLOOKUP(P$64,$A$2:$L$61,3),0)</f>
        <v/>
      </c>
      <c r="Q93" s="45">
        <f>ROUND($O$4+SUMPRODUCT(Q$66:Q$76,$O$5:$O$15)+(1+Q$90/100*VLOOKUP(Q79,$N$22:$P$30,3)+(100-Q$90)/100*VLOOKUP(Q79,$N$22:$P$30,2))*VLOOKUP(Q$64,$A$2:$L$61,3),0)</f>
        <v/>
      </c>
      <c r="R93" s="248">
        <f>ROUND($O$4+SUMPRODUCT(R$66:R$76,$O$5:$O$15)+(1+R$90/100*VLOOKUP(R79,$N$22:$P$30,3)+(100-R$90)/100*VLOOKUP(R79,$N$22:$P$30,2))*VLOOKUP(R$64,$A$2:$L$61,3),0)</f>
        <v/>
      </c>
    </row>
    <row r="94" ht="14.25" customHeight="1" s="267">
      <c r="A94" s="247" t="inlineStr">
        <is>
          <t>Front Wing</t>
        </is>
      </c>
      <c r="B94" s="45">
        <f>ROUND($O$4+SUMPRODUCT(B$66:B$76,$O$5:$O$15)+(1+B$90/100*VLOOKUP(B80,$N$22:$P$30,3)+(100-B$90)/100*VLOOKUP(B80,$N$22:$P$30,2))*VLOOKUP(B$64,$A$2:$L$61,4),0)</f>
        <v/>
      </c>
      <c r="C94" s="45">
        <f>ROUND($O$4+SUMPRODUCT(C$66:C$76,$O$5:$O$15)+(1+C$90/100*VLOOKUP(C80,$N$22:$P$30,3)+(100-C$90)/100*VLOOKUP(C80,$N$22:$P$30,2))*VLOOKUP(C$64,$A$2:$L$61,4),0)</f>
        <v/>
      </c>
      <c r="D94" s="45">
        <f>ROUND($O$4+SUMPRODUCT(D$66:D$76,$O$5:$O$15)+(1+D$90/100*VLOOKUP(D80,$N$22:$P$30,3)+(100-D$90)/100*VLOOKUP(D80,$N$22:$P$30,2))*VLOOKUP(D$64,$A$2:$L$61,4),0)</f>
        <v/>
      </c>
      <c r="E94" s="45">
        <f>ROUND($O$4+SUMPRODUCT(E$66:E$76,$O$5:$O$15)+(1+E$90/100*VLOOKUP(E80,$N$22:$P$30,3)+(100-E$90)/100*VLOOKUP(E80,$N$22:$P$30,2))*VLOOKUP(E$64,$A$2:$L$61,4),0)</f>
        <v/>
      </c>
      <c r="F94" s="45">
        <f>ROUND($O$4+SUMPRODUCT(F$66:F$76,$O$5:$O$15)+(1+F$90/100*VLOOKUP(F80,$N$22:$P$30,3)+(100-F$90)/100*VLOOKUP(F80,$N$22:$P$30,2))*VLOOKUP(F$64,$A$2:$L$61,4),0)</f>
        <v/>
      </c>
      <c r="G94" s="257">
        <f>ROUND($O$4+SUMPRODUCT(G$66:G$76,$O$5:$O$15)+(1+G$90/100*VLOOKUP(G80,$N$22:$P$30,3)+(100-G$90)/100*VLOOKUP(G80,$N$22:$P$30,2))*VLOOKUP(G$64,$A$2:$L$61,4),0)</f>
        <v/>
      </c>
      <c r="H94" s="45">
        <f>ROUND($O$4+SUMPRODUCT(H$66:H$76,$O$5:$O$15)+(1+H$90/100*VLOOKUP(H80,$N$22:$P$30,3)+(100-H$90)/100*VLOOKUP(H80,$N$22:$P$30,2))*VLOOKUP(H$64,$A$2:$L$61,4),0)</f>
        <v/>
      </c>
      <c r="I94" s="45">
        <f>ROUND($O$4+SUMPRODUCT(I$66:I$76,$O$5:$O$15)+(1+I$90/100*VLOOKUP(I80,$N$22:$P$30,3)+(100-I$90)/100*VLOOKUP(I80,$N$22:$P$30,2))*VLOOKUP(I$64,$A$2:$L$61,4),0)</f>
        <v/>
      </c>
      <c r="J94" s="45">
        <f>ROUND($O$4+SUMPRODUCT(J$66:J$76,$O$5:$O$15)+(1+J$90/100*VLOOKUP(J80,$N$22:$P$30,3)+(100-J$90)/100*VLOOKUP(J80,$N$22:$P$30,2))*VLOOKUP(J$64,$A$2:$L$61,4),0)</f>
        <v/>
      </c>
      <c r="K94" s="45">
        <f>ROUND($O$4+SUMPRODUCT(K$66:K$76,$O$5:$O$15)+(1+K$90/100*VLOOKUP(K80,$N$22:$P$30,3)+(100-K$90)/100*VLOOKUP(K80,$N$22:$P$30,2))*VLOOKUP(K$64,$A$2:$L$61,4),0)</f>
        <v/>
      </c>
      <c r="L94" s="45">
        <f>ROUND($O$4+SUMPRODUCT(L$66:L$76,$O$5:$O$15)+(1+L$90/100*VLOOKUP(L80,$N$22:$P$30,3)+(100-L$90)/100*VLOOKUP(L80,$N$22:$P$30,2))*VLOOKUP(L$64,$A$2:$L$61,4),0)</f>
        <v/>
      </c>
      <c r="M94" s="45">
        <f>ROUND($O$4+SUMPRODUCT(M$66:M$76,$O$5:$O$15)+(1+M$90/100*VLOOKUP(M80,$N$22:$P$30,3)+(100-M$90)/100*VLOOKUP(M80,$N$22:$P$30,2))*VLOOKUP(M$64,$A$2:$L$61,4),0)</f>
        <v/>
      </c>
      <c r="N94" s="45">
        <f>ROUND($O$4+SUMPRODUCT(N$66:N$76,$O$5:$O$15)+(1+N$90/100*VLOOKUP(N80,$N$22:$P$30,3)+(100-N$90)/100*VLOOKUP(N80,$N$22:$P$30,2))*VLOOKUP(N$64,$A$2:$L$61,4),0)</f>
        <v/>
      </c>
      <c r="O94" s="45">
        <f>ROUND($O$4+SUMPRODUCT(O$66:O$76,$O$5:$O$15)+(1+O$90/100*VLOOKUP(O80,$N$22:$P$30,3)+(100-O$90)/100*VLOOKUP(O80,$N$22:$P$30,2))*VLOOKUP(O$64,$A$2:$L$61,4),0)</f>
        <v/>
      </c>
      <c r="P94" s="45">
        <f>ROUND($O$4+SUMPRODUCT(P$66:P$76,$O$5:$O$15)+(1+P$90/100*VLOOKUP(P80,$N$22:$P$30,3)+(100-P$90)/100*VLOOKUP(P80,$N$22:$P$30,2))*VLOOKUP(P$64,$A$2:$L$61,4),0)</f>
        <v/>
      </c>
      <c r="Q94" s="45">
        <f>ROUND($O$4+SUMPRODUCT(Q$66:Q$76,$O$5:$O$15)+(1+Q$90/100*VLOOKUP(Q80,$N$22:$P$30,3)+(100-Q$90)/100*VLOOKUP(Q80,$N$22:$P$30,2))*VLOOKUP(Q$64,$A$2:$L$61,4),0)</f>
        <v/>
      </c>
      <c r="R94" s="248">
        <f>ROUND($O$4+SUMPRODUCT(R$66:R$76,$O$5:$O$15)+(1+R$90/100*VLOOKUP(R80,$N$22:$P$30,3)+(100-R$90)/100*VLOOKUP(R80,$N$22:$P$30,2))*VLOOKUP(R$64,$A$2:$L$61,4),0)</f>
        <v/>
      </c>
    </row>
    <row r="95" ht="14.25" customHeight="1" s="267">
      <c r="A95" s="247" t="inlineStr">
        <is>
          <t>Rear Wing</t>
        </is>
      </c>
      <c r="B95" s="45">
        <f>ROUND($O$4+SUMPRODUCT(B$66:B$76,$O$5:$O$15)+(1+B$90/100*VLOOKUP(B81,$N$22:$P$30,3)+(100-B$90)/100*VLOOKUP(B81,$N$22:$P$30,2))*VLOOKUP(B$64,$A$2:$L$61,5),0)</f>
        <v/>
      </c>
      <c r="C95" s="45">
        <f>ROUND($O$4+SUMPRODUCT(C$66:C$76,$O$5:$O$15)+(1+C$90/100*VLOOKUP(C81,$N$22:$P$30,3)+(100-C$90)/100*VLOOKUP(C81,$N$22:$P$30,2))*VLOOKUP(C$64,$A$2:$L$61,5),0)</f>
        <v/>
      </c>
      <c r="D95" s="45">
        <f>ROUND($O$4+SUMPRODUCT(D$66:D$76,$O$5:$O$15)+(1+D$90/100*VLOOKUP(D81,$N$22:$P$30,3)+(100-D$90)/100*VLOOKUP(D81,$N$22:$P$30,2))*VLOOKUP(D$64,$A$2:$L$61,5),0)</f>
        <v/>
      </c>
      <c r="E95" s="45">
        <f>ROUND($O$4+SUMPRODUCT(E$66:E$76,$O$5:$O$15)+(1+E$90/100*VLOOKUP(E81,$N$22:$P$30,3)+(100-E$90)/100*VLOOKUP(E81,$N$22:$P$30,2))*VLOOKUP(E$64,$A$2:$L$61,5),0)</f>
        <v/>
      </c>
      <c r="F95" s="45">
        <f>ROUND($O$4+SUMPRODUCT(F$66:F$76,$O$5:$O$15)+(1+F$90/100*VLOOKUP(F81,$N$22:$P$30,3)+(100-F$90)/100*VLOOKUP(F81,$N$22:$P$30,2))*VLOOKUP(F$64,$A$2:$L$61,5),0)</f>
        <v/>
      </c>
      <c r="G95" s="257">
        <f>ROUND($O$4+SUMPRODUCT(G$66:G$76,$O$5:$O$15)+(1+G$90/100*VLOOKUP(G81,$N$22:$P$30,3)+(100-G$90)/100*VLOOKUP(G81,$N$22:$P$30,2))*VLOOKUP(G$64,$A$2:$L$61,5),0)</f>
        <v/>
      </c>
      <c r="H95" s="45">
        <f>ROUND($O$4+SUMPRODUCT(H$66:H$76,$O$5:$O$15)+(1+H$90/100*VLOOKUP(H81,$N$22:$P$30,3)+(100-H$90)/100*VLOOKUP(H81,$N$22:$P$30,2))*VLOOKUP(H$64,$A$2:$L$61,5),0)</f>
        <v/>
      </c>
      <c r="I95" s="45">
        <f>ROUND($O$4+SUMPRODUCT(I$66:I$76,$O$5:$O$15)+(1+I$90/100*VLOOKUP(I81,$N$22:$P$30,3)+(100-I$90)/100*VLOOKUP(I81,$N$22:$P$30,2))*VLOOKUP(I$64,$A$2:$L$61,5),0)</f>
        <v/>
      </c>
      <c r="J95" s="45">
        <f>ROUND($O$4+SUMPRODUCT(J$66:J$76,$O$5:$O$15)+(1+J$90/100*VLOOKUP(J81,$N$22:$P$30,3)+(100-J$90)/100*VLOOKUP(J81,$N$22:$P$30,2))*VLOOKUP(J$64,$A$2:$L$61,5),0)</f>
        <v/>
      </c>
      <c r="K95" s="45">
        <f>ROUND($O$4+SUMPRODUCT(K$66:K$76,$O$5:$O$15)+(1+K$90/100*VLOOKUP(K81,$N$22:$P$30,3)+(100-K$90)/100*VLOOKUP(K81,$N$22:$P$30,2))*VLOOKUP(K$64,$A$2:$L$61,5),0)</f>
        <v/>
      </c>
      <c r="L95" s="45">
        <f>ROUND($O$4+SUMPRODUCT(L$66:L$76,$O$5:$O$15)+(1+L$90/100*VLOOKUP(L81,$N$22:$P$30,3)+(100-L$90)/100*VLOOKUP(L81,$N$22:$P$30,2))*VLOOKUP(L$64,$A$2:$L$61,5),0)</f>
        <v/>
      </c>
      <c r="M95" s="45">
        <f>ROUND($O$4+SUMPRODUCT(M$66:M$76,$O$5:$O$15)+(1+M$90/100*VLOOKUP(M81,$N$22:$P$30,3)+(100-M$90)/100*VLOOKUP(M81,$N$22:$P$30,2))*VLOOKUP(M$64,$A$2:$L$61,5),0)</f>
        <v/>
      </c>
      <c r="N95" s="45">
        <f>ROUND($O$4+SUMPRODUCT(N$66:N$76,$O$5:$O$15)+(1+N$90/100*VLOOKUP(N81,$N$22:$P$30,3)+(100-N$90)/100*VLOOKUP(N81,$N$22:$P$30,2))*VLOOKUP(N$64,$A$2:$L$61,5),0)</f>
        <v/>
      </c>
      <c r="O95" s="45">
        <f>ROUND($O$4+SUMPRODUCT(O$66:O$76,$O$5:$O$15)+(1+O$90/100*VLOOKUP(O81,$N$22:$P$30,3)+(100-O$90)/100*VLOOKUP(O81,$N$22:$P$30,2))*VLOOKUP(O$64,$A$2:$L$61,5),0)</f>
        <v/>
      </c>
      <c r="P95" s="45">
        <f>ROUND($O$4+SUMPRODUCT(P$66:P$76,$O$5:$O$15)+(1+P$90/100*VLOOKUP(P81,$N$22:$P$30,3)+(100-P$90)/100*VLOOKUP(P81,$N$22:$P$30,2))*VLOOKUP(P$64,$A$2:$L$61,5),0)</f>
        <v/>
      </c>
      <c r="Q95" s="45">
        <f>ROUND($O$4+SUMPRODUCT(Q$66:Q$76,$O$5:$O$15)+(1+Q$90/100*VLOOKUP(Q81,$N$22:$P$30,3)+(100-Q$90)/100*VLOOKUP(Q81,$N$22:$P$30,2))*VLOOKUP(Q$64,$A$2:$L$61,5),0)</f>
        <v/>
      </c>
      <c r="R95" s="248">
        <f>ROUND($O$4+SUMPRODUCT(R$66:R$76,$O$5:$O$15)+(1+R$90/100*VLOOKUP(R81,$N$22:$P$30,3)+(100-R$90)/100*VLOOKUP(R81,$N$22:$P$30,2))*VLOOKUP(R$64,$A$2:$L$61,5),0)</f>
        <v/>
      </c>
    </row>
    <row r="96" ht="14.25" customHeight="1" s="267">
      <c r="A96" s="247" t="inlineStr">
        <is>
          <t>Underbody</t>
        </is>
      </c>
      <c r="B96" s="45">
        <f>ROUND($O$4+SUMPRODUCT(B$66:B$76,$O$5:$O$15)+(1+B$90/100*VLOOKUP(B82,$N$22:$P$30,3)+(100-B$90)/100*VLOOKUP(B82,$N$22:$P$30,2))*VLOOKUP(B$64,$A$2:$L$61,6),0)</f>
        <v/>
      </c>
      <c r="C96" s="45">
        <f>ROUND($O$4+SUMPRODUCT(C$66:C$76,$O$5:$O$15)+(1+C$90/100*VLOOKUP(C82,$N$22:$P$30,3)+(100-C$90)/100*VLOOKUP(C82,$N$22:$P$30,2))*VLOOKUP(C$64,$A$2:$L$61,6),0)</f>
        <v/>
      </c>
      <c r="D96" s="45">
        <f>ROUND($O$4+SUMPRODUCT(D$66:D$76,$O$5:$O$15)+(1+D$90/100*VLOOKUP(D82,$N$22:$P$30,3)+(100-D$90)/100*VLOOKUP(D82,$N$22:$P$30,2))*VLOOKUP(D$64,$A$2:$L$61,6),0)</f>
        <v/>
      </c>
      <c r="E96" s="45">
        <f>ROUND($O$4+SUMPRODUCT(E$66:E$76,$O$5:$O$15)+(1+E$90/100*VLOOKUP(E82,$N$22:$P$30,3)+(100-E$90)/100*VLOOKUP(E82,$N$22:$P$30,2))*VLOOKUP(E$64,$A$2:$L$61,6),0)</f>
        <v/>
      </c>
      <c r="F96" s="45">
        <f>ROUND($O$4+SUMPRODUCT(F$66:F$76,$O$5:$O$15)+(1+F$90/100*VLOOKUP(F82,$N$22:$P$30,3)+(100-F$90)/100*VLOOKUP(F82,$N$22:$P$30,2))*VLOOKUP(F$64,$A$2:$L$61,6),0)</f>
        <v/>
      </c>
      <c r="G96" s="257">
        <f>ROUND($O$4+SUMPRODUCT(G$66:G$76,$O$5:$O$15)+(1+G$90/100*VLOOKUP(G82,$N$22:$P$30,3)+(100-G$90)/100*VLOOKUP(G82,$N$22:$P$30,2))*VLOOKUP(G$64,$A$2:$L$61,6),0)</f>
        <v/>
      </c>
      <c r="H96" s="45">
        <f>ROUND($O$4+SUMPRODUCT(H$66:H$76,$O$5:$O$15)+(1+H$90/100*VLOOKUP(H82,$N$22:$P$30,3)+(100-H$90)/100*VLOOKUP(H82,$N$22:$P$30,2))*VLOOKUP(H$64,$A$2:$L$61,6),0)</f>
        <v/>
      </c>
      <c r="I96" s="45">
        <f>ROUND($O$4+SUMPRODUCT(I$66:I$76,$O$5:$O$15)+(1+I$90/100*VLOOKUP(I82,$N$22:$P$30,3)+(100-I$90)/100*VLOOKUP(I82,$N$22:$P$30,2))*VLOOKUP(I$64,$A$2:$L$61,6),0)</f>
        <v/>
      </c>
      <c r="J96" s="45">
        <f>ROUND($O$4+SUMPRODUCT(J$66:J$76,$O$5:$O$15)+(1+J$90/100*VLOOKUP(J82,$N$22:$P$30,3)+(100-J$90)/100*VLOOKUP(J82,$N$22:$P$30,2))*VLOOKUP(J$64,$A$2:$L$61,6),0)</f>
        <v/>
      </c>
      <c r="K96" s="45">
        <f>ROUND($O$4+SUMPRODUCT(K$66:K$76,$O$5:$O$15)+(1+K$90/100*VLOOKUP(K82,$N$22:$P$30,3)+(100-K$90)/100*VLOOKUP(K82,$N$22:$P$30,2))*VLOOKUP(K$64,$A$2:$L$61,6),0)</f>
        <v/>
      </c>
      <c r="L96" s="45">
        <f>ROUND($O$4+SUMPRODUCT(L$66:L$76,$O$5:$O$15)+(1+L$90/100*VLOOKUP(L82,$N$22:$P$30,3)+(100-L$90)/100*VLOOKUP(L82,$N$22:$P$30,2))*VLOOKUP(L$64,$A$2:$L$61,6),0)</f>
        <v/>
      </c>
      <c r="M96" s="45">
        <f>ROUND($O$4+SUMPRODUCT(M$66:M$76,$O$5:$O$15)+(1+M$90/100*VLOOKUP(M82,$N$22:$P$30,3)+(100-M$90)/100*VLOOKUP(M82,$N$22:$P$30,2))*VLOOKUP(M$64,$A$2:$L$61,6),0)</f>
        <v/>
      </c>
      <c r="N96" s="45">
        <f>ROUND($O$4+SUMPRODUCT(N$66:N$76,$O$5:$O$15)+(1+N$90/100*VLOOKUP(N82,$N$22:$P$30,3)+(100-N$90)/100*VLOOKUP(N82,$N$22:$P$30,2))*VLOOKUP(N$64,$A$2:$L$61,6),0)</f>
        <v/>
      </c>
      <c r="O96" s="45">
        <f>ROUND($O$4+SUMPRODUCT(O$66:O$76,$O$5:$O$15)+(1+O$90/100*VLOOKUP(O82,$N$22:$P$30,3)+(100-O$90)/100*VLOOKUP(O82,$N$22:$P$30,2))*VLOOKUP(O$64,$A$2:$L$61,6),0)</f>
        <v/>
      </c>
      <c r="P96" s="45">
        <f>ROUND($O$4+SUMPRODUCT(P$66:P$76,$O$5:$O$15)+(1+P$90/100*VLOOKUP(P82,$N$22:$P$30,3)+(100-P$90)/100*VLOOKUP(P82,$N$22:$P$30,2))*VLOOKUP(P$64,$A$2:$L$61,6),0)</f>
        <v/>
      </c>
      <c r="Q96" s="45">
        <f>ROUND($O$4+SUMPRODUCT(Q$66:Q$76,$O$5:$O$15)+(1+Q$90/100*VLOOKUP(Q82,$N$22:$P$30,3)+(100-Q$90)/100*VLOOKUP(Q82,$N$22:$P$30,2))*VLOOKUP(Q$64,$A$2:$L$61,6),0)</f>
        <v/>
      </c>
      <c r="R96" s="248">
        <f>ROUND($O$4+SUMPRODUCT(R$66:R$76,$O$5:$O$15)+(1+R$90/100*VLOOKUP(R82,$N$22:$P$30,3)+(100-R$90)/100*VLOOKUP(R82,$N$22:$P$30,2))*VLOOKUP(R$64,$A$2:$L$61,6),0)</f>
        <v/>
      </c>
    </row>
    <row r="97" ht="14.25" customHeight="1" s="267">
      <c r="A97" s="247" t="inlineStr">
        <is>
          <t>Sidepods</t>
        </is>
      </c>
      <c r="B97" s="45">
        <f>ROUND($O$4+SUMPRODUCT(B$66:B$76,$O$5:$O$15)+(1+B$90/100*VLOOKUP(B83,$N$22:$P$30,3)+(100-B$90)/100*VLOOKUP(B83,$N$22:$P$30,2))*VLOOKUP(B$64,$A$2:$L$61,7),0)</f>
        <v/>
      </c>
      <c r="C97" s="45">
        <f>ROUND($O$4+SUMPRODUCT(C$66:C$76,$O$5:$O$15)+(1+C$90/100*VLOOKUP(C83,$N$22:$P$30,3)+(100-C$90)/100*VLOOKUP(C83,$N$22:$P$30,2))*VLOOKUP(C$64,$A$2:$L$61,7),0)</f>
        <v/>
      </c>
      <c r="D97" s="45">
        <f>ROUND($O$4+SUMPRODUCT(D$66:D$76,$O$5:$O$15)+(1+D$90/100*VLOOKUP(D83,$N$22:$P$30,3)+(100-D$90)/100*VLOOKUP(D83,$N$22:$P$30,2))*VLOOKUP(D$64,$A$2:$L$61,7),0)</f>
        <v/>
      </c>
      <c r="E97" s="45">
        <f>ROUND($O$4+SUMPRODUCT(E$66:E$76,$O$5:$O$15)+(1+E$90/100*VLOOKUP(E83,$N$22:$P$30,3)+(100-E$90)/100*VLOOKUP(E83,$N$22:$P$30,2))*VLOOKUP(E$64,$A$2:$L$61,7),0)</f>
        <v/>
      </c>
      <c r="F97" s="45">
        <f>ROUND($O$4+SUMPRODUCT(F$66:F$76,$O$5:$O$15)+(1+F$90/100*VLOOKUP(F83,$N$22:$P$30,3)+(100-F$90)/100*VLOOKUP(F83,$N$22:$P$30,2))*VLOOKUP(F$64,$A$2:$L$61,7),0)</f>
        <v/>
      </c>
      <c r="G97" s="257">
        <f>ROUND($O$4+SUMPRODUCT(G$66:G$76,$O$5:$O$15)+(1+G$90/100*VLOOKUP(G83,$N$22:$P$30,3)+(100-G$90)/100*VLOOKUP(G83,$N$22:$P$30,2))*VLOOKUP(G$64,$A$2:$L$61,7),0)</f>
        <v/>
      </c>
      <c r="H97" s="45">
        <f>ROUND($O$4+SUMPRODUCT(H$66:H$76,$O$5:$O$15)+(1+H$90/100*VLOOKUP(H83,$N$22:$P$30,3)+(100-H$90)/100*VLOOKUP(H83,$N$22:$P$30,2))*VLOOKUP(H$64,$A$2:$L$61,7),0)</f>
        <v/>
      </c>
      <c r="I97" s="45">
        <f>ROUND($O$4+SUMPRODUCT(I$66:I$76,$O$5:$O$15)+(1+I$90/100*VLOOKUP(I83,$N$22:$P$30,3)+(100-I$90)/100*VLOOKUP(I83,$N$22:$P$30,2))*VLOOKUP(I$64,$A$2:$L$61,7),0)</f>
        <v/>
      </c>
      <c r="J97" s="45">
        <f>ROUND($O$4+SUMPRODUCT(J$66:J$76,$O$5:$O$15)+(1+J$90/100*VLOOKUP(J83,$N$22:$P$30,3)+(100-J$90)/100*VLOOKUP(J83,$N$22:$P$30,2))*VLOOKUP(J$64,$A$2:$L$61,7),0)</f>
        <v/>
      </c>
      <c r="K97" s="45">
        <f>ROUND($O$4+SUMPRODUCT(K$66:K$76,$O$5:$O$15)+(1+K$90/100*VLOOKUP(K83,$N$22:$P$30,3)+(100-K$90)/100*VLOOKUP(K83,$N$22:$P$30,2))*VLOOKUP(K$64,$A$2:$L$61,7),0)</f>
        <v/>
      </c>
      <c r="L97" s="45">
        <f>ROUND($O$4+SUMPRODUCT(L$66:L$76,$O$5:$O$15)+(1+L$90/100*VLOOKUP(L83,$N$22:$P$30,3)+(100-L$90)/100*VLOOKUP(L83,$N$22:$P$30,2))*VLOOKUP(L$64,$A$2:$L$61,7),0)</f>
        <v/>
      </c>
      <c r="M97" s="45">
        <f>ROUND($O$4+SUMPRODUCT(M$66:M$76,$O$5:$O$15)+(1+M$90/100*VLOOKUP(M83,$N$22:$P$30,3)+(100-M$90)/100*VLOOKUP(M83,$N$22:$P$30,2))*VLOOKUP(M$64,$A$2:$L$61,7),0)</f>
        <v/>
      </c>
      <c r="N97" s="45">
        <f>ROUND($O$4+SUMPRODUCT(N$66:N$76,$O$5:$O$15)+(1+N$90/100*VLOOKUP(N83,$N$22:$P$30,3)+(100-N$90)/100*VLOOKUP(N83,$N$22:$P$30,2))*VLOOKUP(N$64,$A$2:$L$61,7),0)</f>
        <v/>
      </c>
      <c r="O97" s="45">
        <f>ROUND($O$4+SUMPRODUCT(O$66:O$76,$O$5:$O$15)+(1+O$90/100*VLOOKUP(O83,$N$22:$P$30,3)+(100-O$90)/100*VLOOKUP(O83,$N$22:$P$30,2))*VLOOKUP(O$64,$A$2:$L$61,7),0)</f>
        <v/>
      </c>
      <c r="P97" s="45">
        <f>ROUND($O$4+SUMPRODUCT(P$66:P$76,$O$5:$O$15)+(1+P$90/100*VLOOKUP(P83,$N$22:$P$30,3)+(100-P$90)/100*VLOOKUP(P83,$N$22:$P$30,2))*VLOOKUP(P$64,$A$2:$L$61,7),0)</f>
        <v/>
      </c>
      <c r="Q97" s="45">
        <f>ROUND($O$4+SUMPRODUCT(Q$66:Q$76,$O$5:$O$15)+(1+Q$90/100*VLOOKUP(Q83,$N$22:$P$30,3)+(100-Q$90)/100*VLOOKUP(Q83,$N$22:$P$30,2))*VLOOKUP(Q$64,$A$2:$L$61,7),0)</f>
        <v/>
      </c>
      <c r="R97" s="248">
        <f>ROUND($O$4+SUMPRODUCT(R$66:R$76,$O$5:$O$15)+(1+R$90/100*VLOOKUP(R83,$N$22:$P$30,3)+(100-R$90)/100*VLOOKUP(R83,$N$22:$P$30,2))*VLOOKUP(R$64,$A$2:$L$61,7),0)</f>
        <v/>
      </c>
    </row>
    <row r="98" ht="14.25" customHeight="1" s="267">
      <c r="A98" s="247" t="inlineStr">
        <is>
          <t>Cooling</t>
        </is>
      </c>
      <c r="B98" s="45">
        <f>ROUND($O$4+SUMPRODUCT(B$66:B$76,$O$5:$O$15)+(1+B$90/100*VLOOKUP(B84,$N$22:$P$30,3)+(100-B$90)/100*VLOOKUP(B84,$N$22:$P$30,2))*VLOOKUP(B$64,$A$2:$L$61,8),0)</f>
        <v/>
      </c>
      <c r="C98" s="45">
        <f>ROUND($O$4+SUMPRODUCT(C$66:C$76,$O$5:$O$15)+(1+C$90/100*VLOOKUP(C84,$N$22:$P$30,3)+(100-C$90)/100*VLOOKUP(C84,$N$22:$P$30,2))*VLOOKUP(C$64,$A$2:$L$61,8),0)</f>
        <v/>
      </c>
      <c r="D98" s="45">
        <f>ROUND($O$4+SUMPRODUCT(D$66:D$76,$O$5:$O$15)+(1+D$90/100*VLOOKUP(D84,$N$22:$P$30,3)+(100-D$90)/100*VLOOKUP(D84,$N$22:$P$30,2))*VLOOKUP(D$64,$A$2:$L$61,8),0)</f>
        <v/>
      </c>
      <c r="E98" s="45">
        <f>ROUND($O$4+SUMPRODUCT(E$66:E$76,$O$5:$O$15)+(1+E$90/100*VLOOKUP(E84,$N$22:$P$30,3)+(100-E$90)/100*VLOOKUP(E84,$N$22:$P$30,2))*VLOOKUP(E$64,$A$2:$L$61,8),0)</f>
        <v/>
      </c>
      <c r="F98" s="45">
        <f>ROUND($O$4+SUMPRODUCT(F$66:F$76,$O$5:$O$15)+(1+F$90/100*VLOOKUP(F84,$N$22:$P$30,3)+(100-F$90)/100*VLOOKUP(F84,$N$22:$P$30,2))*VLOOKUP(F$64,$A$2:$L$61,8),0)</f>
        <v/>
      </c>
      <c r="G98" s="257">
        <f>ROUND($O$4+SUMPRODUCT(G$66:G$76,$O$5:$O$15)+(1+G$90/100*VLOOKUP(G84,$N$22:$P$30,3)+(100-G$90)/100*VLOOKUP(G84,$N$22:$P$30,2))*VLOOKUP(G$64,$A$2:$L$61,8),0)</f>
        <v/>
      </c>
      <c r="H98" s="45">
        <f>ROUND($O$4+SUMPRODUCT(H$66:H$76,$O$5:$O$15)+(1+H$90/100*VLOOKUP(H84,$N$22:$P$30,3)+(100-H$90)/100*VLOOKUP(H84,$N$22:$P$30,2))*VLOOKUP(H$64,$A$2:$L$61,8),0)</f>
        <v/>
      </c>
      <c r="I98" s="45">
        <f>ROUND($O$4+SUMPRODUCT(I$66:I$76,$O$5:$O$15)+(1+I$90/100*VLOOKUP(I84,$N$22:$P$30,3)+(100-I$90)/100*VLOOKUP(I84,$N$22:$P$30,2))*VLOOKUP(I$64,$A$2:$L$61,8),0)</f>
        <v/>
      </c>
      <c r="J98" s="45">
        <f>ROUND($O$4+SUMPRODUCT(J$66:J$76,$O$5:$O$15)+(1+J$90/100*VLOOKUP(J84,$N$22:$P$30,3)+(100-J$90)/100*VLOOKUP(J84,$N$22:$P$30,2))*VLOOKUP(J$64,$A$2:$L$61,8),0)</f>
        <v/>
      </c>
      <c r="K98" s="45">
        <f>ROUND($O$4+SUMPRODUCT(K$66:K$76,$O$5:$O$15)+(1+K$90/100*VLOOKUP(K84,$N$22:$P$30,3)+(100-K$90)/100*VLOOKUP(K84,$N$22:$P$30,2))*VLOOKUP(K$64,$A$2:$L$61,8),0)</f>
        <v/>
      </c>
      <c r="L98" s="45">
        <f>ROUND($O$4+SUMPRODUCT(L$66:L$76,$O$5:$O$15)+(1+L$90/100*VLOOKUP(L84,$N$22:$P$30,3)+(100-L$90)/100*VLOOKUP(L84,$N$22:$P$30,2))*VLOOKUP(L$64,$A$2:$L$61,8),0)</f>
        <v/>
      </c>
      <c r="M98" s="45">
        <f>ROUND($O$4+SUMPRODUCT(M$66:M$76,$O$5:$O$15)+(1+M$90/100*VLOOKUP(M84,$N$22:$P$30,3)+(100-M$90)/100*VLOOKUP(M84,$N$22:$P$30,2))*VLOOKUP(M$64,$A$2:$L$61,8),0)</f>
        <v/>
      </c>
      <c r="N98" s="45">
        <f>ROUND($O$4+SUMPRODUCT(N$66:N$76,$O$5:$O$15)+(1+N$90/100*VLOOKUP(N84,$N$22:$P$30,3)+(100-N$90)/100*VLOOKUP(N84,$N$22:$P$30,2))*VLOOKUP(N$64,$A$2:$L$61,8),0)</f>
        <v/>
      </c>
      <c r="O98" s="45">
        <f>ROUND($O$4+SUMPRODUCT(O$66:O$76,$O$5:$O$15)+(1+O$90/100*VLOOKUP(O84,$N$22:$P$30,3)+(100-O$90)/100*VLOOKUP(O84,$N$22:$P$30,2))*VLOOKUP(O$64,$A$2:$L$61,8),0)</f>
        <v/>
      </c>
      <c r="P98" s="45">
        <f>ROUND($O$4+SUMPRODUCT(P$66:P$76,$O$5:$O$15)+(1+P$90/100*VLOOKUP(P84,$N$22:$P$30,3)+(100-P$90)/100*VLOOKUP(P84,$N$22:$P$30,2))*VLOOKUP(P$64,$A$2:$L$61,8),0)</f>
        <v/>
      </c>
      <c r="Q98" s="45">
        <f>ROUND($O$4+SUMPRODUCT(Q$66:Q$76,$O$5:$O$15)+(1+Q$90/100*VLOOKUP(Q84,$N$22:$P$30,3)+(100-Q$90)/100*VLOOKUP(Q84,$N$22:$P$30,2))*VLOOKUP(Q$64,$A$2:$L$61,8),0)</f>
        <v/>
      </c>
      <c r="R98" s="248">
        <f>ROUND($O$4+SUMPRODUCT(R$66:R$76,$O$5:$O$15)+(1+R$90/100*VLOOKUP(R84,$N$22:$P$30,3)+(100-R$90)/100*VLOOKUP(R84,$N$22:$P$30,2))*VLOOKUP(R$64,$A$2:$L$61,8),0)</f>
        <v/>
      </c>
    </row>
    <row r="99" ht="14.25" customHeight="1" s="267">
      <c r="A99" s="247" t="inlineStr">
        <is>
          <t>Gearbox</t>
        </is>
      </c>
      <c r="B99" s="45">
        <f>ROUND($O$4+SUMPRODUCT(B$66:B$76,$O$5:$O$15)+(1+B$90/100*VLOOKUP(B85,$N$22:$P$30,3)+(100-B$90)/100*VLOOKUP(B85,$N$22:$P$30,2))*VLOOKUP(B$64,$A$2:$L$61,9),0)</f>
        <v/>
      </c>
      <c r="C99" s="45">
        <f>ROUND($O$4+SUMPRODUCT(C$66:C$76,$O$5:$O$15)+(1+C$90/100*VLOOKUP(C85,$N$22:$P$30,3)+(100-C$90)/100*VLOOKUP(C85,$N$22:$P$30,2))*VLOOKUP(C$64,$A$2:$L$61,9),0)</f>
        <v/>
      </c>
      <c r="D99" s="45">
        <f>ROUND($O$4+SUMPRODUCT(D$66:D$76,$O$5:$O$15)+(1+D$90/100*VLOOKUP(D85,$N$22:$P$30,3)+(100-D$90)/100*VLOOKUP(D85,$N$22:$P$30,2))*VLOOKUP(D$64,$A$2:$L$61,9),0)</f>
        <v/>
      </c>
      <c r="E99" s="45">
        <f>ROUND($O$4+SUMPRODUCT(E$66:E$76,$O$5:$O$15)+(1+E$90/100*VLOOKUP(E85,$N$22:$P$30,3)+(100-E$90)/100*VLOOKUP(E85,$N$22:$P$30,2))*VLOOKUP(E$64,$A$2:$L$61,9),0)</f>
        <v/>
      </c>
      <c r="F99" s="45">
        <f>ROUND($O$4+SUMPRODUCT(F$66:F$76,$O$5:$O$15)+(1+F$90/100*VLOOKUP(F85,$N$22:$P$30,3)+(100-F$90)/100*VLOOKUP(F85,$N$22:$P$30,2))*VLOOKUP(F$64,$A$2:$L$61,9),0)</f>
        <v/>
      </c>
      <c r="G99" s="257">
        <f>ROUND($O$4+SUMPRODUCT(G$66:G$76,$O$5:$O$15)+(1+G$90/100*VLOOKUP(G85,$N$22:$P$30,3)+(100-G$90)/100*VLOOKUP(G85,$N$22:$P$30,2))*VLOOKUP(G$64,$A$2:$L$61,9),0)</f>
        <v/>
      </c>
      <c r="H99" s="45">
        <f>ROUND($O$4+SUMPRODUCT(H$66:H$76,$O$5:$O$15)+(1+H$90/100*VLOOKUP(H85,$N$22:$P$30,3)+(100-H$90)/100*VLOOKUP(H85,$N$22:$P$30,2))*VLOOKUP(H$64,$A$2:$L$61,9),0)</f>
        <v/>
      </c>
      <c r="I99" s="45">
        <f>ROUND($O$4+SUMPRODUCT(I$66:I$76,$O$5:$O$15)+(1+I$90/100*VLOOKUP(I85,$N$22:$P$30,3)+(100-I$90)/100*VLOOKUP(I85,$N$22:$P$30,2))*VLOOKUP(I$64,$A$2:$L$61,9),0)</f>
        <v/>
      </c>
      <c r="J99" s="45">
        <f>ROUND($O$4+SUMPRODUCT(J$66:J$76,$O$5:$O$15)+(1+J$90/100*VLOOKUP(J85,$N$22:$P$30,3)+(100-J$90)/100*VLOOKUP(J85,$N$22:$P$30,2))*VLOOKUP(J$64,$A$2:$L$61,9),0)</f>
        <v/>
      </c>
      <c r="K99" s="45">
        <f>ROUND($O$4+SUMPRODUCT(K$66:K$76,$O$5:$O$15)+(1+K$90/100*VLOOKUP(K85,$N$22:$P$30,3)+(100-K$90)/100*VLOOKUP(K85,$N$22:$P$30,2))*VLOOKUP(K$64,$A$2:$L$61,9),0)</f>
        <v/>
      </c>
      <c r="L99" s="45">
        <f>ROUND($O$4+SUMPRODUCT(L$66:L$76,$O$5:$O$15)+(1+L$90/100*VLOOKUP(L85,$N$22:$P$30,3)+(100-L$90)/100*VLOOKUP(L85,$N$22:$P$30,2))*VLOOKUP(L$64,$A$2:$L$61,9),0)</f>
        <v/>
      </c>
      <c r="M99" s="45">
        <f>ROUND($O$4+SUMPRODUCT(M$66:M$76,$O$5:$O$15)+(1+M$90/100*VLOOKUP(M85,$N$22:$P$30,3)+(100-M$90)/100*VLOOKUP(M85,$N$22:$P$30,2))*VLOOKUP(M$64,$A$2:$L$61,9),0)</f>
        <v/>
      </c>
      <c r="N99" s="45">
        <f>ROUND($O$4+SUMPRODUCT(N$66:N$76,$O$5:$O$15)+(1+N$90/100*VLOOKUP(N85,$N$22:$P$30,3)+(100-N$90)/100*VLOOKUP(N85,$N$22:$P$30,2))*VLOOKUP(N$64,$A$2:$L$61,9),0)</f>
        <v/>
      </c>
      <c r="O99" s="45">
        <f>ROUND($O$4+SUMPRODUCT(O$66:O$76,$O$5:$O$15)+(1+O$90/100*VLOOKUP(O85,$N$22:$P$30,3)+(100-O$90)/100*VLOOKUP(O85,$N$22:$P$30,2))*VLOOKUP(O$64,$A$2:$L$61,9),0)</f>
        <v/>
      </c>
      <c r="P99" s="45">
        <f>ROUND($O$4+SUMPRODUCT(P$66:P$76,$O$5:$O$15)+(1+P$90/100*VLOOKUP(P85,$N$22:$P$30,3)+(100-P$90)/100*VLOOKUP(P85,$N$22:$P$30,2))*VLOOKUP(P$64,$A$2:$L$61,9),0)</f>
        <v/>
      </c>
      <c r="Q99" s="45">
        <f>ROUND($O$4+SUMPRODUCT(Q$66:Q$76,$O$5:$O$15)+(1+Q$90/100*VLOOKUP(Q85,$N$22:$P$30,3)+(100-Q$90)/100*VLOOKUP(Q85,$N$22:$P$30,2))*VLOOKUP(Q$64,$A$2:$L$61,9),0)</f>
        <v/>
      </c>
      <c r="R99" s="248">
        <f>ROUND($O$4+SUMPRODUCT(R$66:R$76,$O$5:$O$15)+(1+R$90/100*VLOOKUP(R85,$N$22:$P$30,3)+(100-R$90)/100*VLOOKUP(R85,$N$22:$P$30,2))*VLOOKUP(R$64,$A$2:$L$61,9),0)</f>
        <v/>
      </c>
    </row>
    <row r="100" ht="14.25" customHeight="1" s="267">
      <c r="A100" s="247" t="inlineStr">
        <is>
          <t>Brakes</t>
        </is>
      </c>
      <c r="B100" s="45">
        <f>ROUND($O$4+SUMPRODUCT(B$66:B$76,$O$5:$O$15)+(1+B$90/100*VLOOKUP(B86,$N$22:$P$30,3)+(100-B$90)/100*VLOOKUP(B86,$N$22:$P$30,2))*VLOOKUP(B$64,$A$2:$L$61,10),0)</f>
        <v/>
      </c>
      <c r="C100" s="45">
        <f>ROUND($O$4+SUMPRODUCT(C$66:C$76,$O$5:$O$15)+(1+C$90/100*VLOOKUP(C86,$N$22:$P$30,3)+(100-C$90)/100*VLOOKUP(C86,$N$22:$P$30,2))*VLOOKUP(C$64,$A$2:$L$61,10),0)</f>
        <v/>
      </c>
      <c r="D100" s="45">
        <f>ROUND($O$4+SUMPRODUCT(D$66:D$76,$O$5:$O$15)+(1+D$90/100*VLOOKUP(D86,$N$22:$P$30,3)+(100-D$90)/100*VLOOKUP(D86,$N$22:$P$30,2))*VLOOKUP(D$64,$A$2:$L$61,10),0)</f>
        <v/>
      </c>
      <c r="E100" s="45">
        <f>ROUND($O$4+SUMPRODUCT(E$66:E$76,$O$5:$O$15)+(1+E$90/100*VLOOKUP(E86,$N$22:$P$30,3)+(100-E$90)/100*VLOOKUP(E86,$N$22:$P$30,2))*VLOOKUP(E$64,$A$2:$L$61,10),0)</f>
        <v/>
      </c>
      <c r="F100" s="45">
        <f>ROUND($O$4+SUMPRODUCT(F$66:F$76,$O$5:$O$15)+(1+F$90/100*VLOOKUP(F86,$N$22:$P$30,3)+(100-F$90)/100*VLOOKUP(F86,$N$22:$P$30,2))*VLOOKUP(F$64,$A$2:$L$61,10),0)</f>
        <v/>
      </c>
      <c r="G100" s="257">
        <f>ROUND($O$4+SUMPRODUCT(G$66:G$76,$O$5:$O$15)+(1+G$90/100*VLOOKUP(G86,$N$22:$P$30,3)+(100-G$90)/100*VLOOKUP(G86,$N$22:$P$30,2))*VLOOKUP(G$64,$A$2:$L$61,10),0)</f>
        <v/>
      </c>
      <c r="H100" s="45">
        <f>ROUND($O$4+SUMPRODUCT(H$66:H$76,$O$5:$O$15)+(1+H$90/100*VLOOKUP(H86,$N$22:$P$30,3)+(100-H$90)/100*VLOOKUP(H86,$N$22:$P$30,2))*VLOOKUP(H$64,$A$2:$L$61,10),0)</f>
        <v/>
      </c>
      <c r="I100" s="45">
        <f>ROUND($O$4+SUMPRODUCT(I$66:I$76,$O$5:$O$15)+(1+I$90/100*VLOOKUP(I86,$N$22:$P$30,3)+(100-I$90)/100*VLOOKUP(I86,$N$22:$P$30,2))*VLOOKUP(I$64,$A$2:$L$61,10),0)</f>
        <v/>
      </c>
      <c r="J100" s="45">
        <f>ROUND($O$4+SUMPRODUCT(J$66:J$76,$O$5:$O$15)+(1+J$90/100*VLOOKUP(J86,$N$22:$P$30,3)+(100-J$90)/100*VLOOKUP(J86,$N$22:$P$30,2))*VLOOKUP(J$64,$A$2:$L$61,10),0)</f>
        <v/>
      </c>
      <c r="K100" s="45">
        <f>ROUND($O$4+SUMPRODUCT(K$66:K$76,$O$5:$O$15)+(1+K$90/100*VLOOKUP(K86,$N$22:$P$30,3)+(100-K$90)/100*VLOOKUP(K86,$N$22:$P$30,2))*VLOOKUP(K$64,$A$2:$L$61,10),0)</f>
        <v/>
      </c>
      <c r="L100" s="45">
        <f>ROUND($O$4+SUMPRODUCT(L$66:L$76,$O$5:$O$15)+(1+L$90/100*VLOOKUP(L86,$N$22:$P$30,3)+(100-L$90)/100*VLOOKUP(L86,$N$22:$P$30,2))*VLOOKUP(L$64,$A$2:$L$61,10),0)</f>
        <v/>
      </c>
      <c r="M100" s="45">
        <f>ROUND($O$4+SUMPRODUCT(M$66:M$76,$O$5:$O$15)+(1+M$90/100*VLOOKUP(M86,$N$22:$P$30,3)+(100-M$90)/100*VLOOKUP(M86,$N$22:$P$30,2))*VLOOKUP(M$64,$A$2:$L$61,10),0)</f>
        <v/>
      </c>
      <c r="N100" s="45">
        <f>ROUND($O$4+SUMPRODUCT(N$66:N$76,$O$5:$O$15)+(1+N$90/100*VLOOKUP(N86,$N$22:$P$30,3)+(100-N$90)/100*VLOOKUP(N86,$N$22:$P$30,2))*VLOOKUP(N$64,$A$2:$L$61,10),0)</f>
        <v/>
      </c>
      <c r="O100" s="45">
        <f>ROUND($O$4+SUMPRODUCT(O$66:O$76,$O$5:$O$15)+(1+O$90/100*VLOOKUP(O86,$N$22:$P$30,3)+(100-O$90)/100*VLOOKUP(O86,$N$22:$P$30,2))*VLOOKUP(O$64,$A$2:$L$61,10),0)</f>
        <v/>
      </c>
      <c r="P100" s="45">
        <f>ROUND($O$4+SUMPRODUCT(P$66:P$76,$O$5:$O$15)+(1+P$90/100*VLOOKUP(P86,$N$22:$P$30,3)+(100-P$90)/100*VLOOKUP(P86,$N$22:$P$30,2))*VLOOKUP(P$64,$A$2:$L$61,10),0)</f>
        <v/>
      </c>
      <c r="Q100" s="45">
        <f>ROUND($O$4+SUMPRODUCT(Q$66:Q$76,$O$5:$O$15)+(1+Q$90/100*VLOOKUP(Q86,$N$22:$P$30,3)+(100-Q$90)/100*VLOOKUP(Q86,$N$22:$P$30,2))*VLOOKUP(Q$64,$A$2:$L$61,10),0)</f>
        <v/>
      </c>
      <c r="R100" s="248">
        <f>ROUND($O$4+SUMPRODUCT(R$66:R$76,$O$5:$O$15)+(1+R$90/100*VLOOKUP(R86,$N$22:$P$30,3)+(100-R$90)/100*VLOOKUP(R86,$N$22:$P$30,2))*VLOOKUP(R$64,$A$2:$L$61,10),0)</f>
        <v/>
      </c>
    </row>
    <row r="101" ht="14.25" customHeight="1" s="267">
      <c r="A101" s="247" t="inlineStr">
        <is>
          <t>Suspension</t>
        </is>
      </c>
      <c r="B101" s="45">
        <f>ROUND($O$4+SUMPRODUCT(B$66:B$76,$O$5:$O$15)+(1+B$90/100*VLOOKUP(B87,$N$22:$P$30,3)+(100-B$90)/100*VLOOKUP(B87,$N$22:$P$30,2))*VLOOKUP(B$64,$A$2:$L$61,11),0)</f>
        <v/>
      </c>
      <c r="C101" s="45">
        <f>ROUND($O$4+SUMPRODUCT(C$66:C$76,$O$5:$O$15)+(1+C$90/100*VLOOKUP(C87,$N$22:$P$30,3)+(100-C$90)/100*VLOOKUP(C87,$N$22:$P$30,2))*VLOOKUP(C$64,$A$2:$L$61,11),0)</f>
        <v/>
      </c>
      <c r="D101" s="45">
        <f>ROUND($O$4+SUMPRODUCT(D$66:D$76,$O$5:$O$15)+(1+D$90/100*VLOOKUP(D87,$N$22:$P$30,3)+(100-D$90)/100*VLOOKUP(D87,$N$22:$P$30,2))*VLOOKUP(D$64,$A$2:$L$61,11),0)</f>
        <v/>
      </c>
      <c r="E101" s="45">
        <f>ROUND($O$4+SUMPRODUCT(E$66:E$76,$O$5:$O$15)+(1+E$90/100*VLOOKUP(E87,$N$22:$P$30,3)+(100-E$90)/100*VLOOKUP(E87,$N$22:$P$30,2))*VLOOKUP(E$64,$A$2:$L$61,11),0)</f>
        <v/>
      </c>
      <c r="F101" s="45">
        <f>ROUND($O$4+SUMPRODUCT(F$66:F$76,$O$5:$O$15)+(1+F$90/100*VLOOKUP(F87,$N$22:$P$30,3)+(100-F$90)/100*VLOOKUP(F87,$N$22:$P$30,2))*VLOOKUP(F$64,$A$2:$L$61,11),0)</f>
        <v/>
      </c>
      <c r="G101" s="257">
        <f>ROUND($O$4+SUMPRODUCT(G$66:G$76,$O$5:$O$15)+(1+G$90/100*VLOOKUP(G87,$N$22:$P$30,3)+(100-G$90)/100*VLOOKUP(G87,$N$22:$P$30,2))*VLOOKUP(G$64,$A$2:$L$61,11),0)</f>
        <v/>
      </c>
      <c r="H101" s="45">
        <f>ROUND($O$4+SUMPRODUCT(H$66:H$76,$O$5:$O$15)+(1+H$90/100*VLOOKUP(H87,$N$22:$P$30,3)+(100-H$90)/100*VLOOKUP(H87,$N$22:$P$30,2))*VLOOKUP(H$64,$A$2:$L$61,11),0)</f>
        <v/>
      </c>
      <c r="I101" s="45">
        <f>ROUND($O$4+SUMPRODUCT(I$66:I$76,$O$5:$O$15)+(1+I$90/100*VLOOKUP(I87,$N$22:$P$30,3)+(100-I$90)/100*VLOOKUP(I87,$N$22:$P$30,2))*VLOOKUP(I$64,$A$2:$L$61,11),0)</f>
        <v/>
      </c>
      <c r="J101" s="45">
        <f>ROUND($O$4+SUMPRODUCT(J$66:J$76,$O$5:$O$15)+(1+J$90/100*VLOOKUP(J87,$N$22:$P$30,3)+(100-J$90)/100*VLOOKUP(J87,$N$22:$P$30,2))*VLOOKUP(J$64,$A$2:$L$61,11),0)</f>
        <v/>
      </c>
      <c r="K101" s="45">
        <f>ROUND($O$4+SUMPRODUCT(K$66:K$76,$O$5:$O$15)+(1+K$90/100*VLOOKUP(K87,$N$22:$P$30,3)+(100-K$90)/100*VLOOKUP(K87,$N$22:$P$30,2))*VLOOKUP(K$64,$A$2:$L$61,11),0)</f>
        <v/>
      </c>
      <c r="L101" s="45">
        <f>ROUND($O$4+SUMPRODUCT(L$66:L$76,$O$5:$O$15)+(1+L$90/100*VLOOKUP(L87,$N$22:$P$30,3)+(100-L$90)/100*VLOOKUP(L87,$N$22:$P$30,2))*VLOOKUP(L$64,$A$2:$L$61,11),0)</f>
        <v/>
      </c>
      <c r="M101" s="45">
        <f>ROUND($O$4+SUMPRODUCT(M$66:M$76,$O$5:$O$15)+(1+M$90/100*VLOOKUP(M87,$N$22:$P$30,3)+(100-M$90)/100*VLOOKUP(M87,$N$22:$P$30,2))*VLOOKUP(M$64,$A$2:$L$61,11),0)</f>
        <v/>
      </c>
      <c r="N101" s="45">
        <f>ROUND($O$4+SUMPRODUCT(N$66:N$76,$O$5:$O$15)+(1+N$90/100*VLOOKUP(N87,$N$22:$P$30,3)+(100-N$90)/100*VLOOKUP(N87,$N$22:$P$30,2))*VLOOKUP(N$64,$A$2:$L$61,11),0)</f>
        <v/>
      </c>
      <c r="O101" s="45">
        <f>ROUND($O$4+SUMPRODUCT(O$66:O$76,$O$5:$O$15)+(1+O$90/100*VLOOKUP(O87,$N$22:$P$30,3)+(100-O$90)/100*VLOOKUP(O87,$N$22:$P$30,2))*VLOOKUP(O$64,$A$2:$L$61,11),0)</f>
        <v/>
      </c>
      <c r="P101" s="45">
        <f>ROUND($O$4+SUMPRODUCT(P$66:P$76,$O$5:$O$15)+(1+P$90/100*VLOOKUP(P87,$N$22:$P$30,3)+(100-P$90)/100*VLOOKUP(P87,$N$22:$P$30,2))*VLOOKUP(P$64,$A$2:$L$61,11),0)</f>
        <v/>
      </c>
      <c r="Q101" s="45">
        <f>ROUND($O$4+SUMPRODUCT(Q$66:Q$76,$O$5:$O$15)+(1+Q$90/100*VLOOKUP(Q87,$N$22:$P$30,3)+(100-Q$90)/100*VLOOKUP(Q87,$N$22:$P$30,2))*VLOOKUP(Q$64,$A$2:$L$61,11),0)</f>
        <v/>
      </c>
      <c r="R101" s="248">
        <f>ROUND($O$4+SUMPRODUCT(R$66:R$76,$O$5:$O$15)+(1+R$90/100*VLOOKUP(R87,$N$22:$P$30,3)+(100-R$90)/100*VLOOKUP(R87,$N$22:$P$30,2))*VLOOKUP(R$64,$A$2:$L$61,11),0)</f>
        <v/>
      </c>
    </row>
    <row r="102" ht="14.25" customHeight="1" s="267">
      <c r="A102" s="251" t="inlineStr">
        <is>
          <t>Electronics</t>
        </is>
      </c>
      <c r="B102" s="253">
        <f>ROUND($O$4+SUMPRODUCT(B$66:B$76,$O$5:$O$15)+(1+B$90/100*VLOOKUP(B88,$N$22:$P$30,3)+(100-B$90)/100*VLOOKUP(B88,$N$22:$P$30,2))*VLOOKUP(B$64,$A$2:$L$61,12),0)</f>
        <v/>
      </c>
      <c r="C102" s="253">
        <f>ROUND($O$4+SUMPRODUCT(C$66:C$76,$O$5:$O$15)+(1+C$90/100*VLOOKUP(C88,$N$22:$P$30,3)+(100-C$90)/100*VLOOKUP(C88,$N$22:$P$30,2))*VLOOKUP(C$64,$A$2:$L$61,12),0)</f>
        <v/>
      </c>
      <c r="D102" s="253">
        <f>ROUND($O$4+SUMPRODUCT(D$66:D$76,$O$5:$O$15)+(1+D$90/100*VLOOKUP(D88,$N$22:$P$30,3)+(100-D$90)/100*VLOOKUP(D88,$N$22:$P$30,2))*VLOOKUP(D$64,$A$2:$L$61,12),0)</f>
        <v/>
      </c>
      <c r="E102" s="253">
        <f>ROUND($O$4+SUMPRODUCT(E$66:E$76,$O$5:$O$15)+(1+E$90/100*VLOOKUP(E88,$N$22:$P$30,3)+(100-E$90)/100*VLOOKUP(E88,$N$22:$P$30,2))*VLOOKUP(E$64,$A$2:$L$61,12),0)</f>
        <v/>
      </c>
      <c r="F102" s="253">
        <f>ROUND($O$4+SUMPRODUCT(F$66:F$76,$O$5:$O$15)+(1+F$90/100*VLOOKUP(F88,$N$22:$P$30,3)+(100-F$90)/100*VLOOKUP(F88,$N$22:$P$30,2))*VLOOKUP(F$64,$A$2:$L$61,12),0)</f>
        <v/>
      </c>
      <c r="G102" s="258">
        <f>ROUND($O$4+SUMPRODUCT(G$66:G$76,$O$5:$O$15)+(1+G$90/100*VLOOKUP(G88,$N$22:$P$30,3)+(100-G$90)/100*VLOOKUP(G88,$N$22:$P$30,2))*VLOOKUP(G$64,$A$2:$L$61,12),0)</f>
        <v/>
      </c>
      <c r="H102" s="253">
        <f>ROUND($O$4+SUMPRODUCT(H$66:H$76,$O$5:$O$15)+(1+H$90/100*VLOOKUP(H88,$N$22:$P$30,3)+(100-H$90)/100*VLOOKUP(H88,$N$22:$P$30,2))*VLOOKUP(H$64,$A$2:$L$61,12),0)</f>
        <v/>
      </c>
      <c r="I102" s="253">
        <f>ROUND($O$4+SUMPRODUCT(I$66:I$76,$O$5:$O$15)+(1+I$90/100*VLOOKUP(I88,$N$22:$P$30,3)+(100-I$90)/100*VLOOKUP(I88,$N$22:$P$30,2))*VLOOKUP(I$64,$A$2:$L$61,12),0)</f>
        <v/>
      </c>
      <c r="J102" s="253">
        <f>ROUND($O$4+SUMPRODUCT(J$66:J$76,$O$5:$O$15)+(1+J$90/100*VLOOKUP(J88,$N$22:$P$30,3)+(100-J$90)/100*VLOOKUP(J88,$N$22:$P$30,2))*VLOOKUP(J$64,$A$2:$L$61,12),0)</f>
        <v/>
      </c>
      <c r="K102" s="253">
        <f>ROUND($O$4+SUMPRODUCT(K$66:K$76,$O$5:$O$15)+(1+K$90/100*VLOOKUP(K88,$N$22:$P$30,3)+(100-K$90)/100*VLOOKUP(K88,$N$22:$P$30,2))*VLOOKUP(K$64,$A$2:$L$61,12),0)</f>
        <v/>
      </c>
      <c r="L102" s="253">
        <f>ROUND($O$4+SUMPRODUCT(L$66:L$76,$O$5:$O$15)+(1+L$90/100*VLOOKUP(L88,$N$22:$P$30,3)+(100-L$90)/100*VLOOKUP(L88,$N$22:$P$30,2))*VLOOKUP(L$64,$A$2:$L$61,12),0)</f>
        <v/>
      </c>
      <c r="M102" s="253">
        <f>ROUND($O$4+SUMPRODUCT(M$66:M$76,$O$5:$O$15)+(1+M$90/100*VLOOKUP(M88,$N$22:$P$30,3)+(100-M$90)/100*VLOOKUP(M88,$N$22:$P$30,2))*VLOOKUP(M$64,$A$2:$L$61,12),0)</f>
        <v/>
      </c>
      <c r="N102" s="253">
        <f>ROUND($O$4+SUMPRODUCT(N$66:N$76,$O$5:$O$15)+(1+N$90/100*VLOOKUP(N88,$N$22:$P$30,3)+(100-N$90)/100*VLOOKUP(N88,$N$22:$P$30,2))*VLOOKUP(N$64,$A$2:$L$61,12),0)</f>
        <v/>
      </c>
      <c r="O102" s="253">
        <f>ROUND($O$4+SUMPRODUCT(O$66:O$76,$O$5:$O$15)+(1+O$90/100*VLOOKUP(O88,$N$22:$P$30,3)+(100-O$90)/100*VLOOKUP(O88,$N$22:$P$30,2))*VLOOKUP(O$64,$A$2:$L$61,12),0)</f>
        <v/>
      </c>
      <c r="P102" s="253">
        <f>ROUND($O$4+SUMPRODUCT(P$66:P$76,$O$5:$O$15)+(1+P$90/100*VLOOKUP(P88,$N$22:$P$30,3)+(100-P$90)/100*VLOOKUP(P88,$N$22:$P$30,2))*VLOOKUP(P$64,$A$2:$L$61,12),0)</f>
        <v/>
      </c>
      <c r="Q102" s="253">
        <f>ROUND($O$4+SUMPRODUCT(Q$66:Q$76,$O$5:$O$15)+(1+Q$90/100*VLOOKUP(Q88,$N$22:$P$30,3)+(100-Q$90)/100*VLOOKUP(Q88,$N$22:$P$30,2))*VLOOKUP(Q$64,$A$2:$L$61,12),0)</f>
        <v/>
      </c>
      <c r="R102" s="252">
        <f>ROUND($O$4+SUMPRODUCT(R$66:R$76,$O$5:$O$15)+(1+R$90/100*VLOOKUP(R88,$N$22:$P$30,3)+(100-R$90)/100*VLOOKUP(R88,$N$22:$P$30,2))*VLOOKUP(R$64,$A$2:$L$61,12),0)</f>
        <v/>
      </c>
    </row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Omistaja</dc:creator>
  <dcterms:created xmlns:dcterms="http://purl.org/dc/terms/" xmlns:xsi="http://www.w3.org/2001/XMLSchema-instance" xsi:type="dcterms:W3CDTF">2021-02-13T12:09:18Z</dcterms:created>
  <dcterms:modified xmlns:dcterms="http://purl.org/dc/terms/" xmlns:xsi="http://www.w3.org/2001/XMLSchema-instance" xsi:type="dcterms:W3CDTF">2023-03-06T23:16:22Z</dcterms:modified>
  <cp:lastModifiedBy>Microsoft Office User</cp:lastModifiedBy>
</cp:coreProperties>
</file>