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IST\5º Ano\EITT\Projecto\Nosso Projecto\Fase final\"/>
    </mc:Choice>
  </mc:AlternateContent>
  <bookViews>
    <workbookView xWindow="0" yWindow="0" windowWidth="20490" windowHeight="8115" tabRatio="990" firstSheet="6" activeTab="15"/>
  </bookViews>
  <sheets>
    <sheet name="Regras de Utilização" sheetId="1" r:id="rId1"/>
    <sheet name="Pressupostos" sheetId="2" r:id="rId2"/>
    <sheet name="VN" sheetId="3" r:id="rId3"/>
    <sheet name="CMVMC" sheetId="4" r:id="rId4"/>
    <sheet name="FSE" sheetId="5" r:id="rId5"/>
    <sheet name="Custos Pessoal" sheetId="6" r:id="rId6"/>
    <sheet name="Investimentos" sheetId="7" r:id="rId7"/>
    <sheet name="FundoManeio" sheetId="8" r:id="rId8"/>
    <sheet name="Financiamento" sheetId="9" r:id="rId9"/>
    <sheet name="DR" sheetId="10" r:id="rId10"/>
    <sheet name="Cash Flow" sheetId="11" r:id="rId11"/>
    <sheet name="PlanoFinanceiro" sheetId="12" r:id="rId12"/>
    <sheet name="Balanço" sheetId="13" r:id="rId13"/>
    <sheet name="Indicadores" sheetId="14" r:id="rId14"/>
    <sheet name="Avaliação" sheetId="15" r:id="rId15"/>
    <sheet name="Gráficos" sheetId="16" r:id="rId16"/>
    <sheet name="Calculos Auxiliares" sheetId="17" r:id="rId17"/>
  </sheets>
  <definedNames>
    <definedName name="_xlnm.Print_Area" localSheetId="14">Avaliação!$A$1:$I$80</definedName>
    <definedName name="_xlnm.Print_Area" localSheetId="12">Balanço!$A$1:$H$49</definedName>
    <definedName name="_xlnm.Print_Area" localSheetId="16">'Calculos Auxiliares'!$A$1:$H$90</definedName>
    <definedName name="_xlnm.Print_Area" localSheetId="10">'Cash Flow'!$A$1:$H$22</definedName>
    <definedName name="_xlnm.Print_Area" localSheetId="3">CMVMC!$A$1:$H$23</definedName>
    <definedName name="_xlnm.Print_Area" localSheetId="5">'Custos Pessoal'!$A$1:$I$71</definedName>
    <definedName name="_xlnm.Print_Area" localSheetId="9">DR!$A$1:$H$37</definedName>
    <definedName name="_xlnm.Print_Area" localSheetId="8">Financiamento!$A$1:$H$79</definedName>
    <definedName name="_xlnm.Print_Area" localSheetId="4">FSE!$A$1:$K$49</definedName>
    <definedName name="_xlnm.Print_Area" localSheetId="7">FundoManeio!$A$1:$H$25</definedName>
    <definedName name="_xlnm.Print_Area" localSheetId="15">Gráficos!$D$1:$M$52</definedName>
    <definedName name="_xlnm.Print_Area" localSheetId="13">Indicadores!$A$1:$G$51</definedName>
    <definedName name="_xlnm.Print_Area" localSheetId="6">Investimentos!$A$1:$H$66</definedName>
    <definedName name="_xlnm.Print_Area" localSheetId="11">PlanoFinanceiro!$A$1:$H$29</definedName>
    <definedName name="_xlnm.Print_Area" localSheetId="1">Pressupostos!$A$1:$E$29</definedName>
    <definedName name="_xlnm.Print_Area" localSheetId="0">'Regras de Utilização'!$B$1:$C$30</definedName>
    <definedName name="_xlnm.Print_Area" localSheetId="2">VN!$A$1:$H$82</definedName>
    <definedName name="_xlnm.Print_Titles" localSheetId="8">Financiamento!$1:$5</definedName>
  </definedNames>
  <calcPr calcId="171027" fullCalcOnLoad="1"/>
</workbook>
</file>

<file path=xl/calcChain.xml><?xml version="1.0" encoding="utf-8"?>
<calcChain xmlns="http://schemas.openxmlformats.org/spreadsheetml/2006/main">
  <c r="C44" i="6" l="1"/>
  <c r="D45" i="3"/>
  <c r="A1" i="15"/>
  <c r="B1" i="15"/>
  <c r="C6" i="15"/>
  <c r="D29" i="15"/>
  <c r="D30" i="15"/>
  <c r="D34" i="15"/>
  <c r="D39" i="15" s="1"/>
  <c r="C60" i="15"/>
  <c r="C64" i="15"/>
  <c r="D64" i="15" s="1"/>
  <c r="C65" i="15"/>
  <c r="D65" i="15"/>
  <c r="E65" i="15" s="1"/>
  <c r="F65" i="15" s="1"/>
  <c r="G65" i="15" s="1"/>
  <c r="H65" i="15" s="1"/>
  <c r="I65" i="15" s="1"/>
  <c r="B1" i="13"/>
  <c r="H2" i="13"/>
  <c r="C6" i="13"/>
  <c r="C20" i="13"/>
  <c r="C21" i="13"/>
  <c r="D21" i="13"/>
  <c r="E21" i="13"/>
  <c r="F21" i="13"/>
  <c r="G21" i="13"/>
  <c r="H21" i="13"/>
  <c r="C42" i="13"/>
  <c r="D42" i="13"/>
  <c r="E42" i="13"/>
  <c r="F42" i="13"/>
  <c r="G42" i="13"/>
  <c r="H42" i="13"/>
  <c r="F52" i="13"/>
  <c r="G52" i="13"/>
  <c r="H52" i="13"/>
  <c r="B1" i="17"/>
  <c r="C24" i="17"/>
  <c r="C32" i="17"/>
  <c r="D32" i="17"/>
  <c r="E32" i="17"/>
  <c r="F32" i="17"/>
  <c r="G32" i="17"/>
  <c r="H32" i="17"/>
  <c r="C35" i="17"/>
  <c r="C37" i="17"/>
  <c r="D37" i="17"/>
  <c r="E37" i="17"/>
  <c r="F37" i="17"/>
  <c r="F73" i="17" s="1"/>
  <c r="G37" i="17"/>
  <c r="G73" i="17" s="1"/>
  <c r="H37" i="17"/>
  <c r="C48" i="17"/>
  <c r="D48" i="17"/>
  <c r="E48" i="17"/>
  <c r="F48" i="17"/>
  <c r="G48" i="17"/>
  <c r="H48" i="17"/>
  <c r="H84" i="17" s="1"/>
  <c r="C53" i="17"/>
  <c r="C71" i="17"/>
  <c r="C72" i="17"/>
  <c r="D72" i="17"/>
  <c r="E72" i="17"/>
  <c r="F72" i="17"/>
  <c r="F86" i="17" s="1"/>
  <c r="G72" i="17"/>
  <c r="H72" i="17"/>
  <c r="C73" i="17"/>
  <c r="D73" i="17"/>
  <c r="E73" i="17"/>
  <c r="H73" i="17"/>
  <c r="C74" i="17"/>
  <c r="D74" i="17"/>
  <c r="E74" i="17"/>
  <c r="F74" i="17"/>
  <c r="G74" i="17"/>
  <c r="H74" i="17"/>
  <c r="C75" i="17"/>
  <c r="D75" i="17"/>
  <c r="E75" i="17"/>
  <c r="F75" i="17"/>
  <c r="G75" i="17"/>
  <c r="H75" i="17"/>
  <c r="C76" i="17"/>
  <c r="D76" i="17"/>
  <c r="E76" i="17"/>
  <c r="F76" i="17"/>
  <c r="G76" i="17"/>
  <c r="H76" i="17"/>
  <c r="C77" i="17"/>
  <c r="D77" i="17"/>
  <c r="E77" i="17"/>
  <c r="F77" i="17"/>
  <c r="G77" i="17"/>
  <c r="H77" i="17"/>
  <c r="C78" i="17"/>
  <c r="C86" i="17" s="1"/>
  <c r="D78" i="17"/>
  <c r="E78" i="17"/>
  <c r="F78" i="17"/>
  <c r="G78" i="17"/>
  <c r="H78" i="17"/>
  <c r="C79" i="17"/>
  <c r="D79" i="17"/>
  <c r="E79" i="17"/>
  <c r="F79" i="17"/>
  <c r="G79" i="17"/>
  <c r="H79" i="17"/>
  <c r="C80" i="17"/>
  <c r="D80" i="17"/>
  <c r="E80" i="17"/>
  <c r="F80" i="17"/>
  <c r="G80" i="17"/>
  <c r="H80" i="17"/>
  <c r="C81" i="17"/>
  <c r="D81" i="17"/>
  <c r="E81" i="17"/>
  <c r="F81" i="17"/>
  <c r="G81" i="17"/>
  <c r="H81" i="17"/>
  <c r="C82" i="17"/>
  <c r="D82" i="17"/>
  <c r="E82" i="17"/>
  <c r="F82" i="17"/>
  <c r="G82" i="17"/>
  <c r="H82" i="17"/>
  <c r="C83" i="17"/>
  <c r="D83" i="17"/>
  <c r="E83" i="17"/>
  <c r="F83" i="17"/>
  <c r="G83" i="17"/>
  <c r="H83" i="17"/>
  <c r="C84" i="17"/>
  <c r="D84" i="17"/>
  <c r="E84" i="17"/>
  <c r="F84" i="17"/>
  <c r="G84" i="17"/>
  <c r="C85" i="17"/>
  <c r="D85" i="17"/>
  <c r="E85" i="17"/>
  <c r="F85" i="17"/>
  <c r="G85" i="17"/>
  <c r="H85" i="17"/>
  <c r="B1" i="11"/>
  <c r="H2" i="11"/>
  <c r="C6" i="11"/>
  <c r="C10" i="11"/>
  <c r="D10" i="11"/>
  <c r="E10" i="11"/>
  <c r="F10" i="11"/>
  <c r="G10" i="11"/>
  <c r="H10" i="11"/>
  <c r="B1" i="4"/>
  <c r="H2" i="4"/>
  <c r="C6" i="4"/>
  <c r="B13" i="4"/>
  <c r="A1" i="6"/>
  <c r="B1" i="6"/>
  <c r="I2" i="6"/>
  <c r="D5" i="6"/>
  <c r="F6" i="6"/>
  <c r="G6" i="6" s="1"/>
  <c r="H6" i="6" s="1"/>
  <c r="I6" i="6" s="1"/>
  <c r="D10" i="6"/>
  <c r="D12" i="6"/>
  <c r="E12" i="6"/>
  <c r="F12" i="6" s="1"/>
  <c r="G12" i="6" s="1"/>
  <c r="D13" i="6"/>
  <c r="E13" i="6"/>
  <c r="F13" i="6" s="1"/>
  <c r="G13" i="6" s="1"/>
  <c r="H13" i="6" s="1"/>
  <c r="I13" i="6" s="1"/>
  <c r="D14" i="6"/>
  <c r="E14" i="6"/>
  <c r="F14" i="6" s="1"/>
  <c r="G14" i="6" s="1"/>
  <c r="H14" i="6" s="1"/>
  <c r="I14" i="6" s="1"/>
  <c r="D15" i="6"/>
  <c r="E15" i="6"/>
  <c r="D16" i="6"/>
  <c r="E16" i="6"/>
  <c r="F16" i="6" s="1"/>
  <c r="G16" i="6" s="1"/>
  <c r="H16" i="6" s="1"/>
  <c r="I16" i="6" s="1"/>
  <c r="D20" i="6"/>
  <c r="E20" i="6"/>
  <c r="F20" i="6" s="1"/>
  <c r="D21" i="6"/>
  <c r="E21" i="6"/>
  <c r="F21" i="6" s="1"/>
  <c r="G21" i="6" s="1"/>
  <c r="H21" i="6" s="1"/>
  <c r="I21" i="6" s="1"/>
  <c r="E22" i="6"/>
  <c r="F22" i="6" s="1"/>
  <c r="G22" i="6" s="1"/>
  <c r="H22" i="6" s="1"/>
  <c r="I22" i="6" s="1"/>
  <c r="F23" i="6"/>
  <c r="G23" i="6" s="1"/>
  <c r="H23" i="6" s="1"/>
  <c r="I23" i="6" s="1"/>
  <c r="D26" i="6"/>
  <c r="E26" i="6"/>
  <c r="F26" i="6" s="1"/>
  <c r="G26" i="6" s="1"/>
  <c r="H26" i="6" s="1"/>
  <c r="I26" i="6" s="1"/>
  <c r="D27" i="6"/>
  <c r="E27" i="6"/>
  <c r="F27" i="6" s="1"/>
  <c r="G27" i="6" s="1"/>
  <c r="H27" i="6" s="1"/>
  <c r="I27" i="6" s="1"/>
  <c r="D28" i="6"/>
  <c r="E28" i="6"/>
  <c r="F28" i="6" s="1"/>
  <c r="G28" i="6" s="1"/>
  <c r="H28" i="6" s="1"/>
  <c r="I28" i="6" s="1"/>
  <c r="D29" i="6"/>
  <c r="E29" i="6"/>
  <c r="F29" i="6" s="1"/>
  <c r="G29" i="6" s="1"/>
  <c r="H29" i="6" s="1"/>
  <c r="I29" i="6" s="1"/>
  <c r="D30" i="6"/>
  <c r="E30" i="6"/>
  <c r="F30" i="6" s="1"/>
  <c r="G30" i="6" s="1"/>
  <c r="H30" i="6" s="1"/>
  <c r="I30" i="6" s="1"/>
  <c r="B31" i="6"/>
  <c r="D39" i="6"/>
  <c r="D53" i="6"/>
  <c r="A58" i="6"/>
  <c r="A60" i="6"/>
  <c r="D60" i="6"/>
  <c r="E60" i="6"/>
  <c r="F60" i="6"/>
  <c r="G60" i="6"/>
  <c r="H60" i="6"/>
  <c r="I60" i="6"/>
  <c r="C69" i="6"/>
  <c r="B1" i="10"/>
  <c r="H2" i="10"/>
  <c r="C6" i="10"/>
  <c r="C26" i="10"/>
  <c r="C27" i="10"/>
  <c r="C14" i="12" s="1"/>
  <c r="D27" i="10"/>
  <c r="D14" i="12" s="1"/>
  <c r="E27" i="10"/>
  <c r="E14" i="12" s="1"/>
  <c r="F27" i="10"/>
  <c r="F14" i="12" s="1"/>
  <c r="G27" i="10"/>
  <c r="G14" i="12" s="1"/>
  <c r="H27" i="10"/>
  <c r="H14" i="12" s="1"/>
  <c r="A1" i="9"/>
  <c r="B1" i="9"/>
  <c r="H2" i="9"/>
  <c r="C6" i="9"/>
  <c r="C12" i="9" s="1"/>
  <c r="D23" i="9"/>
  <c r="E23" i="9"/>
  <c r="F23" i="9"/>
  <c r="G23" i="9"/>
  <c r="H23" i="9"/>
  <c r="C31" i="9"/>
  <c r="D32" i="9"/>
  <c r="E32" i="9"/>
  <c r="F32" i="9"/>
  <c r="G32" i="9"/>
  <c r="H32" i="9"/>
  <c r="C40" i="9"/>
  <c r="E41" i="9"/>
  <c r="F41" i="9"/>
  <c r="G41" i="9"/>
  <c r="H41" i="9"/>
  <c r="C49" i="9"/>
  <c r="F50" i="9"/>
  <c r="G50" i="9"/>
  <c r="H50" i="9"/>
  <c r="C58" i="9"/>
  <c r="G59" i="9"/>
  <c r="H59" i="9"/>
  <c r="C67" i="9"/>
  <c r="H68" i="9"/>
  <c r="C78" i="9"/>
  <c r="C79" i="9"/>
  <c r="A1" i="5"/>
  <c r="B1" i="5"/>
  <c r="K2" i="5"/>
  <c r="F6" i="5"/>
  <c r="F11" i="5"/>
  <c r="C12" i="5"/>
  <c r="F12" i="5"/>
  <c r="G12" i="5"/>
  <c r="H12" i="5" s="1"/>
  <c r="I12" i="5" s="1"/>
  <c r="C13" i="5"/>
  <c r="F13" i="5"/>
  <c r="G13" i="5"/>
  <c r="H13" i="5" s="1"/>
  <c r="I13" i="5" s="1"/>
  <c r="J13" i="5" s="1"/>
  <c r="K13" i="5" s="1"/>
  <c r="C14" i="5"/>
  <c r="F14" i="5"/>
  <c r="G14" i="5"/>
  <c r="H14" i="5" s="1"/>
  <c r="I14" i="5" s="1"/>
  <c r="J14" i="5" s="1"/>
  <c r="K14" i="5" s="1"/>
  <c r="C15" i="5"/>
  <c r="F15" i="5"/>
  <c r="G15" i="5"/>
  <c r="H15" i="5" s="1"/>
  <c r="C16" i="5"/>
  <c r="F16" i="5"/>
  <c r="G16" i="5"/>
  <c r="C17" i="5"/>
  <c r="F17" i="5"/>
  <c r="G17" i="5"/>
  <c r="H17" i="5" s="1"/>
  <c r="I17" i="5" s="1"/>
  <c r="J17" i="5" s="1"/>
  <c r="K17" i="5" s="1"/>
  <c r="C18" i="5"/>
  <c r="F18" i="5"/>
  <c r="G18" i="5"/>
  <c r="H18" i="5"/>
  <c r="I18" i="5" s="1"/>
  <c r="J18" i="5" s="1"/>
  <c r="K18" i="5" s="1"/>
  <c r="C19" i="5"/>
  <c r="F19" i="5"/>
  <c r="G19" i="5"/>
  <c r="H19" i="5" s="1"/>
  <c r="I19" i="5" s="1"/>
  <c r="J19" i="5" s="1"/>
  <c r="K19" i="5" s="1"/>
  <c r="C20" i="5"/>
  <c r="F20" i="5"/>
  <c r="G20" i="5"/>
  <c r="H20" i="5" s="1"/>
  <c r="I20" i="5" s="1"/>
  <c r="J20" i="5" s="1"/>
  <c r="K20" i="5" s="1"/>
  <c r="F21" i="5"/>
  <c r="G21" i="5"/>
  <c r="H21" i="5" s="1"/>
  <c r="I21" i="5" s="1"/>
  <c r="J21" i="5" s="1"/>
  <c r="K21" i="5" s="1"/>
  <c r="C22" i="5"/>
  <c r="F22" i="5"/>
  <c r="G22" i="5"/>
  <c r="H22" i="5" s="1"/>
  <c r="I22" i="5" s="1"/>
  <c r="J22" i="5" s="1"/>
  <c r="K22" i="5" s="1"/>
  <c r="C23" i="5"/>
  <c r="F23" i="5"/>
  <c r="G23" i="5"/>
  <c r="H23" i="5" s="1"/>
  <c r="I23" i="5" s="1"/>
  <c r="J23" i="5" s="1"/>
  <c r="K23" i="5" s="1"/>
  <c r="C24" i="5"/>
  <c r="F24" i="5"/>
  <c r="G24" i="5"/>
  <c r="H24" i="5" s="1"/>
  <c r="I24" i="5" s="1"/>
  <c r="J24" i="5" s="1"/>
  <c r="K24" i="5" s="1"/>
  <c r="C25" i="5"/>
  <c r="F25" i="5"/>
  <c r="G25" i="5"/>
  <c r="H25" i="5" s="1"/>
  <c r="I25" i="5" s="1"/>
  <c r="J25" i="5" s="1"/>
  <c r="K25" i="5" s="1"/>
  <c r="F26" i="5"/>
  <c r="G26" i="5"/>
  <c r="H26" i="5" s="1"/>
  <c r="I26" i="5" s="1"/>
  <c r="J26" i="5" s="1"/>
  <c r="K26" i="5" s="1"/>
  <c r="C27" i="5"/>
  <c r="F27" i="5"/>
  <c r="G27" i="5"/>
  <c r="H27" i="5" s="1"/>
  <c r="I27" i="5" s="1"/>
  <c r="J27" i="5" s="1"/>
  <c r="K27" i="5" s="1"/>
  <c r="C28" i="5"/>
  <c r="F28" i="5"/>
  <c r="G28" i="5"/>
  <c r="H28" i="5" s="1"/>
  <c r="I28" i="5" s="1"/>
  <c r="J28" i="5" s="1"/>
  <c r="K28" i="5" s="1"/>
  <c r="C29" i="5"/>
  <c r="F29" i="5"/>
  <c r="G29" i="5"/>
  <c r="H29" i="5" s="1"/>
  <c r="I29" i="5" s="1"/>
  <c r="J29" i="5" s="1"/>
  <c r="K29" i="5" s="1"/>
  <c r="C30" i="5"/>
  <c r="F30" i="5"/>
  <c r="G30" i="5"/>
  <c r="H30" i="5" s="1"/>
  <c r="I30" i="5" s="1"/>
  <c r="J30" i="5" s="1"/>
  <c r="K30" i="5" s="1"/>
  <c r="C31" i="5"/>
  <c r="F31" i="5"/>
  <c r="G31" i="5"/>
  <c r="H31" i="5" s="1"/>
  <c r="I31" i="5" s="1"/>
  <c r="J31" i="5" s="1"/>
  <c r="K31" i="5" s="1"/>
  <c r="C32" i="5"/>
  <c r="F32" i="5"/>
  <c r="G32" i="5"/>
  <c r="H32" i="5" s="1"/>
  <c r="I32" i="5" s="1"/>
  <c r="J32" i="5" s="1"/>
  <c r="K32" i="5" s="1"/>
  <c r="C33" i="5"/>
  <c r="F33" i="5"/>
  <c r="G33" i="5"/>
  <c r="H33" i="5" s="1"/>
  <c r="I33" i="5" s="1"/>
  <c r="J33" i="5" s="1"/>
  <c r="K33" i="5" s="1"/>
  <c r="C34" i="5"/>
  <c r="F34" i="5"/>
  <c r="G34" i="5"/>
  <c r="H34" i="5" s="1"/>
  <c r="I34" i="5" s="1"/>
  <c r="J34" i="5" s="1"/>
  <c r="K34" i="5" s="1"/>
  <c r="C35" i="5"/>
  <c r="F35" i="5"/>
  <c r="G35" i="5"/>
  <c r="H35" i="5" s="1"/>
  <c r="I35" i="5" s="1"/>
  <c r="J35" i="5" s="1"/>
  <c r="K35" i="5" s="1"/>
  <c r="C36" i="5"/>
  <c r="F36" i="5"/>
  <c r="G36" i="5"/>
  <c r="H36" i="5" s="1"/>
  <c r="I36" i="5" s="1"/>
  <c r="J36" i="5" s="1"/>
  <c r="K36" i="5" s="1"/>
  <c r="B1" i="8"/>
  <c r="H2" i="8"/>
  <c r="C6" i="8"/>
  <c r="D8" i="8"/>
  <c r="D20" i="13" s="1"/>
  <c r="C37" i="14" s="1"/>
  <c r="A1" i="14"/>
  <c r="B1" i="14"/>
  <c r="B5" i="14"/>
  <c r="B12" i="14" s="1"/>
  <c r="B20" i="14"/>
  <c r="B26" i="14"/>
  <c r="B30" i="14"/>
  <c r="B47" i="14"/>
  <c r="B1" i="7"/>
  <c r="H2" i="7"/>
  <c r="C6" i="7"/>
  <c r="C48" i="7" s="1"/>
  <c r="D6" i="7"/>
  <c r="C13" i="7"/>
  <c r="C9" i="13" s="1"/>
  <c r="D13" i="7"/>
  <c r="E13" i="7"/>
  <c r="F13" i="7"/>
  <c r="G13" i="7"/>
  <c r="H13" i="7"/>
  <c r="H24" i="7" s="1"/>
  <c r="C23" i="7"/>
  <c r="C10" i="13" s="1"/>
  <c r="D23" i="7"/>
  <c r="E23" i="7"/>
  <c r="F23" i="7"/>
  <c r="G23" i="7"/>
  <c r="H23" i="7"/>
  <c r="C29" i="7"/>
  <c r="D29" i="7"/>
  <c r="E29" i="7" s="1"/>
  <c r="C30" i="7"/>
  <c r="D30" i="7"/>
  <c r="E30" i="7" s="1"/>
  <c r="F30" i="7"/>
  <c r="G30" i="7" s="1"/>
  <c r="H30" i="7" s="1"/>
  <c r="C31" i="7"/>
  <c r="D31" i="7"/>
  <c r="E31" i="7" s="1"/>
  <c r="F31" i="7" s="1"/>
  <c r="G31" i="7" s="1"/>
  <c r="H31" i="7" s="1"/>
  <c r="C32" i="7"/>
  <c r="C33" i="7"/>
  <c r="D33" i="7" s="1"/>
  <c r="E33" i="7" s="1"/>
  <c r="F33" i="7" s="1"/>
  <c r="G33" i="7" s="1"/>
  <c r="H33" i="7" s="1"/>
  <c r="C36" i="7"/>
  <c r="D36" i="7"/>
  <c r="E36" i="7" s="1"/>
  <c r="C37" i="7"/>
  <c r="C38" i="7"/>
  <c r="D38" i="7" s="1"/>
  <c r="E38" i="7" s="1"/>
  <c r="F38" i="7" s="1"/>
  <c r="G38" i="7" s="1"/>
  <c r="H38" i="7" s="1"/>
  <c r="C39" i="7"/>
  <c r="D39" i="7" s="1"/>
  <c r="E39" i="7" s="1"/>
  <c r="F39" i="7" s="1"/>
  <c r="G39" i="7" s="1"/>
  <c r="C40" i="7"/>
  <c r="D40" i="7" s="1"/>
  <c r="E40" i="7" s="1"/>
  <c r="F40" i="7" s="1"/>
  <c r="G40" i="7" s="1"/>
  <c r="H40" i="7" s="1"/>
  <c r="C41" i="7"/>
  <c r="D41" i="7"/>
  <c r="E41" i="7" s="1"/>
  <c r="F41" i="7" s="1"/>
  <c r="G41" i="7" s="1"/>
  <c r="H41" i="7" s="1"/>
  <c r="C42" i="7"/>
  <c r="D42" i="7" s="1"/>
  <c r="E42" i="7" s="1"/>
  <c r="F42" i="7" s="1"/>
  <c r="G42" i="7" s="1"/>
  <c r="H42" i="7" s="1"/>
  <c r="C43" i="7"/>
  <c r="D43" i="7" s="1"/>
  <c r="E43" i="7" s="1"/>
  <c r="F43" i="7" s="1"/>
  <c r="G43" i="7" s="1"/>
  <c r="H43" i="7" s="1"/>
  <c r="B50" i="7"/>
  <c r="C50" i="7" s="1"/>
  <c r="F50" i="7"/>
  <c r="G50" i="7"/>
  <c r="B51" i="7"/>
  <c r="C51" i="7"/>
  <c r="D51" i="7" s="1"/>
  <c r="E51" i="7"/>
  <c r="F51" i="7"/>
  <c r="G51" i="7"/>
  <c r="H51" i="7"/>
  <c r="B52" i="7"/>
  <c r="C52" i="7" s="1"/>
  <c r="D52" i="7" s="1"/>
  <c r="E52" i="7"/>
  <c r="F52" i="7"/>
  <c r="G52" i="7"/>
  <c r="H52" i="7"/>
  <c r="B53" i="7"/>
  <c r="B54" i="7"/>
  <c r="C54" i="7"/>
  <c r="D54" i="7" s="1"/>
  <c r="A56" i="7"/>
  <c r="A57" i="7"/>
  <c r="A58" i="7"/>
  <c r="C58" i="7"/>
  <c r="D58" i="7"/>
  <c r="E58" i="7"/>
  <c r="F58" i="7"/>
  <c r="G58" i="7"/>
  <c r="H58" i="7"/>
  <c r="A59" i="7"/>
  <c r="C59" i="7"/>
  <c r="D59" i="7"/>
  <c r="E59" i="7"/>
  <c r="F59" i="7"/>
  <c r="G59" i="7"/>
  <c r="H59" i="7"/>
  <c r="A60" i="7"/>
  <c r="C60" i="7"/>
  <c r="D60" i="7"/>
  <c r="E60" i="7"/>
  <c r="F60" i="7"/>
  <c r="G60" i="7"/>
  <c r="H60" i="7"/>
  <c r="A61" i="7"/>
  <c r="C61" i="7"/>
  <c r="D61" i="7"/>
  <c r="E61" i="7"/>
  <c r="F61" i="7"/>
  <c r="G61" i="7"/>
  <c r="H61" i="7"/>
  <c r="A62" i="7"/>
  <c r="C62" i="7"/>
  <c r="D62" i="7"/>
  <c r="E62" i="7"/>
  <c r="F62" i="7"/>
  <c r="G62" i="7"/>
  <c r="H62" i="7"/>
  <c r="A63" i="7"/>
  <c r="B63" i="7"/>
  <c r="E63" i="7" s="1"/>
  <c r="C63" i="7"/>
  <c r="D63" i="7"/>
  <c r="F63" i="7"/>
  <c r="G63" i="7"/>
  <c r="H63" i="7"/>
  <c r="A64" i="7"/>
  <c r="C64" i="7"/>
  <c r="D64" i="7"/>
  <c r="E64" i="7"/>
  <c r="G64" i="7"/>
  <c r="H64" i="7"/>
  <c r="A65" i="7"/>
  <c r="B1" i="12"/>
  <c r="H2" i="12"/>
  <c r="C6" i="12"/>
  <c r="D6" i="12"/>
  <c r="C9" i="12"/>
  <c r="C26" i="13" s="1"/>
  <c r="D9" i="12"/>
  <c r="E9" i="12"/>
  <c r="F9" i="12"/>
  <c r="G9" i="12"/>
  <c r="H9" i="12"/>
  <c r="C13" i="12"/>
  <c r="C27" i="13" s="1"/>
  <c r="D13" i="12"/>
  <c r="E13" i="12"/>
  <c r="F13" i="12"/>
  <c r="G13" i="12"/>
  <c r="H13" i="12"/>
  <c r="C21" i="12"/>
  <c r="C22" i="12"/>
  <c r="C8" i="2"/>
  <c r="C9" i="2"/>
  <c r="C10" i="2"/>
  <c r="B1" i="3"/>
  <c r="H2" i="3"/>
  <c r="D5" i="3"/>
  <c r="E5" i="3" s="1"/>
  <c r="C9" i="3"/>
  <c r="D9" i="3"/>
  <c r="C10" i="3"/>
  <c r="C7" i="4" s="1"/>
  <c r="E11" i="3"/>
  <c r="F11" i="3" s="1"/>
  <c r="G11" i="3" s="1"/>
  <c r="H11" i="3" s="1"/>
  <c r="D13" i="3"/>
  <c r="E13" i="3" s="1"/>
  <c r="C14" i="3"/>
  <c r="C8" i="4" s="1"/>
  <c r="D15" i="3"/>
  <c r="E15" i="3" s="1"/>
  <c r="F15" i="3" s="1"/>
  <c r="G15" i="3" s="1"/>
  <c r="H15" i="3" s="1"/>
  <c r="D17" i="3"/>
  <c r="D14" i="3" s="1"/>
  <c r="D8" i="4" s="1"/>
  <c r="C18" i="3"/>
  <c r="C9" i="4" s="1"/>
  <c r="D19" i="3"/>
  <c r="E19" i="3"/>
  <c r="F19" i="3" s="1"/>
  <c r="G19" i="3" s="1"/>
  <c r="H19" i="3" s="1"/>
  <c r="D21" i="3"/>
  <c r="E21" i="3" s="1"/>
  <c r="C22" i="3"/>
  <c r="C10" i="4" s="1"/>
  <c r="D23" i="3"/>
  <c r="E23" i="3" s="1"/>
  <c r="F23" i="3" s="1"/>
  <c r="G23" i="3" s="1"/>
  <c r="H23" i="3" s="1"/>
  <c r="D25" i="3"/>
  <c r="E25" i="3" s="1"/>
  <c r="C29" i="3"/>
  <c r="D29" i="3"/>
  <c r="C30" i="3"/>
  <c r="D31" i="3"/>
  <c r="D30" i="3" s="1"/>
  <c r="D33" i="3"/>
  <c r="E33" i="3"/>
  <c r="C34" i="3"/>
  <c r="D35" i="3"/>
  <c r="D37" i="3"/>
  <c r="E37" i="3" s="1"/>
  <c r="C42" i="3"/>
  <c r="D42" i="3"/>
  <c r="E42" i="3"/>
  <c r="D43" i="3"/>
  <c r="E43" i="3" s="1"/>
  <c r="E45" i="3"/>
  <c r="F45" i="3" s="1"/>
  <c r="G45" i="3" s="1"/>
  <c r="H45" i="3" s="1"/>
  <c r="D47" i="3"/>
  <c r="E47" i="3" s="1"/>
  <c r="F47" i="3" s="1"/>
  <c r="G47" i="3" s="1"/>
  <c r="H47" i="3" s="1"/>
  <c r="D49" i="3"/>
  <c r="E49" i="3" s="1"/>
  <c r="F49" i="3" s="1"/>
  <c r="G49" i="3" s="1"/>
  <c r="H49" i="3" s="1"/>
  <c r="C51" i="3"/>
  <c r="C72" i="3" s="1"/>
  <c r="C54" i="3"/>
  <c r="D54" i="3"/>
  <c r="D55" i="3"/>
  <c r="E55" i="3" s="1"/>
  <c r="D57" i="3"/>
  <c r="E57" i="3" s="1"/>
  <c r="F57" i="3" s="1"/>
  <c r="G57" i="3" s="1"/>
  <c r="H57" i="3" s="1"/>
  <c r="D59" i="3"/>
  <c r="E59" i="3" s="1"/>
  <c r="F59" i="3" s="1"/>
  <c r="G59" i="3" s="1"/>
  <c r="H59" i="3" s="1"/>
  <c r="D61" i="3"/>
  <c r="E61" i="3" s="1"/>
  <c r="F61" i="3" s="1"/>
  <c r="G61" i="3" s="1"/>
  <c r="H61" i="3" s="1"/>
  <c r="C63" i="3"/>
  <c r="C73" i="3" s="1"/>
  <c r="B69" i="3"/>
  <c r="B75" i="3"/>
  <c r="C28" i="10" l="1"/>
  <c r="C23" i="12"/>
  <c r="D27" i="13"/>
  <c r="E27" i="13" s="1"/>
  <c r="F27" i="13" s="1"/>
  <c r="G27" i="13" s="1"/>
  <c r="H27" i="13" s="1"/>
  <c r="E8" i="8"/>
  <c r="E20" i="13" s="1"/>
  <c r="D37" i="14" s="1"/>
  <c r="D10" i="13"/>
  <c r="E10" i="13" s="1"/>
  <c r="F10" i="13" s="1"/>
  <c r="G10" i="13" s="1"/>
  <c r="H10" i="13" s="1"/>
  <c r="F24" i="7"/>
  <c r="C65" i="7"/>
  <c r="E24" i="7"/>
  <c r="E18" i="12" s="1"/>
  <c r="D24" i="7"/>
  <c r="D18" i="12" s="1"/>
  <c r="G24" i="7"/>
  <c r="G18" i="11" s="1"/>
  <c r="D31" i="6"/>
  <c r="D42" i="6" s="1"/>
  <c r="D34" i="3"/>
  <c r="D38" i="3"/>
  <c r="D67" i="3" s="1"/>
  <c r="C38" i="3"/>
  <c r="C67" i="3" s="1"/>
  <c r="E35" i="3"/>
  <c r="F35" i="3" s="1"/>
  <c r="G35" i="3" s="1"/>
  <c r="H35" i="3" s="1"/>
  <c r="E22" i="3"/>
  <c r="E10" i="4" s="1"/>
  <c r="D22" i="3"/>
  <c r="D10" i="4" s="1"/>
  <c r="D18" i="3"/>
  <c r="D9" i="4" s="1"/>
  <c r="E18" i="3"/>
  <c r="E9" i="4" s="1"/>
  <c r="E31" i="3"/>
  <c r="F31" i="3" s="1"/>
  <c r="G31" i="3" s="1"/>
  <c r="H31" i="3" s="1"/>
  <c r="E17" i="3"/>
  <c r="E54" i="3" s="1"/>
  <c r="E14" i="3"/>
  <c r="E8" i="4" s="1"/>
  <c r="C26" i="3"/>
  <c r="C66" i="3" s="1"/>
  <c r="C69" i="3" s="1"/>
  <c r="E10" i="3"/>
  <c r="E7" i="4" s="1"/>
  <c r="C75" i="3"/>
  <c r="C74" i="3"/>
  <c r="F29" i="7"/>
  <c r="E63" i="3"/>
  <c r="E73" i="3" s="1"/>
  <c r="F55" i="3"/>
  <c r="E51" i="3"/>
  <c r="F43" i="3"/>
  <c r="E6" i="11"/>
  <c r="E24" i="17"/>
  <c r="E6" i="13"/>
  <c r="E6" i="15"/>
  <c r="E60" i="15" s="1"/>
  <c r="F5" i="6"/>
  <c r="E6" i="8"/>
  <c r="F10" i="6"/>
  <c r="E6" i="10"/>
  <c r="E6" i="4"/>
  <c r="E6" i="9"/>
  <c r="E12" i="9" s="1"/>
  <c r="H11" i="5"/>
  <c r="H6" i="5"/>
  <c r="D5" i="14"/>
  <c r="E6" i="7"/>
  <c r="E6" i="12"/>
  <c r="D63" i="3"/>
  <c r="D73" i="3" s="1"/>
  <c r="D51" i="3"/>
  <c r="F25" i="3"/>
  <c r="F21" i="3"/>
  <c r="F17" i="3"/>
  <c r="F5" i="3"/>
  <c r="E53" i="7"/>
  <c r="F53" i="7"/>
  <c r="G53" i="7"/>
  <c r="H53" i="7"/>
  <c r="C53" i="7"/>
  <c r="D53" i="7" s="1"/>
  <c r="H18" i="11"/>
  <c r="H18" i="12"/>
  <c r="J12" i="4"/>
  <c r="J13" i="4" s="1"/>
  <c r="C11" i="4"/>
  <c r="F18" i="11"/>
  <c r="F18" i="12"/>
  <c r="D37" i="7"/>
  <c r="C44" i="7"/>
  <c r="F37" i="3"/>
  <c r="F33" i="3"/>
  <c r="F13" i="3"/>
  <c r="E9" i="3"/>
  <c r="G55" i="7"/>
  <c r="C34" i="7"/>
  <c r="D32" i="7"/>
  <c r="E32" i="7" s="1"/>
  <c r="F32" i="7" s="1"/>
  <c r="G32" i="7" s="1"/>
  <c r="H32" i="7" s="1"/>
  <c r="F8" i="8"/>
  <c r="J12" i="5"/>
  <c r="E29" i="3"/>
  <c r="F55" i="7"/>
  <c r="F36" i="7"/>
  <c r="D48" i="7"/>
  <c r="D27" i="7"/>
  <c r="D50" i="7"/>
  <c r="D55" i="7" s="1"/>
  <c r="C55" i="7"/>
  <c r="I15" i="5"/>
  <c r="J15" i="5" s="1"/>
  <c r="K15" i="5" s="1"/>
  <c r="G40" i="5"/>
  <c r="F40" i="5"/>
  <c r="C8" i="10"/>
  <c r="H65" i="7"/>
  <c r="G65" i="7"/>
  <c r="F65" i="7"/>
  <c r="E65" i="7"/>
  <c r="D65" i="7"/>
  <c r="E54" i="7"/>
  <c r="F54" i="7"/>
  <c r="G54" i="7"/>
  <c r="H54" i="7"/>
  <c r="C27" i="7"/>
  <c r="D10" i="3"/>
  <c r="H50" i="7"/>
  <c r="H55" i="7" s="1"/>
  <c r="G20" i="6"/>
  <c r="E50" i="7"/>
  <c r="E55" i="7" s="1"/>
  <c r="F37" i="5"/>
  <c r="F46" i="5"/>
  <c r="F42" i="5"/>
  <c r="C12" i="10" s="1"/>
  <c r="D24" i="17"/>
  <c r="D6" i="10"/>
  <c r="D6" i="13"/>
  <c r="D6" i="15"/>
  <c r="D60" i="15" s="1"/>
  <c r="E5" i="6"/>
  <c r="D6" i="11"/>
  <c r="E10" i="6"/>
  <c r="D6" i="4"/>
  <c r="D6" i="9"/>
  <c r="D12" i="9" s="1"/>
  <c r="G11" i="5"/>
  <c r="G6" i="5"/>
  <c r="D9" i="13"/>
  <c r="C5" i="14"/>
  <c r="D6" i="8"/>
  <c r="H12" i="6"/>
  <c r="E17" i="6"/>
  <c r="E36" i="6"/>
  <c r="E44" i="6" s="1"/>
  <c r="E59" i="6" s="1"/>
  <c r="F15" i="6"/>
  <c r="G15" i="6" s="1"/>
  <c r="H15" i="6" s="1"/>
  <c r="I15" i="6" s="1"/>
  <c r="D26" i="13"/>
  <c r="C24" i="7"/>
  <c r="G37" i="5"/>
  <c r="G46" i="5"/>
  <c r="G42" i="5"/>
  <c r="D12" i="10" s="1"/>
  <c r="H16" i="5"/>
  <c r="H46" i="5" s="1"/>
  <c r="D44" i="15"/>
  <c r="F36" i="6"/>
  <c r="F44" i="6" s="1"/>
  <c r="F59" i="6" s="1"/>
  <c r="G86" i="17"/>
  <c r="D17" i="6"/>
  <c r="D36" i="6"/>
  <c r="D44" i="6" s="1"/>
  <c r="D59" i="6" s="1"/>
  <c r="D35" i="15"/>
  <c r="E64" i="15"/>
  <c r="D66" i="15"/>
  <c r="D67" i="15" s="1"/>
  <c r="E86" i="17"/>
  <c r="D86" i="17"/>
  <c r="H86" i="17"/>
  <c r="E31" i="6"/>
  <c r="F24" i="6"/>
  <c r="G24" i="6" s="1"/>
  <c r="H24" i="6" s="1"/>
  <c r="I24" i="6" s="1"/>
  <c r="C66" i="15"/>
  <c r="D18" i="11" l="1"/>
  <c r="E18" i="11"/>
  <c r="H66" i="7"/>
  <c r="H23" i="10" s="1"/>
  <c r="H9" i="11" s="1"/>
  <c r="C66" i="7"/>
  <c r="C23" i="10" s="1"/>
  <c r="C9" i="11" s="1"/>
  <c r="G18" i="12"/>
  <c r="D68" i="6"/>
  <c r="D56" i="6"/>
  <c r="C79" i="3"/>
  <c r="E34" i="3"/>
  <c r="E30" i="3"/>
  <c r="C68" i="3"/>
  <c r="C77" i="3" s="1"/>
  <c r="E11" i="4"/>
  <c r="E11" i="10" s="1"/>
  <c r="C7" i="10"/>
  <c r="C9" i="10" s="1"/>
  <c r="E26" i="3"/>
  <c r="C18" i="11"/>
  <c r="C18" i="12"/>
  <c r="G17" i="6"/>
  <c r="D35" i="17"/>
  <c r="D53" i="17" s="1"/>
  <c r="D71" i="17"/>
  <c r="H40" i="5"/>
  <c r="F30" i="3"/>
  <c r="G33" i="3"/>
  <c r="F6" i="11"/>
  <c r="F24" i="17"/>
  <c r="F6" i="13"/>
  <c r="F6" i="4"/>
  <c r="G10" i="6"/>
  <c r="F6" i="8"/>
  <c r="F6" i="15"/>
  <c r="F60" i="15" s="1"/>
  <c r="F6" i="10"/>
  <c r="F6" i="9"/>
  <c r="F12" i="9" s="1"/>
  <c r="I11" i="5"/>
  <c r="I6" i="5"/>
  <c r="F6" i="7"/>
  <c r="F9" i="3"/>
  <c r="E5" i="14"/>
  <c r="F6" i="12"/>
  <c r="G5" i="3"/>
  <c r="G5" i="6"/>
  <c r="F29" i="3"/>
  <c r="F42" i="3"/>
  <c r="D12" i="14"/>
  <c r="D47" i="14"/>
  <c r="D26" i="14"/>
  <c r="D30" i="14"/>
  <c r="D20" i="14"/>
  <c r="F39" i="6"/>
  <c r="F53" i="6"/>
  <c r="F17" i="6"/>
  <c r="D7" i="4"/>
  <c r="D11" i="4" s="1"/>
  <c r="D26" i="3"/>
  <c r="H42" i="5"/>
  <c r="E12" i="10" s="1"/>
  <c r="F20" i="13"/>
  <c r="E37" i="14" s="1"/>
  <c r="G8" i="8"/>
  <c r="F34" i="3"/>
  <c r="G37" i="3"/>
  <c r="G17" i="3"/>
  <c r="F14" i="3"/>
  <c r="F8" i="4" s="1"/>
  <c r="F54" i="3"/>
  <c r="F63" i="3"/>
  <c r="F73" i="3" s="1"/>
  <c r="G55" i="3"/>
  <c r="F64" i="15"/>
  <c r="D40" i="15"/>
  <c r="E66" i="15"/>
  <c r="E67" i="15" s="1"/>
  <c r="D49" i="15"/>
  <c r="E26" i="13"/>
  <c r="C12" i="14"/>
  <c r="C47" i="14"/>
  <c r="C20" i="14"/>
  <c r="C26" i="14"/>
  <c r="C30" i="14"/>
  <c r="G21" i="3"/>
  <c r="F18" i="3"/>
  <c r="F9" i="4" s="1"/>
  <c r="E56" i="6"/>
  <c r="E68" i="6"/>
  <c r="E42" i="6"/>
  <c r="E37" i="7"/>
  <c r="D44" i="7"/>
  <c r="G25" i="3"/>
  <c r="F22" i="3"/>
  <c r="F10" i="4" s="1"/>
  <c r="E35" i="17"/>
  <c r="E53" i="17" s="1"/>
  <c r="E71" i="17"/>
  <c r="I16" i="5"/>
  <c r="J16" i="5" s="1"/>
  <c r="K16" i="5" s="1"/>
  <c r="H37" i="5"/>
  <c r="E39" i="6"/>
  <c r="E53" i="6"/>
  <c r="D34" i="7"/>
  <c r="C45" i="7"/>
  <c r="D8" i="10"/>
  <c r="D72" i="3"/>
  <c r="G29" i="7"/>
  <c r="F34" i="7"/>
  <c r="D55" i="6"/>
  <c r="D33" i="6"/>
  <c r="D41" i="6"/>
  <c r="D67" i="6"/>
  <c r="D69" i="6"/>
  <c r="E41" i="6"/>
  <c r="E33" i="6"/>
  <c r="E55" i="6"/>
  <c r="E67" i="6"/>
  <c r="E69" i="6"/>
  <c r="E9" i="13"/>
  <c r="E66" i="7"/>
  <c r="E23" i="10" s="1"/>
  <c r="E9" i="11" s="1"/>
  <c r="G36" i="7"/>
  <c r="I42" i="5"/>
  <c r="F12" i="10" s="1"/>
  <c r="G66" i="7"/>
  <c r="G23" i="10" s="1"/>
  <c r="G9" i="11" s="1"/>
  <c r="C11" i="10"/>
  <c r="C13" i="4"/>
  <c r="C10" i="8"/>
  <c r="C15" i="13" s="1"/>
  <c r="F51" i="3"/>
  <c r="G43" i="3"/>
  <c r="E34" i="7"/>
  <c r="H17" i="6"/>
  <c r="I12" i="6"/>
  <c r="G31" i="6"/>
  <c r="H20" i="6"/>
  <c r="H36" i="6" s="1"/>
  <c r="H44" i="6" s="1"/>
  <c r="H59" i="6" s="1"/>
  <c r="C15" i="10"/>
  <c r="F44" i="5"/>
  <c r="F48" i="5" s="1"/>
  <c r="D66" i="7"/>
  <c r="D23" i="10" s="1"/>
  <c r="D9" i="11" s="1"/>
  <c r="I46" i="5"/>
  <c r="E8" i="10"/>
  <c r="E72" i="3"/>
  <c r="G36" i="6"/>
  <c r="G44" i="6" s="1"/>
  <c r="G59" i="6" s="1"/>
  <c r="F31" i="6"/>
  <c r="D15" i="10"/>
  <c r="G44" i="5"/>
  <c r="G48" i="5" s="1"/>
  <c r="F66" i="7"/>
  <c r="F23" i="10" s="1"/>
  <c r="F9" i="11" s="1"/>
  <c r="J42" i="5"/>
  <c r="G12" i="10" s="1"/>
  <c r="J37" i="5"/>
  <c r="J46" i="5"/>
  <c r="K12" i="5"/>
  <c r="F10" i="3"/>
  <c r="G13" i="3"/>
  <c r="E27" i="7"/>
  <c r="E48" i="7"/>
  <c r="C11" i="13" l="1"/>
  <c r="D11" i="13" s="1"/>
  <c r="D45" i="7"/>
  <c r="E70" i="6"/>
  <c r="J40" i="5"/>
  <c r="J44" i="5" s="1"/>
  <c r="J48" i="5" s="1"/>
  <c r="I37" i="5"/>
  <c r="I40" i="5"/>
  <c r="I44" i="5" s="1"/>
  <c r="I48" i="5" s="1"/>
  <c r="C16" i="8"/>
  <c r="C81" i="3"/>
  <c r="C9" i="8" s="1"/>
  <c r="C17" i="13" s="1"/>
  <c r="E38" i="3"/>
  <c r="E67" i="3" s="1"/>
  <c r="E13" i="4"/>
  <c r="E15" i="4" s="1"/>
  <c r="E66" i="3"/>
  <c r="E69" i="3" s="1"/>
  <c r="E10" i="8"/>
  <c r="E15" i="13" s="1"/>
  <c r="C13" i="10"/>
  <c r="C16" i="10" s="1"/>
  <c r="G42" i="6"/>
  <c r="G68" i="6"/>
  <c r="G56" i="6"/>
  <c r="C15" i="4"/>
  <c r="C15" i="8" s="1"/>
  <c r="E43" i="6"/>
  <c r="E58" i="6" s="1"/>
  <c r="H29" i="7"/>
  <c r="H34" i="7" s="1"/>
  <c r="G34" i="7"/>
  <c r="F26" i="13"/>
  <c r="H44" i="5"/>
  <c r="H48" i="5" s="1"/>
  <c r="E15" i="10"/>
  <c r="H25" i="3"/>
  <c r="H22" i="3" s="1"/>
  <c r="H10" i="4" s="1"/>
  <c r="G22" i="3"/>
  <c r="G10" i="4" s="1"/>
  <c r="E75" i="3"/>
  <c r="E74" i="3"/>
  <c r="I17" i="6"/>
  <c r="E57" i="6"/>
  <c r="D75" i="3"/>
  <c r="D74" i="3"/>
  <c r="F37" i="7"/>
  <c r="E44" i="7"/>
  <c r="E45" i="7" s="1"/>
  <c r="D54" i="15"/>
  <c r="F27" i="7"/>
  <c r="F48" i="7"/>
  <c r="H67" i="6"/>
  <c r="H41" i="6"/>
  <c r="H55" i="6"/>
  <c r="G54" i="3"/>
  <c r="H17" i="3"/>
  <c r="G14" i="3"/>
  <c r="G8" i="4" s="1"/>
  <c r="D70" i="6"/>
  <c r="G34" i="3"/>
  <c r="H37" i="3"/>
  <c r="H34" i="3" s="1"/>
  <c r="F35" i="17"/>
  <c r="F53" i="17" s="1"/>
  <c r="F71" i="17"/>
  <c r="G67" i="6"/>
  <c r="G41" i="6"/>
  <c r="G33" i="6"/>
  <c r="G69" i="6"/>
  <c r="G55" i="6"/>
  <c r="F41" i="6"/>
  <c r="F69" i="6"/>
  <c r="F33" i="6"/>
  <c r="F55" i="6"/>
  <c r="F67" i="6"/>
  <c r="D57" i="6"/>
  <c r="G53" i="6"/>
  <c r="G39" i="6"/>
  <c r="E26" i="14"/>
  <c r="E30" i="14"/>
  <c r="E12" i="14"/>
  <c r="E47" i="14"/>
  <c r="E20" i="14"/>
  <c r="H13" i="3"/>
  <c r="H10" i="3" s="1"/>
  <c r="G10" i="3"/>
  <c r="G51" i="3"/>
  <c r="H43" i="3"/>
  <c r="H51" i="3" s="1"/>
  <c r="F9" i="13"/>
  <c r="F7" i="4"/>
  <c r="F11" i="4" s="1"/>
  <c r="F26" i="3"/>
  <c r="F8" i="10"/>
  <c r="F72" i="3"/>
  <c r="H36" i="7"/>
  <c r="D43" i="6"/>
  <c r="D58" i="6" s="1"/>
  <c r="G64" i="15"/>
  <c r="F66" i="15"/>
  <c r="F67" i="15" s="1"/>
  <c r="D45" i="15"/>
  <c r="D7" i="10"/>
  <c r="D9" i="10" s="1"/>
  <c r="D66" i="3"/>
  <c r="G6" i="4"/>
  <c r="H10" i="6"/>
  <c r="G6" i="11"/>
  <c r="G24" i="17"/>
  <c r="G6" i="15"/>
  <c r="G60" i="15" s="1"/>
  <c r="J6" i="5"/>
  <c r="G6" i="13"/>
  <c r="G6" i="10"/>
  <c r="H5" i="6"/>
  <c r="G6" i="12"/>
  <c r="G6" i="9"/>
  <c r="G12" i="9" s="1"/>
  <c r="G6" i="7"/>
  <c r="J11" i="5"/>
  <c r="G6" i="8"/>
  <c r="G9" i="3"/>
  <c r="H5" i="3"/>
  <c r="G42" i="3"/>
  <c r="F5" i="14"/>
  <c r="G29" i="3"/>
  <c r="G30" i="3"/>
  <c r="G38" i="3" s="1"/>
  <c r="G67" i="3" s="1"/>
  <c r="H33" i="3"/>
  <c r="H30" i="3" s="1"/>
  <c r="K42" i="5"/>
  <c r="H12" i="10" s="1"/>
  <c r="K37" i="5"/>
  <c r="K46" i="5"/>
  <c r="K40" i="5"/>
  <c r="F56" i="6"/>
  <c r="F68" i="6"/>
  <c r="F42" i="6"/>
  <c r="H31" i="6"/>
  <c r="H33" i="6" s="1"/>
  <c r="I20" i="6"/>
  <c r="I31" i="6" s="1"/>
  <c r="H21" i="3"/>
  <c r="H18" i="3" s="1"/>
  <c r="H9" i="4" s="1"/>
  <c r="G18" i="3"/>
  <c r="G9" i="4" s="1"/>
  <c r="G63" i="3"/>
  <c r="G73" i="3" s="1"/>
  <c r="H55" i="3"/>
  <c r="H63" i="3" s="1"/>
  <c r="H73" i="3" s="1"/>
  <c r="G20" i="13"/>
  <c r="F37" i="14" s="1"/>
  <c r="H8" i="8"/>
  <c r="D13" i="4"/>
  <c r="D15" i="4" s="1"/>
  <c r="D15" i="8" s="1"/>
  <c r="D10" i="8"/>
  <c r="D15" i="13" s="1"/>
  <c r="D11" i="10"/>
  <c r="F38" i="3"/>
  <c r="F67" i="3" s="1"/>
  <c r="C23" i="13" l="1"/>
  <c r="I36" i="6"/>
  <c r="I44" i="6" s="1"/>
  <c r="I59" i="6" s="1"/>
  <c r="E62" i="6"/>
  <c r="D18" i="10" s="1"/>
  <c r="C7" i="14" s="1"/>
  <c r="D62" i="6"/>
  <c r="C18" i="10" s="1"/>
  <c r="C19" i="10" s="1"/>
  <c r="E47" i="6"/>
  <c r="E50" i="6" s="1"/>
  <c r="D47" i="6"/>
  <c r="D50" i="6" s="1"/>
  <c r="G15" i="10"/>
  <c r="E15" i="8"/>
  <c r="E43" i="13" s="1"/>
  <c r="D35" i="14" s="1"/>
  <c r="F15" i="10"/>
  <c r="C13" i="8"/>
  <c r="E79" i="3"/>
  <c r="E16" i="8" s="1"/>
  <c r="E7" i="10"/>
  <c r="E9" i="10" s="1"/>
  <c r="E13" i="10" s="1"/>
  <c r="E68" i="3"/>
  <c r="E77" i="3" s="1"/>
  <c r="C14" i="10"/>
  <c r="H38" i="3"/>
  <c r="H67" i="3" s="1"/>
  <c r="D13" i="10"/>
  <c r="C16" i="14"/>
  <c r="F75" i="3"/>
  <c r="F74" i="3"/>
  <c r="H6" i="4"/>
  <c r="I10" i="6"/>
  <c r="H6" i="11"/>
  <c r="H6" i="15"/>
  <c r="I5" i="6"/>
  <c r="K6" i="5"/>
  <c r="H6" i="13"/>
  <c r="H6" i="9"/>
  <c r="H12" i="9" s="1"/>
  <c r="K11" i="5"/>
  <c r="H6" i="12"/>
  <c r="H6" i="7"/>
  <c r="H6" i="8"/>
  <c r="H24" i="17"/>
  <c r="H42" i="3"/>
  <c r="H6" i="10"/>
  <c r="G5" i="14"/>
  <c r="H9" i="3"/>
  <c r="H29" i="3"/>
  <c r="I68" i="6"/>
  <c r="I42" i="6"/>
  <c r="I56" i="6"/>
  <c r="H20" i="13"/>
  <c r="G37" i="14" s="1"/>
  <c r="H42" i="6"/>
  <c r="H57" i="6" s="1"/>
  <c r="H56" i="6"/>
  <c r="H68" i="6"/>
  <c r="G9" i="13"/>
  <c r="H14" i="3"/>
  <c r="H8" i="4" s="1"/>
  <c r="H54" i="3"/>
  <c r="G37" i="7"/>
  <c r="F44" i="7"/>
  <c r="F45" i="7" s="1"/>
  <c r="G26" i="13"/>
  <c r="D69" i="3"/>
  <c r="D79" i="3" s="1"/>
  <c r="D16" i="8" s="1"/>
  <c r="D18" i="8" s="1"/>
  <c r="D68" i="3"/>
  <c r="D77" i="3" s="1"/>
  <c r="H43" i="6"/>
  <c r="H58" i="6" s="1"/>
  <c r="H8" i="10"/>
  <c r="H72" i="3"/>
  <c r="F70" i="6"/>
  <c r="E11" i="13"/>
  <c r="C32" i="14"/>
  <c r="G27" i="7"/>
  <c r="G48" i="7"/>
  <c r="G35" i="17"/>
  <c r="G53" i="17" s="1"/>
  <c r="G71" i="17"/>
  <c r="D50" i="15"/>
  <c r="D55" i="15"/>
  <c r="H64" i="15"/>
  <c r="G66" i="15"/>
  <c r="G67" i="15" s="1"/>
  <c r="G8" i="10"/>
  <c r="G72" i="3"/>
  <c r="G43" i="6"/>
  <c r="G58" i="6" s="1"/>
  <c r="D43" i="13"/>
  <c r="C35" i="14" s="1"/>
  <c r="C43" i="13"/>
  <c r="C18" i="8"/>
  <c r="G26" i="3"/>
  <c r="G7" i="4"/>
  <c r="G11" i="4" s="1"/>
  <c r="F43" i="6"/>
  <c r="F58" i="6" s="1"/>
  <c r="G57" i="6"/>
  <c r="H69" i="6"/>
  <c r="H15" i="10"/>
  <c r="K44" i="5"/>
  <c r="K48" i="5" s="1"/>
  <c r="F26" i="14"/>
  <c r="F30" i="14"/>
  <c r="F12" i="14"/>
  <c r="F20" i="14"/>
  <c r="F47" i="14"/>
  <c r="F7" i="10"/>
  <c r="F9" i="10" s="1"/>
  <c r="F66" i="3"/>
  <c r="H7" i="4"/>
  <c r="G70" i="6"/>
  <c r="H39" i="6"/>
  <c r="H53" i="6"/>
  <c r="F11" i="10"/>
  <c r="F13" i="4"/>
  <c r="F15" i="4" s="1"/>
  <c r="F15" i="8" s="1"/>
  <c r="F10" i="8"/>
  <c r="F15" i="13" s="1"/>
  <c r="F57" i="6"/>
  <c r="I33" i="6"/>
  <c r="I41" i="6"/>
  <c r="I69" i="6"/>
  <c r="I55" i="6"/>
  <c r="I67" i="6"/>
  <c r="D35" i="10" l="1"/>
  <c r="D19" i="10"/>
  <c r="C10" i="14"/>
  <c r="G62" i="6"/>
  <c r="F18" i="10" s="1"/>
  <c r="F19" i="10" s="1"/>
  <c r="C22" i="10"/>
  <c r="C25" i="10" s="1"/>
  <c r="C8" i="11" s="1"/>
  <c r="C11" i="11" s="1"/>
  <c r="G47" i="6"/>
  <c r="G50" i="6" s="1"/>
  <c r="H62" i="6"/>
  <c r="G18" i="10" s="1"/>
  <c r="C35" i="10"/>
  <c r="H47" i="6"/>
  <c r="H50" i="6" s="1"/>
  <c r="H70" i="6"/>
  <c r="F62" i="6"/>
  <c r="E18" i="10" s="1"/>
  <c r="E19" i="10" s="1"/>
  <c r="E18" i="8"/>
  <c r="C20" i="8"/>
  <c r="C22" i="8" s="1"/>
  <c r="C7" i="9" s="1"/>
  <c r="C9" i="9" s="1"/>
  <c r="D6" i="14"/>
  <c r="D16" i="14"/>
  <c r="E81" i="3"/>
  <c r="E9" i="8" s="1"/>
  <c r="E17" i="13" s="1"/>
  <c r="D34" i="14" s="1"/>
  <c r="D36" i="14" s="1"/>
  <c r="H26" i="3"/>
  <c r="H7" i="10" s="1"/>
  <c r="H9" i="10" s="1"/>
  <c r="H11" i="4"/>
  <c r="H11" i="10" s="1"/>
  <c r="F43" i="13"/>
  <c r="E35" i="14" s="1"/>
  <c r="G11" i="10"/>
  <c r="G13" i="4"/>
  <c r="G15" i="4" s="1"/>
  <c r="G15" i="8" s="1"/>
  <c r="G10" i="8"/>
  <c r="G15" i="13" s="1"/>
  <c r="I43" i="6"/>
  <c r="I58" i="6" s="1"/>
  <c r="G7" i="10"/>
  <c r="G9" i="10" s="1"/>
  <c r="G66" i="3"/>
  <c r="G75" i="3"/>
  <c r="G74" i="3"/>
  <c r="H74" i="3"/>
  <c r="H75" i="3"/>
  <c r="I6" i="15"/>
  <c r="I60" i="15" s="1"/>
  <c r="H60" i="15"/>
  <c r="I53" i="6"/>
  <c r="I39" i="6"/>
  <c r="H9" i="13"/>
  <c r="H48" i="7"/>
  <c r="H27" i="7"/>
  <c r="H37" i="7"/>
  <c r="H44" i="7" s="1"/>
  <c r="H45" i="7" s="1"/>
  <c r="G44" i="7"/>
  <c r="G45" i="7" s="1"/>
  <c r="I57" i="6"/>
  <c r="H26" i="13"/>
  <c r="F69" i="3"/>
  <c r="F79" i="3" s="1"/>
  <c r="F16" i="8" s="1"/>
  <c r="F18" i="8" s="1"/>
  <c r="F68" i="3"/>
  <c r="F77" i="3" s="1"/>
  <c r="H66" i="15"/>
  <c r="H67" i="15" s="1"/>
  <c r="I64" i="15"/>
  <c r="I66" i="15" s="1"/>
  <c r="H35" i="17"/>
  <c r="H53" i="17" s="1"/>
  <c r="H71" i="17"/>
  <c r="I70" i="6"/>
  <c r="F13" i="10"/>
  <c r="E6" i="14"/>
  <c r="F11" i="13"/>
  <c r="E16" i="14" s="1"/>
  <c r="D32" i="14"/>
  <c r="G20" i="14"/>
  <c r="G26" i="14"/>
  <c r="G30" i="14"/>
  <c r="G12" i="14"/>
  <c r="G47" i="14"/>
  <c r="F47" i="6"/>
  <c r="F50" i="6" s="1"/>
  <c r="D81" i="3"/>
  <c r="D9" i="8" s="1"/>
  <c r="D16" i="10"/>
  <c r="D22" i="10" s="1"/>
  <c r="D25" i="10" s="1"/>
  <c r="D14" i="10"/>
  <c r="C48" i="14"/>
  <c r="E14" i="10"/>
  <c r="E16" i="10"/>
  <c r="D48" i="14"/>
  <c r="I62" i="6" l="1"/>
  <c r="H18" i="10" s="1"/>
  <c r="H35" i="10" s="1"/>
  <c r="E7" i="14"/>
  <c r="F35" i="10"/>
  <c r="E10" i="14"/>
  <c r="G19" i="10"/>
  <c r="C8" i="12"/>
  <c r="C31" i="10"/>
  <c r="C32" i="10" s="1"/>
  <c r="I47" i="6"/>
  <c r="I50" i="6" s="1"/>
  <c r="E22" i="10"/>
  <c r="E25" i="10" s="1"/>
  <c r="D8" i="14" s="1"/>
  <c r="E35" i="10"/>
  <c r="D7" i="14"/>
  <c r="D10" i="14"/>
  <c r="C12" i="12"/>
  <c r="C19" i="12"/>
  <c r="C25" i="12" s="1"/>
  <c r="C13" i="11"/>
  <c r="C20" i="11" s="1"/>
  <c r="E23" i="13"/>
  <c r="E13" i="8"/>
  <c r="E20" i="8" s="1"/>
  <c r="H66" i="3"/>
  <c r="H69" i="3" s="1"/>
  <c r="H79" i="3" s="1"/>
  <c r="H10" i="8"/>
  <c r="H15" i="13" s="1"/>
  <c r="I67" i="15"/>
  <c r="H13" i="4"/>
  <c r="H15" i="4" s="1"/>
  <c r="H15" i="8" s="1"/>
  <c r="H43" i="13" s="1"/>
  <c r="G35" i="14" s="1"/>
  <c r="F10" i="14"/>
  <c r="D50" i="14"/>
  <c r="D51" i="14" s="1"/>
  <c r="C49" i="14"/>
  <c r="C50" i="14"/>
  <c r="C51" i="14" s="1"/>
  <c r="C13" i="9"/>
  <c r="C16" i="9" s="1"/>
  <c r="H13" i="10"/>
  <c r="G6" i="14"/>
  <c r="G43" i="13"/>
  <c r="F35" i="14" s="1"/>
  <c r="D17" i="13"/>
  <c r="D13" i="8"/>
  <c r="D20" i="8" s="1"/>
  <c r="D22" i="8" s="1"/>
  <c r="G69" i="3"/>
  <c r="G79" i="3" s="1"/>
  <c r="G16" i="8" s="1"/>
  <c r="G68" i="3"/>
  <c r="G77" i="3" s="1"/>
  <c r="G13" i="10"/>
  <c r="F6" i="14"/>
  <c r="F7" i="14"/>
  <c r="D8" i="11"/>
  <c r="D11" i="11" s="1"/>
  <c r="C8" i="14"/>
  <c r="D8" i="12"/>
  <c r="F14" i="10"/>
  <c r="F16" i="10"/>
  <c r="F22" i="10" s="1"/>
  <c r="F25" i="10" s="1"/>
  <c r="E48" i="14"/>
  <c r="F81" i="3"/>
  <c r="F9" i="8" s="1"/>
  <c r="G35" i="10"/>
  <c r="G11" i="13"/>
  <c r="F16" i="14" s="1"/>
  <c r="E32" i="14"/>
  <c r="G10" i="14" l="1"/>
  <c r="H19" i="10"/>
  <c r="G7" i="14"/>
  <c r="E8" i="12"/>
  <c r="D49" i="14"/>
  <c r="D14" i="14"/>
  <c r="E8" i="11"/>
  <c r="E11" i="11" s="1"/>
  <c r="E13" i="9" s="1"/>
  <c r="D15" i="14"/>
  <c r="C15" i="11"/>
  <c r="H68" i="3"/>
  <c r="H77" i="3" s="1"/>
  <c r="H81" i="3" s="1"/>
  <c r="H9" i="8" s="1"/>
  <c r="H16" i="8"/>
  <c r="H18" i="8" s="1"/>
  <c r="C22" i="9"/>
  <c r="C10" i="12"/>
  <c r="C16" i="12" s="1"/>
  <c r="C26" i="12" s="1"/>
  <c r="C27" i="12" s="1"/>
  <c r="C29" i="12" s="1"/>
  <c r="D20" i="12"/>
  <c r="C44" i="13"/>
  <c r="G81" i="3"/>
  <c r="G9" i="8" s="1"/>
  <c r="C33" i="10"/>
  <c r="D13" i="9"/>
  <c r="G14" i="10"/>
  <c r="F48" i="14"/>
  <c r="G16" i="10"/>
  <c r="G22" i="10" s="1"/>
  <c r="G25" i="10" s="1"/>
  <c r="C8" i="15"/>
  <c r="C13" i="15" s="1"/>
  <c r="C22" i="11"/>
  <c r="D13" i="11"/>
  <c r="D20" i="11" s="1"/>
  <c r="D19" i="12"/>
  <c r="D12" i="12"/>
  <c r="D7" i="9"/>
  <c r="D9" i="9" s="1"/>
  <c r="C17" i="9"/>
  <c r="C34" i="14"/>
  <c r="C36" i="14" s="1"/>
  <c r="D44" i="14" s="1"/>
  <c r="D23" i="13"/>
  <c r="F17" i="13"/>
  <c r="F13" i="8"/>
  <c r="F20" i="8" s="1"/>
  <c r="F22" i="8" s="1"/>
  <c r="G18" i="8"/>
  <c r="H14" i="10"/>
  <c r="H16" i="10"/>
  <c r="H22" i="10" s="1"/>
  <c r="H25" i="10" s="1"/>
  <c r="G48" i="14"/>
  <c r="F8" i="11"/>
  <c r="F11" i="11" s="1"/>
  <c r="E8" i="14"/>
  <c r="F8" i="12"/>
  <c r="H11" i="13"/>
  <c r="F32" i="14"/>
  <c r="E49" i="14"/>
  <c r="E50" i="14"/>
  <c r="E51" i="14" s="1"/>
  <c r="E22" i="8"/>
  <c r="C62" i="15" l="1"/>
  <c r="C69" i="15" s="1"/>
  <c r="D16" i="9"/>
  <c r="D31" i="9" s="1"/>
  <c r="D15" i="11"/>
  <c r="D8" i="15"/>
  <c r="D22" i="11"/>
  <c r="G8" i="11"/>
  <c r="G11" i="11" s="1"/>
  <c r="F8" i="14"/>
  <c r="G8" i="12"/>
  <c r="C31" i="13"/>
  <c r="D34" i="10"/>
  <c r="E21" i="12" s="1"/>
  <c r="C36" i="10"/>
  <c r="F49" i="14"/>
  <c r="F50" i="14"/>
  <c r="F51" i="14" s="1"/>
  <c r="H17" i="13"/>
  <c r="H23" i="13" s="1"/>
  <c r="G14" i="14" s="1"/>
  <c r="H13" i="8"/>
  <c r="H20" i="8" s="1"/>
  <c r="E34" i="14"/>
  <c r="E36" i="14" s="1"/>
  <c r="E44" i="14" s="1"/>
  <c r="F23" i="13"/>
  <c r="G17" i="13"/>
  <c r="G13" i="8"/>
  <c r="G20" i="8" s="1"/>
  <c r="G22" i="8" s="1"/>
  <c r="G32" i="14"/>
  <c r="G16" i="14"/>
  <c r="F13" i="9"/>
  <c r="C15" i="14"/>
  <c r="C14" i="14"/>
  <c r="L7" i="15"/>
  <c r="M7" i="15" s="1"/>
  <c r="C15" i="15"/>
  <c r="C19" i="15"/>
  <c r="E13" i="11"/>
  <c r="E19" i="12"/>
  <c r="E12" i="12"/>
  <c r="E7" i="9"/>
  <c r="E9" i="9" s="1"/>
  <c r="E16" i="9" s="1"/>
  <c r="E17" i="9" s="1"/>
  <c r="G49" i="14"/>
  <c r="G50" i="14"/>
  <c r="G51" i="14" s="1"/>
  <c r="F13" i="11"/>
  <c r="F20" i="11" s="1"/>
  <c r="F12" i="12"/>
  <c r="F19" i="12"/>
  <c r="F7" i="9"/>
  <c r="F9" i="9" s="1"/>
  <c r="H8" i="11"/>
  <c r="H11" i="11" s="1"/>
  <c r="G8" i="14"/>
  <c r="H8" i="12"/>
  <c r="C28" i="9"/>
  <c r="C76" i="9" s="1"/>
  <c r="C37" i="13" s="1"/>
  <c r="D22" i="9"/>
  <c r="C71" i="15" l="1"/>
  <c r="C75" i="15"/>
  <c r="D17" i="9"/>
  <c r="L64" i="15"/>
  <c r="M64" i="15" s="1"/>
  <c r="N64" i="15" s="1"/>
  <c r="D10" i="12"/>
  <c r="D16" i="12" s="1"/>
  <c r="H22" i="8"/>
  <c r="H12" i="12" s="1"/>
  <c r="F16" i="9"/>
  <c r="F49" i="9" s="1"/>
  <c r="F8" i="15"/>
  <c r="E15" i="11"/>
  <c r="E20" i="11"/>
  <c r="G15" i="14"/>
  <c r="D30" i="13"/>
  <c r="C32" i="13"/>
  <c r="B30" i="15" s="1"/>
  <c r="G34" i="14"/>
  <c r="G36" i="14" s="1"/>
  <c r="G13" i="11"/>
  <c r="G20" i="11" s="1"/>
  <c r="G12" i="12"/>
  <c r="G19" i="12"/>
  <c r="G7" i="9"/>
  <c r="G9" i="9" s="1"/>
  <c r="F34" i="14"/>
  <c r="F36" i="14" s="1"/>
  <c r="F44" i="14" s="1"/>
  <c r="G23" i="13"/>
  <c r="H13" i="9"/>
  <c r="H25" i="9"/>
  <c r="D25" i="9"/>
  <c r="D28" i="9" s="1"/>
  <c r="E25" i="9"/>
  <c r="D24" i="9"/>
  <c r="G25" i="9"/>
  <c r="F25" i="9"/>
  <c r="N7" i="15"/>
  <c r="F15" i="11"/>
  <c r="E15" i="14"/>
  <c r="E14" i="14"/>
  <c r="C47" i="13"/>
  <c r="B29" i="15"/>
  <c r="E10" i="12"/>
  <c r="E16" i="12" s="1"/>
  <c r="E40" i="9"/>
  <c r="D34" i="9"/>
  <c r="D37" i="9" s="1"/>
  <c r="E31" i="9" s="1"/>
  <c r="E34" i="9"/>
  <c r="F34" i="9"/>
  <c r="D33" i="9"/>
  <c r="G34" i="9"/>
  <c r="H34" i="9"/>
  <c r="G13" i="9"/>
  <c r="C49" i="13" l="1"/>
  <c r="C51" i="13" s="1"/>
  <c r="G15" i="11"/>
  <c r="H19" i="12"/>
  <c r="H13" i="11"/>
  <c r="H20" i="11" s="1"/>
  <c r="H22" i="11" s="1"/>
  <c r="H7" i="9"/>
  <c r="H9" i="9" s="1"/>
  <c r="H16" i="9" s="1"/>
  <c r="H17" i="9" s="1"/>
  <c r="F17" i="9"/>
  <c r="F10" i="12"/>
  <c r="F16" i="12" s="1"/>
  <c r="G16" i="9"/>
  <c r="G17" i="9" s="1"/>
  <c r="G44" i="14"/>
  <c r="D76" i="9"/>
  <c r="D37" i="13" s="1"/>
  <c r="E22" i="9"/>
  <c r="E37" i="9"/>
  <c r="F31" i="9" s="1"/>
  <c r="E33" i="9"/>
  <c r="E8" i="15"/>
  <c r="G22" i="11"/>
  <c r="F22" i="11"/>
  <c r="E22" i="11"/>
  <c r="G8" i="15"/>
  <c r="E43" i="9"/>
  <c r="E46" i="9" s="1"/>
  <c r="F40" i="9" s="1"/>
  <c r="F43" i="9"/>
  <c r="G43" i="9"/>
  <c r="H43" i="9"/>
  <c r="E42" i="9"/>
  <c r="B31" i="15"/>
  <c r="C30" i="15" s="1"/>
  <c r="E30" i="15" s="1"/>
  <c r="D79" i="9"/>
  <c r="D22" i="12" s="1"/>
  <c r="D26" i="9"/>
  <c r="D27" i="9" s="1"/>
  <c r="D35" i="9"/>
  <c r="D36" i="9" s="1"/>
  <c r="F15" i="14"/>
  <c r="F14" i="14"/>
  <c r="F51" i="9"/>
  <c r="F52" i="9"/>
  <c r="G52" i="9"/>
  <c r="H52" i="9"/>
  <c r="H15" i="11" l="1"/>
  <c r="H8" i="15"/>
  <c r="D78" i="9"/>
  <c r="D26" i="10" s="1"/>
  <c r="D62" i="15" s="1"/>
  <c r="D69" i="15" s="1"/>
  <c r="E79" i="9"/>
  <c r="E22" i="12" s="1"/>
  <c r="G10" i="12"/>
  <c r="G16" i="12" s="1"/>
  <c r="G58" i="9"/>
  <c r="G60" i="9" s="1"/>
  <c r="F79" i="9"/>
  <c r="F22" i="12" s="1"/>
  <c r="F55" i="9"/>
  <c r="G49" i="9" s="1"/>
  <c r="G51" i="9" s="1"/>
  <c r="C29" i="15"/>
  <c r="F42" i="9"/>
  <c r="F46" i="9"/>
  <c r="G40" i="9" s="1"/>
  <c r="F37" i="9"/>
  <c r="G31" i="9" s="1"/>
  <c r="F33" i="9"/>
  <c r="E35" i="9"/>
  <c r="E36" i="9" s="1"/>
  <c r="E44" i="9"/>
  <c r="E45" i="9" s="1"/>
  <c r="F53" i="9"/>
  <c r="F54" i="9" s="1"/>
  <c r="H67" i="9"/>
  <c r="H10" i="12"/>
  <c r="E24" i="9"/>
  <c r="E28" i="9"/>
  <c r="B34" i="15"/>
  <c r="C24" i="14"/>
  <c r="D23" i="12" l="1"/>
  <c r="D25" i="12" s="1"/>
  <c r="D26" i="12" s="1"/>
  <c r="D27" i="12" s="1"/>
  <c r="D29" i="12" s="1"/>
  <c r="D28" i="10"/>
  <c r="D31" i="10" s="1"/>
  <c r="D32" i="10" s="1"/>
  <c r="H61" i="9"/>
  <c r="G55" i="9"/>
  <c r="H49" i="9" s="1"/>
  <c r="H55" i="9" s="1"/>
  <c r="G61" i="9"/>
  <c r="G79" i="9" s="1"/>
  <c r="G22" i="12" s="1"/>
  <c r="E76" i="9"/>
  <c r="E37" i="13" s="1"/>
  <c r="F22" i="9"/>
  <c r="G53" i="9"/>
  <c r="G54" i="9" s="1"/>
  <c r="F44" i="9"/>
  <c r="F45" i="9" s="1"/>
  <c r="E26" i="9"/>
  <c r="E27" i="9" s="1"/>
  <c r="H16" i="12"/>
  <c r="H69" i="9"/>
  <c r="H70" i="9"/>
  <c r="F35" i="9"/>
  <c r="F36" i="9" s="1"/>
  <c r="C31" i="15"/>
  <c r="E29" i="15"/>
  <c r="E31" i="15" s="1"/>
  <c r="C10" i="15" s="1"/>
  <c r="L65" i="15"/>
  <c r="M65" i="15" s="1"/>
  <c r="D71" i="15"/>
  <c r="D75" i="15"/>
  <c r="G62" i="9"/>
  <c r="G37" i="9"/>
  <c r="H31" i="9" s="1"/>
  <c r="G33" i="9"/>
  <c r="G42" i="9"/>
  <c r="G46" i="9"/>
  <c r="H40" i="9" s="1"/>
  <c r="H79" i="9" l="1"/>
  <c r="H22" i="12" s="1"/>
  <c r="E78" i="9"/>
  <c r="E26" i="10" s="1"/>
  <c r="E23" i="12" s="1"/>
  <c r="H51" i="9"/>
  <c r="H53" i="9" s="1"/>
  <c r="H54" i="9" s="1"/>
  <c r="G63" i="9"/>
  <c r="G64" i="9"/>
  <c r="H58" i="9" s="1"/>
  <c r="H64" i="9" s="1"/>
  <c r="E20" i="12"/>
  <c r="D44" i="13"/>
  <c r="H42" i="9"/>
  <c r="H46" i="9"/>
  <c r="D33" i="10"/>
  <c r="F24" i="9"/>
  <c r="F28" i="9"/>
  <c r="B39" i="15"/>
  <c r="D24" i="14"/>
  <c r="G35" i="9"/>
  <c r="G36" i="9" s="1"/>
  <c r="N65" i="15"/>
  <c r="H73" i="9"/>
  <c r="G44" i="9"/>
  <c r="G45" i="9" s="1"/>
  <c r="H33" i="9"/>
  <c r="H37" i="9"/>
  <c r="H71" i="9"/>
  <c r="H72" i="9" s="1"/>
  <c r="E62" i="15" l="1"/>
  <c r="E69" i="15" s="1"/>
  <c r="L66" i="15" s="1"/>
  <c r="M66" i="15" s="1"/>
  <c r="E28" i="10"/>
  <c r="E31" i="10" s="1"/>
  <c r="H60" i="9"/>
  <c r="H62" i="9" s="1"/>
  <c r="D31" i="13"/>
  <c r="E34" i="10"/>
  <c r="F21" i="12" s="1"/>
  <c r="D38" i="10"/>
  <c r="D36" i="10"/>
  <c r="C13" i="14"/>
  <c r="C9" i="14"/>
  <c r="H44" i="9"/>
  <c r="H45" i="9" s="1"/>
  <c r="C38" i="14"/>
  <c r="C39" i="14" s="1"/>
  <c r="C27" i="14"/>
  <c r="C28" i="14"/>
  <c r="D47" i="13"/>
  <c r="E25" i="12"/>
  <c r="E26" i="12" s="1"/>
  <c r="E27" i="12" s="1"/>
  <c r="E29" i="12" s="1"/>
  <c r="H35" i="9"/>
  <c r="H36" i="9" s="1"/>
  <c r="G22" i="9"/>
  <c r="F76" i="9"/>
  <c r="F37" i="13" s="1"/>
  <c r="F26" i="9"/>
  <c r="F27" i="9" s="1"/>
  <c r="E32" i="10" l="1"/>
  <c r="F20" i="12" s="1"/>
  <c r="E75" i="15"/>
  <c r="E71" i="15"/>
  <c r="H63" i="9"/>
  <c r="F78" i="9"/>
  <c r="F26" i="10" s="1"/>
  <c r="B44" i="15"/>
  <c r="E24" i="14"/>
  <c r="N66" i="15"/>
  <c r="G24" i="9"/>
  <c r="G28" i="9"/>
  <c r="C23" i="14"/>
  <c r="E30" i="13"/>
  <c r="D32" i="13"/>
  <c r="D49" i="13" s="1"/>
  <c r="D51" i="13" s="1"/>
  <c r="E33" i="10" l="1"/>
  <c r="D9" i="14" s="1"/>
  <c r="E44" i="13"/>
  <c r="D28" i="14" s="1"/>
  <c r="D52" i="13"/>
  <c r="E52" i="13"/>
  <c r="H22" i="9"/>
  <c r="G76" i="9"/>
  <c r="G37" i="13" s="1"/>
  <c r="G26" i="9"/>
  <c r="G78" i="9" s="1"/>
  <c r="G26" i="10" s="1"/>
  <c r="F23" i="12"/>
  <c r="F25" i="12" s="1"/>
  <c r="F26" i="12" s="1"/>
  <c r="F27" i="12" s="1"/>
  <c r="F29" i="12" s="1"/>
  <c r="F28" i="10"/>
  <c r="F31" i="10" s="1"/>
  <c r="F62" i="15"/>
  <c r="F69" i="15" s="1"/>
  <c r="B35" i="15"/>
  <c r="C21" i="14"/>
  <c r="C31" i="14"/>
  <c r="C33" i="14" s="1"/>
  <c r="C41" i="14" s="1"/>
  <c r="C22" i="14"/>
  <c r="C18" i="14"/>
  <c r="C17" i="14"/>
  <c r="D13" i="14" l="1"/>
  <c r="E36" i="10"/>
  <c r="F34" i="10"/>
  <c r="G21" i="12" s="1"/>
  <c r="E31" i="13"/>
  <c r="F30" i="13" s="1"/>
  <c r="D38" i="14"/>
  <c r="D39" i="14" s="1"/>
  <c r="D45" i="14" s="1"/>
  <c r="E47" i="13"/>
  <c r="D23" i="14" s="1"/>
  <c r="D27" i="14"/>
  <c r="G27" i="9"/>
  <c r="B49" i="15"/>
  <c r="F24" i="14"/>
  <c r="L67" i="15"/>
  <c r="M67" i="15" s="1"/>
  <c r="F75" i="15"/>
  <c r="F71" i="15"/>
  <c r="H28" i="9"/>
  <c r="H76" i="9" s="1"/>
  <c r="H37" i="13" s="1"/>
  <c r="H24" i="9"/>
  <c r="G23" i="12"/>
  <c r="G28" i="10"/>
  <c r="G31" i="10" s="1"/>
  <c r="G62" i="15"/>
  <c r="G69" i="15" s="1"/>
  <c r="L68" i="15" s="1"/>
  <c r="B36" i="15"/>
  <c r="C34" i="15" s="1"/>
  <c r="F32" i="10" l="1"/>
  <c r="F33" i="10" s="1"/>
  <c r="E9" i="14" s="1"/>
  <c r="E32" i="13"/>
  <c r="E49" i="13" s="1"/>
  <c r="C35" i="15"/>
  <c r="E35" i="15" s="1"/>
  <c r="G71" i="15"/>
  <c r="E34" i="15"/>
  <c r="H26" i="9"/>
  <c r="H27" i="9" s="1"/>
  <c r="G75" i="15"/>
  <c r="M68" i="15"/>
  <c r="N67" i="15"/>
  <c r="B54" i="15"/>
  <c r="G24" i="14"/>
  <c r="E13" i="14" l="1"/>
  <c r="F38" i="10"/>
  <c r="F44" i="13"/>
  <c r="E27" i="14" s="1"/>
  <c r="G34" i="10"/>
  <c r="G20" i="12"/>
  <c r="G25" i="12" s="1"/>
  <c r="G26" i="12" s="1"/>
  <c r="G27" i="12" s="1"/>
  <c r="G29" i="12" s="1"/>
  <c r="F36" i="10"/>
  <c r="F31" i="13"/>
  <c r="G30" i="13" s="1"/>
  <c r="D22" i="14"/>
  <c r="D17" i="14"/>
  <c r="D18" i="14"/>
  <c r="D31" i="14"/>
  <c r="D33" i="14" s="1"/>
  <c r="D41" i="14" s="1"/>
  <c r="D21" i="14"/>
  <c r="B40" i="15"/>
  <c r="B41" i="15" s="1"/>
  <c r="C39" i="15" s="1"/>
  <c r="H78" i="9"/>
  <c r="H26" i="10" s="1"/>
  <c r="H28" i="10" s="1"/>
  <c r="H31" i="10" s="1"/>
  <c r="E36" i="15"/>
  <c r="D10" i="15" s="1"/>
  <c r="D11" i="15" s="1"/>
  <c r="D13" i="15" s="1"/>
  <c r="C36" i="15"/>
  <c r="N68" i="15"/>
  <c r="E38" i="14" l="1"/>
  <c r="E39" i="14" s="1"/>
  <c r="E45" i="14" s="1"/>
  <c r="G32" i="10"/>
  <c r="G33" i="10" s="1"/>
  <c r="H21" i="12" s="1"/>
  <c r="F47" i="13"/>
  <c r="E23" i="14" s="1"/>
  <c r="E28" i="14"/>
  <c r="F32" i="13"/>
  <c r="E17" i="14" s="1"/>
  <c r="D43" i="14"/>
  <c r="H62" i="15"/>
  <c r="H69" i="15" s="1"/>
  <c r="H23" i="12"/>
  <c r="E39" i="15"/>
  <c r="C40" i="15"/>
  <c r="E40" i="15" s="1"/>
  <c r="L8" i="15"/>
  <c r="M8" i="15" s="1"/>
  <c r="D15" i="15"/>
  <c r="D19" i="15"/>
  <c r="G44" i="13" l="1"/>
  <c r="G47" i="13" s="1"/>
  <c r="H20" i="12"/>
  <c r="H25" i="12" s="1"/>
  <c r="H26" i="12" s="1"/>
  <c r="H27" i="12" s="1"/>
  <c r="H29" i="12" s="1"/>
  <c r="E18" i="14"/>
  <c r="E31" i="14"/>
  <c r="E33" i="14" s="1"/>
  <c r="E41" i="14" s="1"/>
  <c r="E21" i="14"/>
  <c r="B45" i="15"/>
  <c r="B46" i="15" s="1"/>
  <c r="C44" i="15" s="1"/>
  <c r="F49" i="13"/>
  <c r="E22" i="14"/>
  <c r="I62" i="15"/>
  <c r="I69" i="15" s="1"/>
  <c r="L70" i="15" s="1"/>
  <c r="N8" i="15"/>
  <c r="L69" i="15"/>
  <c r="M69" i="15" s="1"/>
  <c r="H71" i="15"/>
  <c r="H75" i="15"/>
  <c r="E41" i="15"/>
  <c r="E10" i="15" s="1"/>
  <c r="E11" i="15" s="1"/>
  <c r="G31" i="13"/>
  <c r="G36" i="10"/>
  <c r="G38" i="10"/>
  <c r="F9" i="14"/>
  <c r="F13" i="14"/>
  <c r="H34" i="10"/>
  <c r="H32" i="10" s="1"/>
  <c r="C41" i="15"/>
  <c r="F27" i="14" l="1"/>
  <c r="F28" i="14"/>
  <c r="F38" i="14"/>
  <c r="F39" i="14" s="1"/>
  <c r="F45" i="14" s="1"/>
  <c r="E43" i="14"/>
  <c r="I75" i="15"/>
  <c r="C77" i="15" s="1"/>
  <c r="I71" i="15"/>
  <c r="C73" i="15" s="1"/>
  <c r="E44" i="15"/>
  <c r="C45" i="15"/>
  <c r="E45" i="15" s="1"/>
  <c r="N69" i="15"/>
  <c r="C79" i="15" s="1"/>
  <c r="M70" i="15"/>
  <c r="N70" i="15" s="1"/>
  <c r="H44" i="13"/>
  <c r="H33" i="10"/>
  <c r="E13" i="15"/>
  <c r="H30" i="13"/>
  <c r="G32" i="13"/>
  <c r="G49" i="13" s="1"/>
  <c r="F23" i="14"/>
  <c r="E46" i="15" l="1"/>
  <c r="F10" i="15" s="1"/>
  <c r="F11" i="15" s="1"/>
  <c r="F13" i="15" s="1"/>
  <c r="H31" i="13"/>
  <c r="H32" i="13" s="1"/>
  <c r="H36" i="10"/>
  <c r="G9" i="14"/>
  <c r="G13" i="14"/>
  <c r="H38" i="10"/>
  <c r="G38" i="14"/>
  <c r="G39" i="14" s="1"/>
  <c r="G45" i="14" s="1"/>
  <c r="G27" i="14"/>
  <c r="G28" i="14"/>
  <c r="H47" i="13"/>
  <c r="B50" i="15"/>
  <c r="F22" i="14"/>
  <c r="F21" i="14"/>
  <c r="F31" i="14"/>
  <c r="F33" i="14" s="1"/>
  <c r="F18" i="14"/>
  <c r="F17" i="14"/>
  <c r="L9" i="15"/>
  <c r="M9" i="15" s="1"/>
  <c r="E15" i="15"/>
  <c r="E19" i="15"/>
  <c r="C46" i="15"/>
  <c r="L10" i="15" l="1"/>
  <c r="M10" i="15" s="1"/>
  <c r="F19" i="15"/>
  <c r="F15" i="15"/>
  <c r="B55" i="15"/>
  <c r="G22" i="14"/>
  <c r="G31" i="14"/>
  <c r="G33" i="14" s="1"/>
  <c r="G21" i="14"/>
  <c r="G18" i="14"/>
  <c r="G17" i="14"/>
  <c r="N9" i="15"/>
  <c r="B51" i="15"/>
  <c r="C49" i="15" s="1"/>
  <c r="H49" i="13"/>
  <c r="G23" i="14"/>
  <c r="F41" i="14"/>
  <c r="F43" i="14"/>
  <c r="G43" i="14" l="1"/>
  <c r="G41" i="14"/>
  <c r="N10" i="15"/>
  <c r="E49" i="15"/>
  <c r="C50" i="15"/>
  <c r="E50" i="15" s="1"/>
  <c r="B56" i="15"/>
  <c r="C54" i="15" s="1"/>
  <c r="E51" i="15" l="1"/>
  <c r="G10" i="15" s="1"/>
  <c r="G11" i="15" s="1"/>
  <c r="G13" i="15" s="1"/>
  <c r="C51" i="15"/>
  <c r="E54" i="15"/>
  <c r="C55" i="15"/>
  <c r="E55" i="15" s="1"/>
  <c r="E56" i="15" l="1"/>
  <c r="H10" i="15" s="1"/>
  <c r="I10" i="15" s="1"/>
  <c r="I8" i="15" s="1"/>
  <c r="L11" i="15"/>
  <c r="M11" i="15" s="1"/>
  <c r="G15" i="15"/>
  <c r="G19" i="15"/>
  <c r="C56" i="15"/>
  <c r="H11" i="15" l="1"/>
  <c r="I11" i="15" s="1"/>
  <c r="I13" i="15" s="1"/>
  <c r="N11" i="15"/>
  <c r="H13" i="15" l="1"/>
  <c r="H15" i="15" s="1"/>
  <c r="H19" i="15" l="1"/>
  <c r="I19" i="15"/>
  <c r="C21" i="15" s="1"/>
  <c r="I15" i="15"/>
  <c r="C17" i="15" s="1"/>
  <c r="L12" i="15"/>
  <c r="M12" i="15" s="1"/>
  <c r="N12" i="15" s="1"/>
  <c r="C23" i="15" s="1"/>
</calcChain>
</file>

<file path=xl/sharedStrings.xml><?xml version="1.0" encoding="utf-8"?>
<sst xmlns="http://schemas.openxmlformats.org/spreadsheetml/2006/main" count="593" uniqueCount="411">
  <si>
    <t>Regras de utilização</t>
  </si>
  <si>
    <t>Principais regras de utilização:</t>
  </si>
  <si>
    <r>
      <rPr>
        <sz val="10"/>
        <rFont val="ITC Zapf Dingbats"/>
        <family val="1"/>
      </rPr>
      <t>Ü</t>
    </r>
    <r>
      <rPr>
        <sz val="10"/>
        <rFont val="Arial Narrow"/>
        <family val="2"/>
      </rPr>
      <t xml:space="preserve"> Só devem ser inseridos valores nas células com fundo branco;</t>
    </r>
  </si>
  <si>
    <r>
      <rPr>
        <sz val="10"/>
        <rFont val="ITC Zapf Dingbats"/>
        <family val="1"/>
      </rPr>
      <t>Ü</t>
    </r>
    <r>
      <rPr>
        <sz val="10"/>
        <rFont val="Arial Narrow"/>
        <family val="2"/>
      </rPr>
      <t xml:space="preserve"> Os valores que se encontrem a azul, poderão ser alterados, mas dentro dos mesmos parâmetros;</t>
    </r>
  </si>
  <si>
    <r>
      <rPr>
        <sz val="10"/>
        <rFont val="ITC Zapf Dingbats"/>
        <family val="1"/>
      </rPr>
      <t>Ü</t>
    </r>
    <r>
      <rPr>
        <sz val="10"/>
        <rFont val="Arial Narrow"/>
        <family val="2"/>
      </rPr>
      <t xml:space="preserve"> A utilização deste modelo tem por base um trabalho prévio por parte do utilizador no que diz respeito à previsão de proveitos e de custos;</t>
    </r>
  </si>
  <si>
    <r>
      <rPr>
        <sz val="10"/>
        <rFont val="ITC Zapf Dingbats"/>
        <family val="1"/>
      </rPr>
      <t>Ü</t>
    </r>
    <r>
      <rPr>
        <sz val="10"/>
        <rFont val="Arial Narrow"/>
        <family val="2"/>
      </rPr>
      <t xml:space="preserve"> No caso de pretender efectuar uma análise de sensibilidade, utilize este mesmo modelo, mas com diferentes valores.</t>
    </r>
  </si>
  <si>
    <t>Passos para preenchimento:</t>
  </si>
  <si>
    <t>Colocar o nome da empresa na célula B1 na sheet de "Pressupostos";</t>
  </si>
  <si>
    <t>Estimar o volume de negócios da empresa, através das quantidades vendidas, preço de venda dos produtos e de prestação de serviços; Ver Mapa para situações em que não é possível determinar quantidades;</t>
  </si>
  <si>
    <t>Colocar na sheet CMVMC na célula correspondente, as margens brutas de negócio para cada um dos produtos vendidos;</t>
  </si>
  <si>
    <t>Na sheet FSE, estimar um valor médio mensal para cada umas das rubricas que se adaptem à empresa / negócio;</t>
  </si>
  <si>
    <t>Na sheet Custos Pessoal, definir os colaboradores (Gerência e Pessoal) da empresa e respectivas remunerações brutas mensais. Para além disto, definir, caso se aplique um valor para a formação e outros custos com pessoal;</t>
  </si>
  <si>
    <t>Posteriormente, definir o quadro de investimento da empresa / projecto na sheet de Investimentos, repartida pelas diferentes rubricas de investimento em activo fixo;</t>
  </si>
  <si>
    <t>Na sheet de Fundo Maneio, definir a Reserva de Segurança de Tesouraria. Esta rubrica representa um valor mínimo de disponibilidades a manter ao longo do projecto;</t>
  </si>
  <si>
    <t>Após a definição de todos estes pressupostos, estabelecer o valor de capital social inicial e eventuais aumentos, bem como o nível de suprimentos da empresa (sheet de Financiamento);</t>
  </si>
  <si>
    <t>Os inputs do modelo estão inseridos, sendo necessário apenas fazer o acerto de disponibilidades. Assim sendo, na sheet de Plano Financeiro utilizar a função "Ferramentas - Atingir Objectivo" de forma a que a linha de "Soma de Controlo" dê 0.</t>
  </si>
  <si>
    <t>Empresa:</t>
  </si>
  <si>
    <t>Pressupostos Gerais</t>
  </si>
  <si>
    <t>Unidade monetária</t>
  </si>
  <si>
    <t>(valores em euros)</t>
  </si>
  <si>
    <t>Prazo médio de Recebimento (dias) / (meses)</t>
  </si>
  <si>
    <t>Prazo médio de Pagamento (dias) / (meses)</t>
  </si>
  <si>
    <t>Prazo médio de Stockagem (dias) / (meses)</t>
  </si>
  <si>
    <t xml:space="preserve">Taxa de IVA - Vendas </t>
  </si>
  <si>
    <t>Taxa de IVA - Prestação Serviços</t>
  </si>
  <si>
    <t>Taxa de IVA - CMVMC</t>
  </si>
  <si>
    <t>Taxa de IVA - FSE</t>
  </si>
  <si>
    <t xml:space="preserve">Taxa média de IRS </t>
  </si>
  <si>
    <t>Taxa de IRC</t>
  </si>
  <si>
    <t>Taxa de distribuição dividendos</t>
  </si>
  <si>
    <t>Taxa de juro de empréstimo M/L Prazo</t>
  </si>
  <si>
    <t>Taxa de juro de empréstimo Curto Prazo</t>
  </si>
  <si>
    <t>Taxa de juro de activos sem risco - Rf</t>
  </si>
  <si>
    <r>
      <rPr>
        <sz val="8"/>
        <color indexed="12"/>
        <rFont val="Arial Narrow"/>
        <family val="2"/>
      </rPr>
      <t xml:space="preserve">NOTA: Quando não se aplica </t>
    </r>
    <r>
      <rPr>
        <i/>
        <u/>
        <sz val="8"/>
        <color indexed="12"/>
        <rFont val="Arial Narrow"/>
        <family val="2"/>
      </rPr>
      <t>Beta</t>
    </r>
    <r>
      <rPr>
        <sz val="8"/>
        <color indexed="12"/>
        <rFont val="Arial Narrow"/>
        <family val="2"/>
      </rPr>
      <t xml:space="preserve">, colocar: </t>
    </r>
  </si>
  <si>
    <t>Prémio de risco de mercado - (Rm-Rf)* ou pº</t>
  </si>
  <si>
    <r>
      <rPr>
        <sz val="8"/>
        <color indexed="12"/>
        <rFont val="Arial Narrow"/>
        <family val="2"/>
      </rPr>
      <t xml:space="preserve">   - O prémio de risco (</t>
    </r>
    <r>
      <rPr>
        <sz val="8"/>
        <rFont val="Arial Narrow"/>
        <family val="2"/>
      </rPr>
      <t>pº</t>
    </r>
    <r>
      <rPr>
        <sz val="8"/>
        <color indexed="12"/>
        <rFont val="Arial Narrow"/>
        <family val="2"/>
      </rPr>
      <t xml:space="preserve">) adequado ao projecto </t>
    </r>
  </si>
  <si>
    <t>Beta empresas equivalentes</t>
  </si>
  <si>
    <t xml:space="preserve">   - Beta = 100%</t>
  </si>
  <si>
    <t>Taxa de crescimento dos cash flows na perpetuidade</t>
  </si>
  <si>
    <t>==&gt; R(Tx actualização) = Rf + pº</t>
  </si>
  <si>
    <t>* Rendimento esperado de mercado</t>
  </si>
  <si>
    <t>s</t>
  </si>
  <si>
    <t>Volume de negócios</t>
  </si>
  <si>
    <t>Taxa de variação dos preços</t>
  </si>
  <si>
    <t>VENDAS - MERCADO NACIONAL</t>
  </si>
  <si>
    <t>Produto A *</t>
  </si>
  <si>
    <t>Quantidades vendidas</t>
  </si>
  <si>
    <t>Taxa de crescimento das unidades vendidas</t>
  </si>
  <si>
    <t xml:space="preserve">Preço Unitário </t>
  </si>
  <si>
    <t>Produto B *</t>
  </si>
  <si>
    <t>Produto C *</t>
  </si>
  <si>
    <t>Produto D *</t>
  </si>
  <si>
    <t xml:space="preserve">TOTAL </t>
  </si>
  <si>
    <t>VENDAS - EXPORTAÇÃO</t>
  </si>
  <si>
    <t>* Produtos / Familias de Produtos / Mercadorias</t>
  </si>
  <si>
    <t>NOTA: Caso não tenha conhecimento das quantidades, colocar o valor das vendas na linha das "Quantidades Vendidas" e o valor 1 na linha do "Preço Unitário".</t>
  </si>
  <si>
    <t>PRESTAÇÃO DE SERVIÇOS - MERCADO NACIONAL</t>
  </si>
  <si>
    <t>Serviço A</t>
  </si>
  <si>
    <t>Taxa de crescimento Serviço A</t>
  </si>
  <si>
    <t>Serviço B</t>
  </si>
  <si>
    <t>Taxa de crescimento Serviço B</t>
  </si>
  <si>
    <t>Serviço C</t>
  </si>
  <si>
    <t>Taxa de crescimento Serviço C</t>
  </si>
  <si>
    <t>Serviço D</t>
  </si>
  <si>
    <t>Taxa de crescimento Serviço D</t>
  </si>
  <si>
    <t>PRESTAÇÃO DE SERVIÇOS - EXPORTAÇÕES</t>
  </si>
  <si>
    <t>TOTAL VENDAS - MERCADO NACIONAL</t>
  </si>
  <si>
    <t>TOTAL VENDAS - EXPORTAÇÕES</t>
  </si>
  <si>
    <t>TOTAL VENDAS</t>
  </si>
  <si>
    <t>IVA VENDAS</t>
  </si>
  <si>
    <t>TOTAL PRESTAÇÃO DE SERVIÇOS - MERCADO NACIONAL</t>
  </si>
  <si>
    <t>TOTAL PRESTAÇÃO DE SERVIÇOS - EXPORTAÇÕES</t>
  </si>
  <si>
    <t>TOTAL PRESTAÇÕES SERVIÇOS</t>
  </si>
  <si>
    <t>IVA PRESTAÇÃO DE SERVIÇOS</t>
  </si>
  <si>
    <t>TOTAL VOLUME DE NEGÓCIOS</t>
  </si>
  <si>
    <t>IVA</t>
  </si>
  <si>
    <t>TOTAL VOLUME DE NEGÓCIOS + IVA</t>
  </si>
  <si>
    <t xml:space="preserve"> </t>
  </si>
  <si>
    <t>CMVMC - Custo das Mercadorias Vendidas e Matérias Consumidas</t>
  </si>
  <si>
    <t>CMVMC</t>
  </si>
  <si>
    <t>Margem Bruta</t>
  </si>
  <si>
    <t>Produto A</t>
  </si>
  <si>
    <t>Produto B</t>
  </si>
  <si>
    <t>Produto C</t>
  </si>
  <si>
    <t>Produto D</t>
  </si>
  <si>
    <t>TOTAL CMVMC</t>
  </si>
  <si>
    <t>TOTAL CMVMC + IVA</t>
  </si>
  <si>
    <t>NOTA: Mapa construído caso a caso:</t>
  </si>
  <si>
    <t>a) Introduzir a Margem Bruta, quando conhecida e passível de ser utilizada e efectuar a respectiva fórmula de cálculo;</t>
  </si>
  <si>
    <t>b) Efectuar os cálculos auxiliares considerados necessários para alcançar a o nível de matéria-prima por unidade produzida e introduzir manualmente os valores;</t>
  </si>
  <si>
    <t>c) Caso não seja possível alcançar o nível do consumo de matéria-prima por produto, introduzir o valor do custo total, após a realização dos respectivos cálculos auxiliares.</t>
  </si>
  <si>
    <t>NOTA 2: Está disponível uma folha para cálculos auxiliares. Contém mapas para cálculo do CMVMC de projectos industriais.</t>
  </si>
  <si>
    <t>FSE - Fornecimentos e Serviços Externos</t>
  </si>
  <si>
    <t>Nº Meses</t>
  </si>
  <si>
    <t>Taxa de crescimento</t>
  </si>
  <si>
    <t>Tx IVA</t>
  </si>
  <si>
    <t>CF</t>
  </si>
  <si>
    <t>CV</t>
  </si>
  <si>
    <t>Valor Mensal</t>
  </si>
  <si>
    <t>Subcontratos</t>
  </si>
  <si>
    <t>Electricidade</t>
  </si>
  <si>
    <t>Combustiveis</t>
  </si>
  <si>
    <t>Agua</t>
  </si>
  <si>
    <t>Outros Fluidos</t>
  </si>
  <si>
    <t>Ferramentas e Utensilios</t>
  </si>
  <si>
    <t>Livros e doc. técnica</t>
  </si>
  <si>
    <t>Material de escritório</t>
  </si>
  <si>
    <t>Artigos para oferta</t>
  </si>
  <si>
    <t>Rendas e alugueres</t>
  </si>
  <si>
    <t>Despesas de representação</t>
  </si>
  <si>
    <t>Comunicação</t>
  </si>
  <si>
    <t>Seguros</t>
  </si>
  <si>
    <t>Royalties</t>
  </si>
  <si>
    <t>Transportes de mercadorias</t>
  </si>
  <si>
    <t>Comissões</t>
  </si>
  <si>
    <t>Honorários</t>
  </si>
  <si>
    <t>Contencioso e notariado</t>
  </si>
  <si>
    <t>Conservação e reparação</t>
  </si>
  <si>
    <t>Publicidade e divulgação</t>
  </si>
  <si>
    <t>Limpeza, higiene e conforto</t>
  </si>
  <si>
    <t>Vigilância e segurança</t>
  </si>
  <si>
    <t>Trabalhos especializados</t>
  </si>
  <si>
    <t>Outros forn. e serviços</t>
  </si>
  <si>
    <t xml:space="preserve">TOTAL FSE  </t>
  </si>
  <si>
    <t>FSE - Custos Fixos</t>
  </si>
  <si>
    <t>FSE - Custos Variáveis</t>
  </si>
  <si>
    <t>TOTAL FSE</t>
  </si>
  <si>
    <t>FSE + IVA</t>
  </si>
  <si>
    <t>Custos com Pessoal</t>
  </si>
  <si>
    <t>Quadro de Colaboradores</t>
  </si>
  <si>
    <t>Rem. Base Mensal</t>
  </si>
  <si>
    <r>
      <rPr>
        <b/>
        <u/>
        <sz val="8"/>
        <rFont val="Arial Narrow"/>
        <family val="2"/>
      </rPr>
      <t>Gerência / Administração</t>
    </r>
    <r>
      <rPr>
        <sz val="8"/>
        <rFont val="Arial Narrow"/>
        <family val="2"/>
      </rPr>
      <t xml:space="preserve"> (nominal)</t>
    </r>
  </si>
  <si>
    <t>Sub-Total Remunerações</t>
  </si>
  <si>
    <t>Pessoal</t>
  </si>
  <si>
    <t>Categorias</t>
  </si>
  <si>
    <t>N.º de trabalhadores</t>
  </si>
  <si>
    <t>Rem. Base Média Mensal</t>
  </si>
  <si>
    <t>TOTAL Remunerações</t>
  </si>
  <si>
    <t>Nº de colaboradores (Incluindo Gerência)</t>
  </si>
  <si>
    <t>Outros Custos</t>
  </si>
  <si>
    <t>Segurança Social</t>
  </si>
  <si>
    <t>Gerência / Administração</t>
  </si>
  <si>
    <t>Outro Pessoal</t>
  </si>
  <si>
    <t>Seguros Acidentes de Trabalho</t>
  </si>
  <si>
    <t>Subsídio Alimentação</t>
  </si>
  <si>
    <t xml:space="preserve">Formação </t>
  </si>
  <si>
    <t>Outros custos com pessoal</t>
  </si>
  <si>
    <t>TOTAL OUTROS CUSTOS</t>
  </si>
  <si>
    <t>TOTAL CUSTOS PESSOAL</t>
  </si>
  <si>
    <t>QUADRO RESUMO</t>
  </si>
  <si>
    <t>Vencimentos</t>
  </si>
  <si>
    <t>Gerência/Administração</t>
  </si>
  <si>
    <t>Encargos</t>
  </si>
  <si>
    <t>Sub. Alimentação</t>
  </si>
  <si>
    <t>Retenções Colaboradores</t>
  </si>
  <si>
    <t>Retenção SS Colaborador</t>
  </si>
  <si>
    <t>Retenção IRS Colaborador</t>
  </si>
  <si>
    <t>TOTAL Retenções</t>
  </si>
  <si>
    <t>Investimento</t>
  </si>
  <si>
    <t>Investimento por ano*</t>
  </si>
  <si>
    <t>Imobilizado Incorpóreo</t>
  </si>
  <si>
    <t xml:space="preserve">   Despesas de Instalação</t>
  </si>
  <si>
    <t xml:space="preserve">   Propriedade Industrial e O. Direitos</t>
  </si>
  <si>
    <t xml:space="preserve">   Outras imobilizações incorpóreas</t>
  </si>
  <si>
    <t>Total Imobilizado Incorpóreo</t>
  </si>
  <si>
    <t>Imobilizado Corpóreo</t>
  </si>
  <si>
    <t xml:space="preserve">   Edifícios e outras construções</t>
  </si>
  <si>
    <t xml:space="preserve">   Equipamento básico</t>
  </si>
  <si>
    <t xml:space="preserve">   Equipamento de transporte</t>
  </si>
  <si>
    <t xml:space="preserve">   Ferramentas e utensílios e moldes</t>
  </si>
  <si>
    <t xml:space="preserve">   Equipamento administrativo</t>
  </si>
  <si>
    <t xml:space="preserve">   Outras imobilizações corpóreas</t>
  </si>
  <si>
    <t>Total Imobilizado Corpóreo</t>
  </si>
  <si>
    <t>TOTAL INVESTIMENTO</t>
  </si>
  <si>
    <t>*Deverão ser considerados, quando aplicável investimentos de reposição</t>
  </si>
  <si>
    <t>Valores Acumulados Balanço</t>
  </si>
  <si>
    <t xml:space="preserve">   Propriedade Industrial e O.Direitos</t>
  </si>
  <si>
    <t xml:space="preserve">   Edificios e outras construções</t>
  </si>
  <si>
    <t>TOTAL IMOBILIZADO</t>
  </si>
  <si>
    <t>Amortizações do Exercício</t>
  </si>
  <si>
    <t>Taxa</t>
  </si>
  <si>
    <t xml:space="preserve">   Despesas de instalação</t>
  </si>
  <si>
    <t>TOTAL AMORTIZAÇÕES</t>
  </si>
  <si>
    <t>Investimento em Fundo Maneio Necessário</t>
  </si>
  <si>
    <t xml:space="preserve">reserva de segurança de tesouraria, que representa o volume mínimo de disponibilidades necessário para a empresa enfrentar </t>
  </si>
  <si>
    <t>eventuais atrasos nos recebimentos de clientes e/ou eventuais antecipações não previstas dos pagamentos aos fornecedores</t>
  </si>
  <si>
    <t>Necessidades Fundo Maneio</t>
  </si>
  <si>
    <t>Reserva Segurança Tesouraria</t>
  </si>
  <si>
    <t>Clientes</t>
  </si>
  <si>
    <t>os clientes demoram um mês a pagar em média</t>
  </si>
  <si>
    <t>Existências</t>
  </si>
  <si>
    <t>os materiais ficam 15 dias em stock</t>
  </si>
  <si>
    <t>*</t>
  </si>
  <si>
    <t>TOTAL</t>
  </si>
  <si>
    <t>Recursos Fundo Maneio</t>
  </si>
  <si>
    <t>Fornecedores</t>
  </si>
  <si>
    <t>pagamos a 30 dias</t>
  </si>
  <si>
    <t>Estado</t>
  </si>
  <si>
    <t>o Iva +e entregue trimestralmente e a SS e o IRS retido é entregue no mês seguinte</t>
  </si>
  <si>
    <t>Fundo Maneio Necessário</t>
  </si>
  <si>
    <t>Investimento em Fundo de Maneio</t>
  </si>
  <si>
    <t>* A considerar caso seja necessário</t>
  </si>
  <si>
    <t>Financiamento</t>
  </si>
  <si>
    <t>Investimento = Capital Fixo + FMN</t>
  </si>
  <si>
    <t>Margem de segurança</t>
  </si>
  <si>
    <t>Necessidades de financiamento</t>
  </si>
  <si>
    <t>Fontes de Financiamento</t>
  </si>
  <si>
    <t>Meios Libertos</t>
  </si>
  <si>
    <t>Capitais Próprios</t>
  </si>
  <si>
    <t>Empréstimos de Sócios / Suprimentos</t>
  </si>
  <si>
    <t>Financiamento bancário e outras Inst. Crédito</t>
  </si>
  <si>
    <t>Ano 0</t>
  </si>
  <si>
    <t>Capital em dívida (início período)</t>
  </si>
  <si>
    <t>Taxa de Juro</t>
  </si>
  <si>
    <t>Juro Anual</t>
  </si>
  <si>
    <t>Reembolso Anual</t>
  </si>
  <si>
    <t>Imposto Selo (0,4%)</t>
  </si>
  <si>
    <t>Serviço da dívida</t>
  </si>
  <si>
    <t>Valor em dívida</t>
  </si>
  <si>
    <t>Ano 1</t>
  </si>
  <si>
    <t>Ano 2</t>
  </si>
  <si>
    <t>Valor em divida</t>
  </si>
  <si>
    <t>Ano 3</t>
  </si>
  <si>
    <t>Ano 4</t>
  </si>
  <si>
    <t>Ano 5</t>
  </si>
  <si>
    <t>Capital em dívida</t>
  </si>
  <si>
    <t>Juros pagos com Imposto Selo incluído</t>
  </si>
  <si>
    <t>Reembolso</t>
  </si>
  <si>
    <t>Demonstração de Resultados Previsional</t>
  </si>
  <si>
    <t xml:space="preserve">Vendas </t>
  </si>
  <si>
    <t>Prestações de Serviços</t>
  </si>
  <si>
    <t>Volume de Negócios</t>
  </si>
  <si>
    <t>(-) Variação da Produção</t>
  </si>
  <si>
    <t>Outros custos variáveis (FSE)</t>
  </si>
  <si>
    <t>Margem Bruta de Contribuição</t>
  </si>
  <si>
    <t>FSE- Custos Fixos</t>
  </si>
  <si>
    <t>Resultado Económico</t>
  </si>
  <si>
    <t>Impostos</t>
  </si>
  <si>
    <t>Custos com o Pessoal</t>
  </si>
  <si>
    <t>% de Vendas</t>
  </si>
  <si>
    <t>Outros Custos Operacionais</t>
  </si>
  <si>
    <t>Outros Proveitos Operacionais</t>
  </si>
  <si>
    <t>EBITDA</t>
  </si>
  <si>
    <t>Amortizações</t>
  </si>
  <si>
    <t>Provisões</t>
  </si>
  <si>
    <t>EBIT</t>
  </si>
  <si>
    <t>Custos Financeiros</t>
  </si>
  <si>
    <t>Proveitos Financeiros</t>
  </si>
  <si>
    <t>RESULTADO FINANCEIRO</t>
  </si>
  <si>
    <t>Custos Extraordinários</t>
  </si>
  <si>
    <t>Proveitos Extraordinários</t>
  </si>
  <si>
    <t>RAI</t>
  </si>
  <si>
    <t>Impostos sobre os lucros</t>
  </si>
  <si>
    <t xml:space="preserve">RESULTADO LÍQUIDO </t>
  </si>
  <si>
    <t>% DOS CUSTOS DE ESTRUTURA S/VN</t>
  </si>
  <si>
    <t>% DO RESULTADO LÍQUIDO S/VN</t>
  </si>
  <si>
    <t>Mapa de Cash Flows Operacionais</t>
  </si>
  <si>
    <t>Meios Libertos do Projecto</t>
  </si>
  <si>
    <t>Resultados Operacionais (EBIT) x (1-IRC)</t>
  </si>
  <si>
    <t>Amortizações do exercício</t>
  </si>
  <si>
    <t>Provisões do exercício</t>
  </si>
  <si>
    <t>Investim./Desinvest. em Fundo Maneio</t>
  </si>
  <si>
    <t xml:space="preserve">   Fundo de Maneio</t>
  </si>
  <si>
    <t>CASH FLOW de Exploração</t>
  </si>
  <si>
    <t>Investim./Desinvest. em Capital Fixo</t>
  </si>
  <si>
    <t xml:space="preserve">   Capital Fixo</t>
  </si>
  <si>
    <t>Free cash-flow</t>
  </si>
  <si>
    <t>CASH FLOW acumulado</t>
  </si>
  <si>
    <t>Plano de Financiamento</t>
  </si>
  <si>
    <t>ORIGENS DE FUNDOS</t>
  </si>
  <si>
    <t>Meios Libertos Brutos</t>
  </si>
  <si>
    <t>Capital Social (entrada de fundos)</t>
  </si>
  <si>
    <t>Empréstimos Obtidos</t>
  </si>
  <si>
    <t>Desinvest. em Capital Fixo</t>
  </si>
  <si>
    <t>Desinvest. em FMN</t>
  </si>
  <si>
    <t>Empréstimos de sócios / suprimentos</t>
  </si>
  <si>
    <t>Total das Origens</t>
  </si>
  <si>
    <t>APLICAÇÕES DE FUNDOS</t>
  </si>
  <si>
    <t>Inv. Capital Fixo</t>
  </si>
  <si>
    <t>Inv Fundo de Maneio</t>
  </si>
  <si>
    <t xml:space="preserve">Imposto sobre os Lucros </t>
  </si>
  <si>
    <t xml:space="preserve">Pagamento de Dividendos </t>
  </si>
  <si>
    <t>Reembolso de Empréstimos</t>
  </si>
  <si>
    <t>Encargos Financeiros</t>
  </si>
  <si>
    <t>Total das Aplicações</t>
  </si>
  <si>
    <t>Saldo de Tesouraria Anual</t>
  </si>
  <si>
    <t>Saldo de Tesouraria Acumulado</t>
  </si>
  <si>
    <t>Aplicações / Empréstimo Curto Prazo</t>
  </si>
  <si>
    <t>Soma Controlo</t>
  </si>
  <si>
    <t>Balanço Previsional</t>
  </si>
  <si>
    <t>ACTIVO</t>
  </si>
  <si>
    <t>Imobilizado</t>
  </si>
  <si>
    <t>Amortizações Acumuladas</t>
  </si>
  <si>
    <t>Matérias Primas e Subsidiárias</t>
  </si>
  <si>
    <t>Produtos Acabados e em Curso</t>
  </si>
  <si>
    <t>Mercadorias</t>
  </si>
  <si>
    <t>Créditos de curto prazo</t>
  </si>
  <si>
    <t>Dívidas de Clientes</t>
  </si>
  <si>
    <t>Estado e Outros Entes Públicos</t>
  </si>
  <si>
    <t>Outros devedores</t>
  </si>
  <si>
    <t>Disponibilidades</t>
  </si>
  <si>
    <t>Aplicações Financeiras</t>
  </si>
  <si>
    <t>Acréscimos e Diferimentos</t>
  </si>
  <si>
    <t>TOTAL ACTIVO</t>
  </si>
  <si>
    <t>CAPITAL PRÓPRIO</t>
  </si>
  <si>
    <t>Capital Social</t>
  </si>
  <si>
    <t>Suprimentos</t>
  </si>
  <si>
    <t>Prestações Suplementares</t>
  </si>
  <si>
    <t>Reservas de reavaliação</t>
  </si>
  <si>
    <t>Reservas e Resultados Transitados</t>
  </si>
  <si>
    <t>Resultados Líquidos</t>
  </si>
  <si>
    <t>TOTAL CAPITAIS PRÓPRIOS</t>
  </si>
  <si>
    <t>PASSIVO</t>
  </si>
  <si>
    <t>Provisão para impostos</t>
  </si>
  <si>
    <t>Dívidas a 3º - M/L Prazo</t>
  </si>
  <si>
    <t>Dívidas a Instituições de Crédito</t>
  </si>
  <si>
    <t>Dívidas a Fornecedores de Imob</t>
  </si>
  <si>
    <t>Outros credores</t>
  </si>
  <si>
    <t>Dívidas a 3º - Curto Prazo</t>
  </si>
  <si>
    <t>Dívidas a Fornecedores</t>
  </si>
  <si>
    <t>TOTAL PASSIVO</t>
  </si>
  <si>
    <t>TOTAL PASSIVO + CAPITAIS PRÓPRIOS</t>
  </si>
  <si>
    <t>Principais Indicadores</t>
  </si>
  <si>
    <t>INDICADORES ECONÓMICOS</t>
  </si>
  <si>
    <t>Taxa de Crescimento do Negócio</t>
  </si>
  <si>
    <t>Eficiência Operacional</t>
  </si>
  <si>
    <t>Margem Operacional das Vendas</t>
  </si>
  <si>
    <t>Rentabilidade Líquida das Vendas</t>
  </si>
  <si>
    <t>Peso dos Custos c/Pessoal nos PO</t>
  </si>
  <si>
    <t>INDICADORES ECONÓMICOS - FINANCEIROS</t>
  </si>
  <si>
    <t>Return On Investment (ROI)</t>
  </si>
  <si>
    <t>Rendibilidade do Activo</t>
  </si>
  <si>
    <t>Rotação do Activo</t>
  </si>
  <si>
    <t>Rotação do Imobilizado</t>
  </si>
  <si>
    <t>Rendibilidade dos Capitais Próprios (ROE)</t>
  </si>
  <si>
    <t>Rotação dos Capitais Próprios</t>
  </si>
  <si>
    <t xml:space="preserve">    Measures the firm’s profit per  dollar of sales revenue.</t>
  </si>
  <si>
    <t>INDICADORES FINANCEIROS</t>
  </si>
  <si>
    <t>Autonomia Financeira</t>
  </si>
  <si>
    <t>Solvabilidade Total</t>
  </si>
  <si>
    <t>Endividamento Total</t>
  </si>
  <si>
    <t>Measures solvency by showing the firm's ability to pay current liabilities out of current assets.</t>
  </si>
  <si>
    <t>INDICADORES DE LIQUIDEZ</t>
  </si>
  <si>
    <t>Liquidez Geral</t>
  </si>
  <si>
    <t>Liquidez Reduzida</t>
  </si>
  <si>
    <t>ANÁLISE DO EQUILÍBRIO FINANCEIRO</t>
  </si>
  <si>
    <t>Capitais Permanentes</t>
  </si>
  <si>
    <t>Activo Fixo</t>
  </si>
  <si>
    <t>FUNDO DE MANEIO LÍQUIDO</t>
  </si>
  <si>
    <t xml:space="preserve">   Shows the extent to which the firm’s most liquid assets cover its current liabilities</t>
  </si>
  <si>
    <t>Necessidades Cíclicas</t>
  </si>
  <si>
    <t>Recursos Cíclicos</t>
  </si>
  <si>
    <t>NECESSIDADES FUNDO DE MANEIO</t>
  </si>
  <si>
    <t>Tesouraria Activa</t>
  </si>
  <si>
    <t>Tesouraria Passiva</t>
  </si>
  <si>
    <t>TESOURARIA LÍQUIDA</t>
  </si>
  <si>
    <t>CONTROLO : TRL = FML - NFM</t>
  </si>
  <si>
    <t>Variação do FML</t>
  </si>
  <si>
    <t>Variação das NFM</t>
  </si>
  <si>
    <t>Variação da TRL</t>
  </si>
  <si>
    <t>INDICADORES DE RISCO NEGÓCIO</t>
  </si>
  <si>
    <t>Grau de Alavanca Operacional</t>
  </si>
  <si>
    <t>Ponto Crítico</t>
  </si>
  <si>
    <t>Custos Fixos) = Pessoal + FSEfixo+Amortizações</t>
  </si>
  <si>
    <t>Margem de Segurança</t>
  </si>
  <si>
    <t>Custos Variavies) = CMVMV + FSEvariavel</t>
  </si>
  <si>
    <t>Custos Totais / Volume de vendas = Ponto critico (em euros)</t>
  </si>
  <si>
    <t>Avaliação do Projecto / Empresa</t>
  </si>
  <si>
    <t>Na perspectiva do Projecto</t>
  </si>
  <si>
    <t>CF Acum</t>
  </si>
  <si>
    <t>Free Cash Flow to Firm</t>
  </si>
  <si>
    <t>WACC</t>
  </si>
  <si>
    <t>Factor de actualização</t>
  </si>
  <si>
    <t>Fluxos actualizados</t>
  </si>
  <si>
    <t>Valor Actual Líquido (VAL)</t>
  </si>
  <si>
    <t>Taxa Interna de Rentibilidade</t>
  </si>
  <si>
    <t>Pay Back period</t>
  </si>
  <si>
    <t>Anos</t>
  </si>
  <si>
    <t>Peso</t>
  </si>
  <si>
    <t>Custo</t>
  </si>
  <si>
    <t>Custo ponderado</t>
  </si>
  <si>
    <t>Passivo Médio e Longo Prazo</t>
  </si>
  <si>
    <t>Capital Próprio</t>
  </si>
  <si>
    <t>Na perspectiva do Investidor</t>
  </si>
  <si>
    <t>Free Cash Flow do Equity</t>
  </si>
  <si>
    <t>Taxa de juro de activos sem risco</t>
  </si>
  <si>
    <t>Prémio de risco de mercado</t>
  </si>
  <si>
    <t>Taxa de Actualização</t>
  </si>
  <si>
    <t>Factor actualização</t>
  </si>
  <si>
    <t>Fluxos Actualizados</t>
  </si>
  <si>
    <t>Ano 6</t>
  </si>
  <si>
    <t>Cálculos Auxiliares</t>
  </si>
  <si>
    <t>Consumo de Unidades de Matérias-Primas por Unidade de Produto Acabado</t>
  </si>
  <si>
    <t>Matérias Primas e Subsidiárias (descriminação)</t>
  </si>
  <si>
    <t>Unidade de Medida</t>
  </si>
  <si>
    <t>Produção (em Quantidades)</t>
  </si>
  <si>
    <t>Unidades físicas</t>
  </si>
  <si>
    <t>Produtos</t>
  </si>
  <si>
    <t>Consumo de Matérias Primas 1*</t>
  </si>
  <si>
    <t>Preço das Matérias Primas e Subsidiárias</t>
  </si>
  <si>
    <t xml:space="preserve">Matérias Primas e Subsidiárias </t>
  </si>
  <si>
    <t>Valor do consumo 2*</t>
  </si>
  <si>
    <t>1* obtido da  multiplicação da produção pelo consumo de matéria prima por unidade de produto acabado.</t>
  </si>
  <si>
    <t>2* obtido da multiplicação do consumo das matérias-primas pelo preço.</t>
  </si>
  <si>
    <t>Herbawatter</t>
  </si>
  <si>
    <t>Deslocações e estadias</t>
  </si>
  <si>
    <t>David Gonçalves</t>
  </si>
  <si>
    <t>Rúben Tadeia</t>
  </si>
  <si>
    <t>Guilherme Vierira</t>
  </si>
  <si>
    <t>Operadores</t>
  </si>
  <si>
    <t>Administrativos/auxiliares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</si>
</sst>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0.0"/>
    <numFmt numFmtId="165" formatCode="0.0%"/>
    <numFmt numFmtId="166" formatCode="#,##0_ ;[Red]\-#,##0\ "/>
    <numFmt numFmtId="167" formatCode="#,##0.0"/>
    <numFmt numFmtId="168" formatCode="#,##0.00_ ;[Red]\-#,##0.00\ "/>
    <numFmt numFmtId="169" formatCode="0_ ;[Red]\-0\ "/>
    <numFmt numFmtId="170" formatCode="#,##0;[Red]\-#,##0"/>
    <numFmt numFmtId="171" formatCode="mmm&quot;/YY&quot;;@"/>
    <numFmt numFmtId="172" formatCode="_-* #,##0.00&quot; €&quot;_-;\-* #,##0.00&quot; €&quot;_-;_-* \-??&quot; €&quot;_-;_-@_-"/>
    <numFmt numFmtId="173" formatCode="#,##0_ ;\-#,##0\ "/>
    <numFmt numFmtId="174" formatCode="_-* #,##0.00\ _€_-;\-* #,##0.00\ _€_-;_-* \-??\ _€_-;_-@_-"/>
    <numFmt numFmtId="175" formatCode="#,##0.00;[Red]\-#,##0.00"/>
    <numFmt numFmtId="176" formatCode="0.000"/>
    <numFmt numFmtId="177" formatCode="\$#,##0.00_);[Red]&quot;($&quot;#,##0.00\)"/>
  </numFmts>
  <fonts count="33">
    <font>
      <sz val="10"/>
      <name val="Tahoma"/>
      <family val="2"/>
    </font>
    <font>
      <sz val="10"/>
      <name val="Arial"/>
      <family val="2"/>
    </font>
    <font>
      <sz val="8"/>
      <name val="Arial Narrow"/>
      <family val="2"/>
    </font>
    <font>
      <b/>
      <sz val="8"/>
      <color indexed="32"/>
      <name val="Arial Narrow"/>
      <family val="2"/>
    </font>
    <font>
      <b/>
      <u/>
      <sz val="10"/>
      <name val="Arial Narrow"/>
      <family val="2"/>
    </font>
    <font>
      <sz val="10"/>
      <name val="ITC Zapf Dingbats"/>
      <family val="1"/>
    </font>
    <font>
      <sz val="10"/>
      <name val="Arial Narrow"/>
      <family val="2"/>
    </font>
    <font>
      <b/>
      <sz val="8"/>
      <name val="Arial Narrow"/>
      <family val="2"/>
    </font>
    <font>
      <b/>
      <sz val="10"/>
      <color indexed="9"/>
      <name val="Arial Narrow"/>
      <family val="2"/>
    </font>
    <font>
      <sz val="10"/>
      <color indexed="9"/>
      <name val="Arial Narrow"/>
      <family val="2"/>
    </font>
    <font>
      <sz val="8"/>
      <color indexed="27"/>
      <name val="Arial Narrow"/>
      <family val="2"/>
    </font>
    <font>
      <sz val="8"/>
      <color indexed="25"/>
      <name val="Arial Narrow"/>
      <family val="2"/>
    </font>
    <font>
      <sz val="8"/>
      <color indexed="12"/>
      <name val="Arial Narrow"/>
      <family val="2"/>
    </font>
    <font>
      <i/>
      <u/>
      <sz val="8"/>
      <color indexed="12"/>
      <name val="Arial Narrow"/>
      <family val="2"/>
    </font>
    <font>
      <sz val="8"/>
      <name val="ITC Zapf Dingbats"/>
      <family val="1"/>
    </font>
    <font>
      <sz val="8"/>
      <name val="Trebuchet MS"/>
      <family val="2"/>
    </font>
    <font>
      <sz val="8"/>
      <color indexed="9"/>
      <name val="Arial Narrow"/>
      <family val="2"/>
    </font>
    <font>
      <b/>
      <sz val="8"/>
      <color indexed="9"/>
      <name val="Arial Narrow"/>
      <family val="2"/>
    </font>
    <font>
      <sz val="8"/>
      <color indexed="23"/>
      <name val="Arial Narrow"/>
      <family val="2"/>
    </font>
    <font>
      <b/>
      <sz val="8"/>
      <color indexed="12"/>
      <name val="Arial Narrow"/>
      <family val="2"/>
    </font>
    <font>
      <b/>
      <u/>
      <sz val="8"/>
      <name val="Arial Narrow"/>
      <family val="2"/>
    </font>
    <font>
      <b/>
      <i/>
      <u/>
      <sz val="8"/>
      <name val="Arial Narrow"/>
      <family val="2"/>
    </font>
    <font>
      <i/>
      <sz val="8"/>
      <name val="Arial Narrow"/>
      <family val="2"/>
    </font>
    <font>
      <u/>
      <sz val="8"/>
      <name val="Arial Narrow"/>
      <family val="2"/>
    </font>
    <font>
      <b/>
      <i/>
      <sz val="8"/>
      <name val="Arial Narrow"/>
      <family val="2"/>
    </font>
    <font>
      <b/>
      <sz val="8"/>
      <color indexed="23"/>
      <name val="Arial Narrow"/>
      <family val="2"/>
    </font>
    <font>
      <sz val="8"/>
      <color indexed="49"/>
      <name val="Arial Narrow"/>
      <family val="2"/>
    </font>
    <font>
      <sz val="8"/>
      <color indexed="62"/>
      <name val="Arial Narrow"/>
      <family val="2"/>
    </font>
    <font>
      <sz val="8"/>
      <name val="Tahoma"/>
      <family val="2"/>
    </font>
    <font>
      <b/>
      <sz val="8"/>
      <name val="Arial"/>
      <family val="2"/>
    </font>
    <font>
      <sz val="12"/>
      <color indexed="63"/>
      <name val="Arial"/>
      <family val="2"/>
    </font>
    <font>
      <sz val="12"/>
      <name val="Arial Narrow"/>
      <family val="2"/>
    </font>
    <font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32"/>
        <bgColor indexed="18"/>
      </patternFill>
    </fill>
    <fill>
      <patternFill patternType="solid">
        <fgColor indexed="31"/>
        <bgColor indexed="42"/>
      </patternFill>
    </fill>
    <fill>
      <patternFill patternType="solid">
        <fgColor indexed="23"/>
        <bgColor indexed="55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3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double">
        <color indexed="22"/>
      </top>
      <bottom/>
      <diagonal/>
    </border>
    <border>
      <left/>
      <right/>
      <top style="double">
        <color indexed="22"/>
      </top>
      <bottom/>
      <diagonal/>
    </border>
    <border>
      <left/>
      <right/>
      <top/>
      <bottom style="double">
        <color indexed="22"/>
      </bottom>
      <diagonal/>
    </border>
    <border>
      <left/>
      <right style="thin">
        <color indexed="22"/>
      </right>
      <top style="double">
        <color indexed="22"/>
      </top>
      <bottom style="double">
        <color indexed="22"/>
      </bottom>
      <diagonal/>
    </border>
    <border>
      <left/>
      <right style="thin">
        <color indexed="22"/>
      </right>
      <top/>
      <bottom style="double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double">
        <color indexed="22"/>
      </bottom>
      <diagonal/>
    </border>
    <border>
      <left/>
      <right style="thin">
        <color indexed="22"/>
      </right>
      <top style="thin">
        <color indexed="22"/>
      </top>
      <bottom style="double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double">
        <color indexed="22"/>
      </top>
      <bottom style="double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59"/>
      </left>
      <right/>
      <top/>
      <bottom/>
      <diagonal/>
    </border>
    <border>
      <left style="thin">
        <color indexed="59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59"/>
      </bottom>
      <diagonal/>
    </border>
    <border>
      <left style="thin">
        <color indexed="22"/>
      </left>
      <right style="thin">
        <color indexed="22"/>
      </right>
      <top style="thin">
        <color indexed="59"/>
      </top>
      <bottom style="thin">
        <color indexed="59"/>
      </bottom>
      <diagonal/>
    </border>
    <border>
      <left style="medium">
        <color indexed="63"/>
      </left>
      <right/>
      <top style="medium">
        <color indexed="63"/>
      </top>
      <bottom style="medium">
        <color indexed="63"/>
      </bottom>
      <diagonal/>
    </border>
    <border>
      <left style="thin">
        <color indexed="22"/>
      </left>
      <right style="thin">
        <color indexed="22"/>
      </right>
      <top style="medium">
        <color indexed="63"/>
      </top>
      <bottom style="medium">
        <color indexed="63"/>
      </bottom>
      <diagonal/>
    </border>
    <border>
      <left style="thin">
        <color indexed="22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3"/>
      </right>
      <top style="thin">
        <color indexed="22"/>
      </top>
      <bottom style="thin">
        <color indexed="22"/>
      </bottom>
      <diagonal/>
    </border>
    <border>
      <left style="medium">
        <color indexed="63"/>
      </left>
      <right/>
      <top style="thin">
        <color indexed="22"/>
      </top>
      <bottom style="medium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3"/>
      </bottom>
      <diagonal/>
    </border>
    <border>
      <left style="thin">
        <color indexed="22"/>
      </left>
      <right style="medium">
        <color indexed="63"/>
      </right>
      <top style="thin">
        <color indexed="22"/>
      </top>
      <bottom style="medium">
        <color indexed="63"/>
      </bottom>
      <diagonal/>
    </border>
    <border>
      <left style="medium">
        <color indexed="63"/>
      </left>
      <right/>
      <top style="thin">
        <color indexed="22"/>
      </top>
      <bottom/>
      <diagonal/>
    </border>
    <border>
      <left style="thin">
        <color indexed="22"/>
      </left>
      <right style="medium">
        <color indexed="63"/>
      </right>
      <top style="thin">
        <color indexed="22"/>
      </top>
      <bottom/>
      <diagonal/>
    </border>
    <border>
      <left style="medium">
        <color indexed="63"/>
      </left>
      <right/>
      <top/>
      <bottom style="medium">
        <color indexed="63"/>
      </bottom>
      <diagonal/>
    </border>
    <border>
      <left style="thin">
        <color indexed="22"/>
      </left>
      <right style="thin">
        <color indexed="22"/>
      </right>
      <top/>
      <bottom style="medium">
        <color indexed="63"/>
      </bottom>
      <diagonal/>
    </border>
    <border>
      <left style="thin">
        <color indexed="22"/>
      </left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3"/>
      </right>
      <top/>
      <bottom style="thin">
        <color indexed="22"/>
      </bottom>
      <diagonal/>
    </border>
    <border>
      <left style="medium">
        <color indexed="63"/>
      </left>
      <right/>
      <top/>
      <bottom/>
      <diagonal/>
    </border>
    <border>
      <left/>
      <right style="medium">
        <color indexed="63"/>
      </right>
      <top/>
      <bottom/>
      <diagonal/>
    </border>
    <border>
      <left/>
      <right/>
      <top style="thin">
        <color indexed="59"/>
      </top>
      <bottom/>
      <diagonal/>
    </border>
  </borders>
  <cellStyleXfs count="5">
    <xf numFmtId="0" fontId="0" fillId="0" borderId="0"/>
    <xf numFmtId="174" fontId="32" fillId="0" borderId="0" applyFill="0" applyBorder="0" applyAlignment="0" applyProtection="0"/>
    <xf numFmtId="172" fontId="32" fillId="0" borderId="0" applyFill="0" applyBorder="0" applyAlignment="0" applyProtection="0"/>
    <xf numFmtId="9" fontId="32" fillId="0" borderId="0" applyFill="0" applyBorder="0" applyAlignment="0"/>
    <xf numFmtId="0" fontId="1" fillId="0" borderId="0"/>
  </cellStyleXfs>
  <cellXfs count="392">
    <xf numFmtId="0" fontId="0" fillId="0" borderId="0" xfId="0"/>
    <xf numFmtId="0" fontId="1" fillId="0" borderId="0" xfId="4" applyProtection="1">
      <protection hidden="1"/>
    </xf>
    <xf numFmtId="0" fontId="2" fillId="0" borderId="0" xfId="4" applyFont="1" applyProtection="1">
      <protection hidden="1"/>
    </xf>
    <xf numFmtId="0" fontId="4" fillId="0" borderId="0" xfId="4" applyFont="1" applyProtection="1">
      <protection hidden="1"/>
    </xf>
    <xf numFmtId="0" fontId="6" fillId="2" borderId="0" xfId="4" applyFont="1" applyFill="1" applyBorder="1" applyProtection="1">
      <protection hidden="1"/>
    </xf>
    <xf numFmtId="0" fontId="2" fillId="2" borderId="0" xfId="4" applyFont="1" applyFill="1" applyBorder="1" applyProtection="1">
      <protection hidden="1"/>
    </xf>
    <xf numFmtId="0" fontId="4" fillId="2" borderId="0" xfId="4" applyFont="1" applyFill="1" applyBorder="1" applyProtection="1">
      <protection hidden="1"/>
    </xf>
    <xf numFmtId="0" fontId="7" fillId="3" borderId="2" xfId="4" applyFont="1" applyFill="1" applyBorder="1" applyAlignment="1" applyProtection="1">
      <alignment horizontal="center" vertical="center"/>
      <protection hidden="1"/>
    </xf>
    <xf numFmtId="0" fontId="6" fillId="2" borderId="0" xfId="4" applyFont="1" applyFill="1" applyBorder="1" applyAlignment="1" applyProtection="1">
      <alignment vertical="center" wrapText="1"/>
      <protection hidden="1"/>
    </xf>
    <xf numFmtId="0" fontId="4" fillId="0" borderId="0" xfId="4" applyFont="1" applyFill="1" applyBorder="1" applyProtection="1">
      <protection hidden="1"/>
    </xf>
    <xf numFmtId="0" fontId="6" fillId="0" borderId="0" xfId="4" applyFont="1" applyFill="1" applyBorder="1" applyAlignment="1" applyProtection="1">
      <alignment horizontal="left"/>
      <protection hidden="1"/>
    </xf>
    <xf numFmtId="0" fontId="6" fillId="2" borderId="0" xfId="4" applyFont="1" applyFill="1" applyBorder="1" applyAlignment="1" applyProtection="1">
      <alignment horizontal="left"/>
      <protection hidden="1"/>
    </xf>
    <xf numFmtId="0" fontId="6" fillId="2" borderId="0" xfId="4" applyFont="1" applyFill="1" applyBorder="1" applyAlignment="1" applyProtection="1">
      <alignment vertical="center"/>
      <protection hidden="1"/>
    </xf>
    <xf numFmtId="0" fontId="6" fillId="0" borderId="0" xfId="4" applyFont="1" applyFill="1" applyProtection="1">
      <protection hidden="1"/>
    </xf>
    <xf numFmtId="0" fontId="2" fillId="0" borderId="0" xfId="4" applyFont="1" applyFill="1" applyProtection="1">
      <protection hidden="1"/>
    </xf>
    <xf numFmtId="0" fontId="6" fillId="0" borderId="0" xfId="4" applyFont="1" applyAlignment="1" applyProtection="1">
      <alignment vertical="center" wrapText="1"/>
      <protection hidden="1"/>
    </xf>
    <xf numFmtId="0" fontId="2" fillId="0" borderId="0" xfId="0" applyFont="1" applyProtection="1">
      <protection hidden="1"/>
    </xf>
    <xf numFmtId="0" fontId="8" fillId="4" borderId="0" xfId="0" applyFont="1" applyFill="1" applyProtection="1">
      <protection hidden="1"/>
    </xf>
    <xf numFmtId="0" fontId="9" fillId="4" borderId="0" xfId="0" applyFont="1" applyFill="1" applyProtection="1">
      <protection locked="0"/>
    </xf>
    <xf numFmtId="0" fontId="10" fillId="4" borderId="0" xfId="0" applyFont="1" applyFill="1" applyProtection="1">
      <protection hidden="1"/>
    </xf>
    <xf numFmtId="0" fontId="11" fillId="0" borderId="0" xfId="0" applyFont="1" applyFill="1" applyProtection="1">
      <protection hidden="1"/>
    </xf>
    <xf numFmtId="9" fontId="2" fillId="0" borderId="0" xfId="3" applyFont="1" applyFill="1" applyBorder="1" applyAlignment="1" applyProtection="1">
      <protection hidden="1"/>
    </xf>
    <xf numFmtId="2" fontId="2" fillId="0" borderId="0" xfId="3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wrapText="1"/>
      <protection hidden="1"/>
    </xf>
    <xf numFmtId="0" fontId="2" fillId="5" borderId="2" xfId="0" applyFont="1" applyFill="1" applyBorder="1" applyProtection="1">
      <protection hidden="1"/>
    </xf>
    <xf numFmtId="0" fontId="12" fillId="0" borderId="3" xfId="0" applyFont="1" applyBorder="1" applyAlignment="1" applyProtection="1">
      <alignment horizontal="right"/>
      <protection locked="0"/>
    </xf>
    <xf numFmtId="0" fontId="2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right"/>
      <protection locked="0"/>
    </xf>
    <xf numFmtId="164" fontId="12" fillId="0" borderId="3" xfId="0" applyNumberFormat="1" applyFont="1" applyBorder="1" applyAlignment="1" applyProtection="1">
      <alignment horizontal="right"/>
      <protection hidden="1"/>
    </xf>
    <xf numFmtId="0" fontId="12" fillId="0" borderId="2" xfId="0" applyFont="1" applyBorder="1" applyProtection="1">
      <protection locked="0"/>
    </xf>
    <xf numFmtId="9" fontId="12" fillId="0" borderId="2" xfId="0" applyNumberFormat="1" applyFont="1" applyBorder="1" applyProtection="1">
      <protection locked="0"/>
    </xf>
    <xf numFmtId="0" fontId="2" fillId="0" borderId="4" xfId="0" applyFont="1" applyBorder="1" applyProtection="1">
      <protection hidden="1"/>
    </xf>
    <xf numFmtId="0" fontId="2" fillId="0" borderId="0" xfId="0" applyFont="1" applyBorder="1" applyAlignment="1" applyProtection="1">
      <alignment wrapText="1"/>
      <protection hidden="1"/>
    </xf>
    <xf numFmtId="9" fontId="12" fillId="0" borderId="4" xfId="3" applyFont="1" applyFill="1" applyBorder="1" applyAlignment="1" applyProtection="1">
      <alignment horizontal="left" indent="1"/>
      <protection hidden="1"/>
    </xf>
    <xf numFmtId="9" fontId="2" fillId="0" borderId="4" xfId="3" applyFont="1" applyFill="1" applyBorder="1" applyAlignment="1" applyProtection="1">
      <protection hidden="1"/>
    </xf>
    <xf numFmtId="10" fontId="12" fillId="0" borderId="2" xfId="0" applyNumberFormat="1" applyFont="1" applyBorder="1" applyProtection="1">
      <protection locked="0"/>
    </xf>
    <xf numFmtId="0" fontId="2" fillId="0" borderId="0" xfId="0" applyFont="1" applyProtection="1">
      <protection locked="0"/>
    </xf>
    <xf numFmtId="10" fontId="12" fillId="0" borderId="5" xfId="0" applyNumberFormat="1" applyFont="1" applyBorder="1" applyProtection="1">
      <protection locked="0"/>
    </xf>
    <xf numFmtId="9" fontId="12" fillId="0" borderId="4" xfId="3" applyFont="1" applyFill="1" applyBorder="1" applyAlignment="1" applyProtection="1">
      <alignment horizontal="left" vertical="center" indent="1"/>
      <protection hidden="1"/>
    </xf>
    <xf numFmtId="9" fontId="12" fillId="0" borderId="0" xfId="3" applyFont="1" applyFill="1" applyBorder="1" applyAlignment="1" applyProtection="1">
      <alignment horizontal="left" vertical="center" indent="1"/>
      <protection hidden="1"/>
    </xf>
    <xf numFmtId="9" fontId="12" fillId="0" borderId="8" xfId="3" applyFont="1" applyFill="1" applyBorder="1" applyAlignment="1" applyProtection="1">
      <alignment horizontal="left" vertical="center" indent="1"/>
      <protection hidden="1"/>
    </xf>
    <xf numFmtId="2" fontId="12" fillId="0" borderId="5" xfId="0" applyNumberFormat="1" applyFont="1" applyBorder="1" applyProtection="1">
      <protection locked="0"/>
    </xf>
    <xf numFmtId="0" fontId="7" fillId="0" borderId="0" xfId="0" applyFont="1" applyProtection="1">
      <protection hidden="1"/>
    </xf>
    <xf numFmtId="0" fontId="14" fillId="0" borderId="0" xfId="0" applyFont="1" applyProtection="1">
      <protection hidden="1"/>
    </xf>
    <xf numFmtId="165" fontId="2" fillId="2" borderId="0" xfId="3" applyNumberFormat="1" applyFont="1" applyFill="1" applyBorder="1" applyAlignment="1" applyProtection="1">
      <protection hidden="1"/>
    </xf>
    <xf numFmtId="2" fontId="2" fillId="2" borderId="0" xfId="3" applyNumberFormat="1" applyFont="1" applyFill="1" applyBorder="1" applyAlignment="1" applyProtection="1">
      <protection hidden="1"/>
    </xf>
    <xf numFmtId="10" fontId="2" fillId="2" borderId="0" xfId="3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Protection="1">
      <protection hidden="1"/>
    </xf>
    <xf numFmtId="0" fontId="2" fillId="2" borderId="0" xfId="0" applyFont="1" applyFill="1" applyBorder="1" applyAlignment="1" applyProtection="1">
      <alignment wrapText="1"/>
      <protection hidden="1"/>
    </xf>
    <xf numFmtId="0" fontId="15" fillId="0" borderId="0" xfId="0" applyFont="1" applyProtection="1">
      <protection hidden="1"/>
    </xf>
    <xf numFmtId="0" fontId="9" fillId="4" borderId="0" xfId="0" applyFont="1" applyFill="1" applyProtection="1">
      <protection hidden="1"/>
    </xf>
    <xf numFmtId="0" fontId="16" fillId="4" borderId="0" xfId="0" applyFont="1" applyFill="1" applyProtection="1">
      <protection hidden="1"/>
    </xf>
    <xf numFmtId="0" fontId="17" fillId="0" borderId="0" xfId="0" applyFont="1" applyFill="1" applyProtection="1">
      <protection hidden="1"/>
    </xf>
    <xf numFmtId="0" fontId="16" fillId="0" borderId="0" xfId="0" applyFont="1" applyFill="1" applyProtection="1">
      <protection hidden="1"/>
    </xf>
    <xf numFmtId="0" fontId="2" fillId="0" borderId="0" xfId="0" applyFont="1" applyAlignment="1" applyProtection="1">
      <alignment horizontal="right"/>
      <protection hidden="1"/>
    </xf>
    <xf numFmtId="0" fontId="15" fillId="0" borderId="0" xfId="0" applyFont="1" applyFill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0" fontId="7" fillId="5" borderId="2" xfId="0" applyFont="1" applyFill="1" applyBorder="1" applyAlignment="1" applyProtection="1">
      <alignment horizontal="center"/>
      <protection hidden="1"/>
    </xf>
    <xf numFmtId="0" fontId="7" fillId="2" borderId="2" xfId="0" applyFont="1" applyFill="1" applyBorder="1" applyAlignment="1" applyProtection="1">
      <alignment horizontal="center"/>
      <protection locked="0"/>
    </xf>
    <xf numFmtId="0" fontId="7" fillId="5" borderId="5" xfId="0" applyFont="1" applyFill="1" applyBorder="1" applyAlignment="1" applyProtection="1">
      <alignment horizontal="center"/>
      <protection hidden="1"/>
    </xf>
    <xf numFmtId="0" fontId="3" fillId="5" borderId="3" xfId="0" applyFont="1" applyFill="1" applyBorder="1" applyAlignment="1" applyProtection="1">
      <alignment horizontal="center"/>
      <protection hidden="1"/>
    </xf>
    <xf numFmtId="166" fontId="7" fillId="5" borderId="2" xfId="0" applyNumberFormat="1" applyFont="1" applyFill="1" applyBorder="1" applyAlignment="1" applyProtection="1">
      <alignment vertical="center"/>
      <protection hidden="1"/>
    </xf>
    <xf numFmtId="10" fontId="12" fillId="2" borderId="2" xfId="3" applyNumberFormat="1" applyFont="1" applyFill="1" applyBorder="1" applyAlignment="1" applyProtection="1">
      <alignment horizontal="center" vertical="center"/>
      <protection locked="0"/>
    </xf>
    <xf numFmtId="0" fontId="7" fillId="5" borderId="5" xfId="0" applyFont="1" applyFill="1" applyBorder="1" applyProtection="1">
      <protection hidden="1"/>
    </xf>
    <xf numFmtId="167" fontId="2" fillId="5" borderId="3" xfId="0" applyNumberFormat="1" applyFont="1" applyFill="1" applyBorder="1" applyAlignment="1" applyProtection="1">
      <alignment horizontal="right" vertical="center"/>
      <protection hidden="1"/>
    </xf>
    <xf numFmtId="0" fontId="2" fillId="5" borderId="5" xfId="0" applyFont="1" applyFill="1" applyBorder="1" applyAlignment="1" applyProtection="1">
      <alignment horizontal="left" indent="1"/>
      <protection hidden="1"/>
    </xf>
    <xf numFmtId="166" fontId="12" fillId="2" borderId="2" xfId="0" applyNumberFormat="1" applyFont="1" applyFill="1" applyBorder="1" applyAlignment="1" applyProtection="1">
      <alignment vertical="center"/>
      <protection locked="0"/>
    </xf>
    <xf numFmtId="166" fontId="2" fillId="5" borderId="2" xfId="0" applyNumberFormat="1" applyFont="1" applyFill="1" applyBorder="1" applyAlignment="1" applyProtection="1">
      <alignment vertical="center"/>
      <protection hidden="1"/>
    </xf>
    <xf numFmtId="9" fontId="12" fillId="5" borderId="2" xfId="3" applyFont="1" applyFill="1" applyBorder="1" applyAlignment="1" applyProtection="1">
      <alignment vertical="center"/>
      <protection hidden="1"/>
    </xf>
    <xf numFmtId="10" fontId="12" fillId="2" borderId="2" xfId="3" applyNumberFormat="1" applyFont="1" applyFill="1" applyBorder="1" applyAlignment="1" applyProtection="1">
      <alignment vertical="center"/>
      <protection locked="0"/>
    </xf>
    <xf numFmtId="168" fontId="12" fillId="2" borderId="2" xfId="0" applyNumberFormat="1" applyFont="1" applyFill="1" applyBorder="1" applyAlignment="1" applyProtection="1">
      <alignment vertical="center"/>
      <protection locked="0"/>
    </xf>
    <xf numFmtId="168" fontId="2" fillId="5" borderId="2" xfId="0" applyNumberFormat="1" applyFont="1" applyFill="1" applyBorder="1" applyAlignment="1" applyProtection="1">
      <alignment vertical="center"/>
      <protection hidden="1"/>
    </xf>
    <xf numFmtId="166" fontId="7" fillId="5" borderId="11" xfId="0" applyNumberFormat="1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166" fontId="7" fillId="2" borderId="0" xfId="0" applyNumberFormat="1" applyFont="1" applyFill="1" applyBorder="1" applyAlignment="1" applyProtection="1">
      <protection hidden="1"/>
    </xf>
    <xf numFmtId="0" fontId="15" fillId="2" borderId="0" xfId="0" applyFont="1" applyFill="1" applyProtection="1">
      <protection hidden="1"/>
    </xf>
    <xf numFmtId="0" fontId="18" fillId="0" borderId="0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166" fontId="7" fillId="0" borderId="0" xfId="0" applyNumberFormat="1" applyFont="1" applyFill="1" applyBorder="1" applyAlignment="1" applyProtection="1">
      <protection hidden="1"/>
    </xf>
    <xf numFmtId="0" fontId="19" fillId="0" borderId="0" xfId="0" applyFont="1" applyProtection="1">
      <protection hidden="1"/>
    </xf>
    <xf numFmtId="167" fontId="7" fillId="0" borderId="0" xfId="0" applyNumberFormat="1" applyFont="1" applyFill="1" applyBorder="1" applyAlignment="1" applyProtection="1">
      <alignment vertical="center"/>
      <protection hidden="1"/>
    </xf>
    <xf numFmtId="166" fontId="7" fillId="0" borderId="0" xfId="0" applyNumberFormat="1" applyFont="1" applyFill="1" applyBorder="1" applyAlignment="1" applyProtection="1">
      <alignment vertical="center"/>
      <protection hidden="1"/>
    </xf>
    <xf numFmtId="0" fontId="7" fillId="5" borderId="5" xfId="0" applyFont="1" applyFill="1" applyBorder="1" applyAlignment="1" applyProtection="1">
      <alignment horizontal="left"/>
      <protection hidden="1"/>
    </xf>
    <xf numFmtId="167" fontId="2" fillId="5" borderId="12" xfId="0" applyNumberFormat="1" applyFont="1" applyFill="1" applyBorder="1" applyAlignment="1" applyProtection="1">
      <alignment horizontal="right" vertical="center"/>
      <protection hidden="1"/>
    </xf>
    <xf numFmtId="167" fontId="7" fillId="0" borderId="0" xfId="0" applyNumberFormat="1" applyFont="1" applyFill="1" applyBorder="1" applyAlignment="1" applyProtection="1">
      <alignment horizontal="left" vertical="center"/>
      <protection hidden="1"/>
    </xf>
    <xf numFmtId="167" fontId="7" fillId="0" borderId="0" xfId="0" applyNumberFormat="1" applyFont="1" applyFill="1" applyBorder="1" applyAlignment="1" applyProtection="1">
      <alignment horizontal="center" vertical="center"/>
      <protection hidden="1"/>
    </xf>
    <xf numFmtId="0" fontId="3" fillId="5" borderId="10" xfId="0" applyFont="1" applyFill="1" applyBorder="1" applyAlignment="1" applyProtection="1">
      <alignment horizontal="left"/>
      <protection hidden="1"/>
    </xf>
    <xf numFmtId="9" fontId="12" fillId="2" borderId="11" xfId="3" applyFont="1" applyFill="1" applyBorder="1" applyAlignment="1" applyProtection="1">
      <alignment horizontal="center" vertical="center"/>
      <protection hidden="1"/>
    </xf>
    <xf numFmtId="0" fontId="7" fillId="2" borderId="12" xfId="0" applyFont="1" applyFill="1" applyBorder="1" applyAlignment="1" applyProtection="1">
      <alignment horizontal="center"/>
      <protection hidden="1"/>
    </xf>
    <xf numFmtId="9" fontId="12" fillId="2" borderId="0" xfId="3" applyFont="1" applyFill="1" applyBorder="1" applyAlignment="1" applyProtection="1">
      <alignment horizontal="center" vertical="center"/>
      <protection hidden="1"/>
    </xf>
    <xf numFmtId="166" fontId="7" fillId="2" borderId="14" xfId="0" applyNumberFormat="1" applyFont="1" applyFill="1" applyBorder="1" applyAlignment="1" applyProtection="1">
      <protection hidden="1"/>
    </xf>
    <xf numFmtId="0" fontId="2" fillId="2" borderId="0" xfId="0" applyFont="1" applyFill="1" applyProtection="1">
      <protection hidden="1"/>
    </xf>
    <xf numFmtId="166" fontId="7" fillId="2" borderId="15" xfId="0" applyNumberFormat="1" applyFont="1" applyFill="1" applyBorder="1" applyAlignment="1" applyProtection="1">
      <protection hidden="1"/>
    </xf>
    <xf numFmtId="0" fontId="15" fillId="2" borderId="0" xfId="0" applyFont="1" applyFill="1" applyBorder="1" applyProtection="1">
      <protection hidden="1"/>
    </xf>
    <xf numFmtId="0" fontId="2" fillId="0" borderId="0" xfId="0" applyFont="1" applyFill="1" applyProtection="1">
      <protection hidden="1"/>
    </xf>
    <xf numFmtId="0" fontId="7" fillId="5" borderId="18" xfId="0" applyFont="1" applyFill="1" applyBorder="1" applyAlignment="1" applyProtection="1">
      <alignment horizontal="center" vertical="center"/>
      <protection hidden="1"/>
    </xf>
    <xf numFmtId="0" fontId="7" fillId="5" borderId="2" xfId="0" applyFont="1" applyFill="1" applyBorder="1" applyAlignment="1" applyProtection="1">
      <alignment horizontal="center" vertical="center" wrapText="1"/>
      <protection hidden="1"/>
    </xf>
    <xf numFmtId="0" fontId="7" fillId="5" borderId="2" xfId="0" applyFont="1" applyFill="1" applyBorder="1" applyAlignment="1" applyProtection="1">
      <alignment horizontal="center" vertical="center"/>
      <protection hidden="1"/>
    </xf>
    <xf numFmtId="10" fontId="12" fillId="0" borderId="2" xfId="3" applyNumberFormat="1" applyFont="1" applyFill="1" applyBorder="1" applyAlignment="1" applyProtection="1">
      <alignment horizontal="center" vertical="center"/>
      <protection locked="0"/>
    </xf>
    <xf numFmtId="166" fontId="2" fillId="2" borderId="2" xfId="0" applyNumberFormat="1" applyFont="1" applyFill="1" applyBorder="1" applyAlignment="1" applyProtection="1">
      <alignment vertical="center"/>
      <protection locked="0"/>
    </xf>
    <xf numFmtId="10" fontId="12" fillId="0" borderId="2" xfId="3" applyNumberFormat="1" applyFont="1" applyFill="1" applyBorder="1" applyAlignment="1" applyProtection="1">
      <alignment horizontal="right" vertical="center"/>
      <protection locked="0"/>
    </xf>
    <xf numFmtId="9" fontId="12" fillId="2" borderId="2" xfId="3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left"/>
      <protection hidden="1"/>
    </xf>
    <xf numFmtId="0" fontId="7" fillId="0" borderId="0" xfId="0" applyFont="1" applyAlignment="1" applyProtection="1">
      <alignment horizontal="left" indent="1"/>
      <protection hidden="1"/>
    </xf>
    <xf numFmtId="0" fontId="8" fillId="4" borderId="0" xfId="0" applyFont="1" applyFill="1" applyAlignment="1" applyProtection="1">
      <alignment horizontal="left"/>
      <protection hidden="1"/>
    </xf>
    <xf numFmtId="0" fontId="2" fillId="0" borderId="0" xfId="0" applyFont="1" applyFill="1" applyAlignment="1" applyProtection="1">
      <alignment horizontal="right"/>
      <protection hidden="1"/>
    </xf>
    <xf numFmtId="0" fontId="7" fillId="5" borderId="19" xfId="0" applyFont="1" applyFill="1" applyBorder="1" applyAlignment="1" applyProtection="1">
      <alignment horizontal="center"/>
      <protection hidden="1"/>
    </xf>
    <xf numFmtId="0" fontId="7" fillId="5" borderId="3" xfId="0" applyFont="1" applyFill="1" applyBorder="1" applyAlignment="1" applyProtection="1">
      <alignment horizontal="center"/>
      <protection hidden="1"/>
    </xf>
    <xf numFmtId="0" fontId="7" fillId="5" borderId="5" xfId="0" applyFont="1" applyFill="1" applyBorder="1" applyAlignment="1" applyProtection="1">
      <protection hidden="1"/>
    </xf>
    <xf numFmtId="0" fontId="7" fillId="5" borderId="19" xfId="0" applyFont="1" applyFill="1" applyBorder="1" applyAlignment="1" applyProtection="1">
      <protection hidden="1"/>
    </xf>
    <xf numFmtId="0" fontId="2" fillId="5" borderId="19" xfId="0" applyFont="1" applyFill="1" applyBorder="1" applyProtection="1">
      <protection hidden="1"/>
    </xf>
    <xf numFmtId="0" fontId="2" fillId="5" borderId="3" xfId="0" applyFont="1" applyFill="1" applyBorder="1" applyProtection="1">
      <protection hidden="1"/>
    </xf>
    <xf numFmtId="169" fontId="12" fillId="2" borderId="6" xfId="0" applyNumberFormat="1" applyFont="1" applyFill="1" applyBorder="1" applyAlignment="1" applyProtection="1">
      <alignment horizontal="center" vertical="center"/>
      <protection locked="0"/>
    </xf>
    <xf numFmtId="9" fontId="12" fillId="5" borderId="2" xfId="3" applyFont="1" applyFill="1" applyBorder="1" applyAlignment="1" applyProtection="1">
      <alignment horizontal="center" vertical="center"/>
      <protection hidden="1"/>
    </xf>
    <xf numFmtId="9" fontId="12" fillId="2" borderId="2" xfId="0" applyNumberFormat="1" applyFont="1" applyFill="1" applyBorder="1" applyProtection="1">
      <protection locked="0"/>
    </xf>
    <xf numFmtId="9" fontId="12" fillId="5" borderId="2" xfId="0" applyNumberFormat="1" applyFont="1" applyFill="1" applyBorder="1" applyProtection="1">
      <protection hidden="1"/>
    </xf>
    <xf numFmtId="166" fontId="12" fillId="0" borderId="2" xfId="0" applyNumberFormat="1" applyFont="1" applyFill="1" applyBorder="1" applyProtection="1">
      <protection locked="0"/>
    </xf>
    <xf numFmtId="170" fontId="2" fillId="5" borderId="2" xfId="0" applyNumberFormat="1" applyFont="1" applyFill="1" applyBorder="1" applyProtection="1">
      <protection hidden="1"/>
    </xf>
    <xf numFmtId="166" fontId="2" fillId="0" borderId="0" xfId="0" applyNumberFormat="1" applyFont="1" applyProtection="1">
      <protection hidden="1"/>
    </xf>
    <xf numFmtId="166" fontId="7" fillId="5" borderId="11" xfId="0" applyNumberFormat="1" applyFont="1" applyFill="1" applyBorder="1" applyAlignment="1" applyProtection="1">
      <alignment vertical="center"/>
      <protection hidden="1"/>
    </xf>
    <xf numFmtId="0" fontId="17" fillId="0" borderId="0" xfId="0" applyFont="1" applyFill="1" applyAlignment="1" applyProtection="1">
      <alignment horizontal="left"/>
      <protection hidden="1"/>
    </xf>
    <xf numFmtId="169" fontId="2" fillId="2" borderId="6" xfId="0" applyNumberFormat="1" applyFont="1" applyFill="1" applyBorder="1" applyAlignment="1" applyProtection="1">
      <alignment horizontal="center" vertical="center"/>
      <protection locked="0"/>
    </xf>
    <xf numFmtId="170" fontId="20" fillId="0" borderId="0" xfId="0" applyNumberFormat="1" applyFont="1" applyProtection="1">
      <protection hidden="1"/>
    </xf>
    <xf numFmtId="170" fontId="2" fillId="0" borderId="0" xfId="0" applyNumberFormat="1" applyFont="1" applyAlignment="1" applyProtection="1">
      <alignment horizontal="center"/>
      <protection hidden="1"/>
    </xf>
    <xf numFmtId="0" fontId="20" fillId="0" borderId="0" xfId="0" applyFont="1" applyProtection="1">
      <protection hidden="1"/>
    </xf>
    <xf numFmtId="170" fontId="12" fillId="0" borderId="2" xfId="0" applyNumberFormat="1" applyFont="1" applyFill="1" applyBorder="1" applyAlignment="1" applyProtection="1">
      <protection locked="0"/>
    </xf>
    <xf numFmtId="166" fontId="2" fillId="5" borderId="3" xfId="0" applyNumberFormat="1" applyFont="1" applyFill="1" applyBorder="1" applyAlignment="1" applyProtection="1">
      <alignment vertical="center"/>
      <protection hidden="1"/>
    </xf>
    <xf numFmtId="166" fontId="7" fillId="5" borderId="20" xfId="0" applyNumberFormat="1" applyFont="1" applyFill="1" applyBorder="1" applyAlignment="1" applyProtection="1">
      <alignment vertical="center"/>
      <protection hidden="1"/>
    </xf>
    <xf numFmtId="166" fontId="7" fillId="5" borderId="10" xfId="0" applyNumberFormat="1" applyFont="1" applyFill="1" applyBorder="1" applyAlignment="1" applyProtection="1">
      <alignment vertical="center"/>
      <protection hidden="1"/>
    </xf>
    <xf numFmtId="166" fontId="7" fillId="5" borderId="21" xfId="0" applyNumberFormat="1" applyFont="1" applyFill="1" applyBorder="1" applyAlignment="1" applyProtection="1">
      <alignment vertical="center"/>
      <protection hidden="1"/>
    </xf>
    <xf numFmtId="0" fontId="22" fillId="0" borderId="2" xfId="0" applyFont="1" applyBorder="1" applyAlignment="1" applyProtection="1">
      <alignment horizontal="center"/>
      <protection hidden="1"/>
    </xf>
    <xf numFmtId="0" fontId="2" fillId="0" borderId="2" xfId="0" applyFont="1" applyBorder="1" applyProtection="1">
      <protection hidden="1"/>
    </xf>
    <xf numFmtId="170" fontId="2" fillId="0" borderId="5" xfId="0" applyNumberFormat="1" applyFont="1" applyFill="1" applyBorder="1" applyAlignment="1" applyProtection="1">
      <alignment horizontal="left"/>
      <protection locked="0"/>
    </xf>
    <xf numFmtId="170" fontId="2" fillId="0" borderId="5" xfId="0" applyNumberFormat="1" applyFont="1" applyFill="1" applyBorder="1" applyProtection="1">
      <protection locked="0"/>
    </xf>
    <xf numFmtId="166" fontId="7" fillId="5" borderId="10" xfId="0" applyNumberFormat="1" applyFont="1" applyFill="1" applyBorder="1" applyAlignment="1" applyProtection="1">
      <alignment horizontal="center" vertical="center"/>
      <protection hidden="1"/>
    </xf>
    <xf numFmtId="170" fontId="23" fillId="0" borderId="0" xfId="0" applyNumberFormat="1" applyFont="1" applyFill="1" applyBorder="1" applyProtection="1">
      <protection hidden="1"/>
    </xf>
    <xf numFmtId="170" fontId="2" fillId="0" borderId="0" xfId="0" applyNumberFormat="1" applyFont="1" applyFill="1" applyBorder="1" applyAlignment="1" applyProtection="1">
      <alignment horizontal="center"/>
      <protection hidden="1"/>
    </xf>
    <xf numFmtId="166" fontId="2" fillId="0" borderId="0" xfId="0" applyNumberFormat="1" applyFont="1" applyBorder="1" applyProtection="1">
      <protection hidden="1"/>
    </xf>
    <xf numFmtId="0" fontId="2" fillId="5" borderId="5" xfId="0" applyFont="1" applyFill="1" applyBorder="1" applyAlignment="1" applyProtection="1">
      <alignment horizontal="left"/>
      <protection hidden="1"/>
    </xf>
    <xf numFmtId="0" fontId="2" fillId="5" borderId="19" xfId="0" applyFont="1" applyFill="1" applyBorder="1" applyAlignment="1" applyProtection="1">
      <alignment horizontal="left"/>
      <protection hidden="1"/>
    </xf>
    <xf numFmtId="0" fontId="2" fillId="5" borderId="3" xfId="0" applyFont="1" applyFill="1" applyBorder="1" applyAlignment="1" applyProtection="1">
      <alignment horizontal="left" indent="1"/>
      <protection hidden="1"/>
    </xf>
    <xf numFmtId="10" fontId="2" fillId="5" borderId="2" xfId="3" applyNumberFormat="1" applyFont="1" applyFill="1" applyBorder="1" applyAlignment="1" applyProtection="1">
      <alignment horizontal="center"/>
      <protection hidden="1"/>
    </xf>
    <xf numFmtId="166" fontId="2" fillId="5" borderId="2" xfId="0" applyNumberFormat="1" applyFont="1" applyFill="1" applyBorder="1" applyProtection="1">
      <protection hidden="1"/>
    </xf>
    <xf numFmtId="170" fontId="2" fillId="5" borderId="5" xfId="0" applyNumberFormat="1" applyFont="1" applyFill="1" applyBorder="1" applyProtection="1">
      <protection hidden="1"/>
    </xf>
    <xf numFmtId="170" fontId="2" fillId="5" borderId="3" xfId="0" applyNumberFormat="1" applyFont="1" applyFill="1" applyBorder="1" applyProtection="1">
      <protection hidden="1"/>
    </xf>
    <xf numFmtId="9" fontId="12" fillId="2" borderId="2" xfId="3" applyFont="1" applyFill="1" applyBorder="1" applyAlignment="1" applyProtection="1">
      <alignment horizontal="center"/>
      <protection locked="0"/>
    </xf>
    <xf numFmtId="4" fontId="12" fillId="0" borderId="2" xfId="3" applyNumberFormat="1" applyFont="1" applyFill="1" applyBorder="1" applyAlignment="1" applyProtection="1">
      <alignment horizontal="center"/>
      <protection locked="0"/>
    </xf>
    <xf numFmtId="0" fontId="2" fillId="5" borderId="0" xfId="0" applyFont="1" applyFill="1" applyProtection="1">
      <protection hidden="1"/>
    </xf>
    <xf numFmtId="9" fontId="2" fillId="5" borderId="0" xfId="3" applyFont="1" applyFill="1" applyBorder="1" applyAlignment="1" applyProtection="1">
      <alignment horizontal="left"/>
      <protection hidden="1"/>
    </xf>
    <xf numFmtId="0" fontId="2" fillId="5" borderId="22" xfId="0" applyFont="1" applyFill="1" applyBorder="1" applyProtection="1">
      <protection hidden="1"/>
    </xf>
    <xf numFmtId="0" fontId="2" fillId="5" borderId="12" xfId="0" applyFont="1" applyFill="1" applyBorder="1" applyProtection="1">
      <protection hidden="1"/>
    </xf>
    <xf numFmtId="9" fontId="2" fillId="5" borderId="3" xfId="3" applyFont="1" applyFill="1" applyBorder="1" applyAlignment="1" applyProtection="1">
      <alignment horizontal="left"/>
      <protection hidden="1"/>
    </xf>
    <xf numFmtId="166" fontId="2" fillId="2" borderId="6" xfId="0" applyNumberFormat="1" applyFont="1" applyFill="1" applyBorder="1" applyAlignment="1" applyProtection="1">
      <alignment vertical="center"/>
      <protection locked="0"/>
    </xf>
    <xf numFmtId="170" fontId="2" fillId="0" borderId="0" xfId="0" applyNumberFormat="1" applyFont="1" applyFill="1" applyBorder="1" applyProtection="1">
      <protection hidden="1"/>
    </xf>
    <xf numFmtId="170" fontId="2" fillId="0" borderId="0" xfId="0" applyNumberFormat="1" applyFont="1" applyFill="1" applyBorder="1" applyAlignment="1" applyProtection="1">
      <protection hidden="1"/>
    </xf>
    <xf numFmtId="0" fontId="2" fillId="5" borderId="5" xfId="0" applyFont="1" applyFill="1" applyBorder="1" applyProtection="1">
      <protection hidden="1"/>
    </xf>
    <xf numFmtId="0" fontId="2" fillId="5" borderId="19" xfId="0" applyFont="1" applyFill="1" applyBorder="1" applyAlignment="1" applyProtection="1">
      <alignment horizontal="left" indent="1"/>
      <protection hidden="1"/>
    </xf>
    <xf numFmtId="9" fontId="2" fillId="5" borderId="23" xfId="3" applyFont="1" applyFill="1" applyBorder="1" applyAlignment="1" applyProtection="1">
      <alignment horizontal="left"/>
      <protection hidden="1"/>
    </xf>
    <xf numFmtId="166" fontId="2" fillId="5" borderId="6" xfId="0" applyNumberFormat="1" applyFont="1" applyFill="1" applyBorder="1" applyProtection="1">
      <protection hidden="1"/>
    </xf>
    <xf numFmtId="170" fontId="7" fillId="0" borderId="0" xfId="0" applyNumberFormat="1" applyFont="1" applyFill="1" applyBorder="1" applyProtection="1">
      <protection hidden="1"/>
    </xf>
    <xf numFmtId="9" fontId="2" fillId="2" borderId="0" xfId="3" applyFont="1" applyFill="1" applyBorder="1" applyAlignment="1" applyProtection="1">
      <alignment horizontal="left"/>
      <protection hidden="1"/>
    </xf>
    <xf numFmtId="166" fontId="2" fillId="2" borderId="0" xfId="0" applyNumberFormat="1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left" indent="1"/>
      <protection hidden="1"/>
    </xf>
    <xf numFmtId="0" fontId="12" fillId="5" borderId="2" xfId="0" applyFont="1" applyFill="1" applyBorder="1" applyProtection="1">
      <protection hidden="1"/>
    </xf>
    <xf numFmtId="0" fontId="2" fillId="5" borderId="5" xfId="0" applyFont="1" applyFill="1" applyBorder="1" applyAlignment="1" applyProtection="1">
      <alignment horizontal="justify"/>
      <protection hidden="1"/>
    </xf>
    <xf numFmtId="0" fontId="2" fillId="5" borderId="23" xfId="0" applyFont="1" applyFill="1" applyBorder="1" applyProtection="1">
      <protection hidden="1"/>
    </xf>
    <xf numFmtId="166" fontId="12" fillId="0" borderId="6" xfId="0" applyNumberFormat="1" applyFont="1" applyFill="1" applyBorder="1" applyProtection="1">
      <protection locked="0"/>
    </xf>
    <xf numFmtId="3" fontId="12" fillId="5" borderId="2" xfId="0" applyNumberFormat="1" applyFont="1" applyFill="1" applyBorder="1" applyProtection="1">
      <protection hidden="1"/>
    </xf>
    <xf numFmtId="3" fontId="12" fillId="0" borderId="2" xfId="0" applyNumberFormat="1" applyFont="1" applyFill="1" applyBorder="1" applyProtection="1">
      <protection locked="0"/>
    </xf>
    <xf numFmtId="3" fontId="12" fillId="0" borderId="2" xfId="0" applyNumberFormat="1" applyFont="1" applyBorder="1" applyProtection="1">
      <protection locked="0"/>
    </xf>
    <xf numFmtId="3" fontId="7" fillId="5" borderId="11" xfId="0" applyNumberFormat="1" applyFont="1" applyFill="1" applyBorder="1" applyAlignment="1" applyProtection="1">
      <protection hidden="1"/>
    </xf>
    <xf numFmtId="0" fontId="24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19" fillId="5" borderId="5" xfId="0" applyFont="1" applyFill="1" applyBorder="1" applyAlignment="1" applyProtection="1">
      <alignment horizontal="center"/>
      <protection hidden="1"/>
    </xf>
    <xf numFmtId="10" fontId="12" fillId="5" borderId="2" xfId="3" applyNumberFormat="1" applyFont="1" applyFill="1" applyBorder="1" applyAlignment="1" applyProtection="1">
      <alignment horizontal="center"/>
      <protection hidden="1"/>
    </xf>
    <xf numFmtId="0" fontId="8" fillId="4" borderId="0" xfId="0" applyFont="1" applyFill="1" applyBorder="1" applyProtection="1">
      <protection hidden="1"/>
    </xf>
    <xf numFmtId="0" fontId="9" fillId="4" borderId="0" xfId="0" applyFont="1" applyFill="1" applyBorder="1" applyProtection="1">
      <protection hidden="1"/>
    </xf>
    <xf numFmtId="0" fontId="16" fillId="4" borderId="0" xfId="0" applyFont="1" applyFill="1" applyBorder="1" applyProtection="1">
      <protection hidden="1"/>
    </xf>
    <xf numFmtId="170" fontId="2" fillId="5" borderId="19" xfId="0" applyNumberFormat="1" applyFont="1" applyFill="1" applyBorder="1" applyProtection="1">
      <protection hidden="1"/>
    </xf>
    <xf numFmtId="1" fontId="2" fillId="5" borderId="2" xfId="0" applyNumberFormat="1" applyFont="1" applyFill="1" applyBorder="1" applyAlignment="1" applyProtection="1">
      <alignment horizontal="center" vertical="center"/>
      <protection hidden="1"/>
    </xf>
    <xf numFmtId="3" fontId="12" fillId="0" borderId="2" xfId="0" applyNumberFormat="1" applyFont="1" applyFill="1" applyBorder="1" applyAlignment="1" applyProtection="1">
      <alignment horizontal="right" vertical="center"/>
      <protection locked="0"/>
    </xf>
    <xf numFmtId="3" fontId="2" fillId="5" borderId="2" xfId="0" applyNumberFormat="1" applyFont="1" applyFill="1" applyBorder="1" applyAlignment="1" applyProtection="1">
      <alignment horizontal="right" vertical="center"/>
      <protection hidden="1"/>
    </xf>
    <xf numFmtId="3" fontId="2" fillId="2" borderId="2" xfId="0" applyNumberFormat="1" applyFont="1" applyFill="1" applyBorder="1" applyAlignment="1" applyProtection="1">
      <alignment horizontal="right" vertical="center"/>
      <protection locked="0"/>
    </xf>
    <xf numFmtId="3" fontId="7" fillId="5" borderId="2" xfId="0" applyNumberFormat="1" applyFont="1" applyFill="1" applyBorder="1" applyAlignment="1" applyProtection="1">
      <alignment horizontal="right" vertical="center"/>
      <protection hidden="1"/>
    </xf>
    <xf numFmtId="0" fontId="7" fillId="5" borderId="19" xfId="0" applyFont="1" applyFill="1" applyBorder="1" applyProtection="1">
      <protection hidden="1"/>
    </xf>
    <xf numFmtId="3" fontId="2" fillId="5" borderId="2" xfId="0" applyNumberFormat="1" applyFont="1" applyFill="1" applyBorder="1" applyAlignment="1" applyProtection="1">
      <alignment horizontal="center"/>
      <protection hidden="1"/>
    </xf>
    <xf numFmtId="3" fontId="2" fillId="5" borderId="2" xfId="0" applyNumberFormat="1" applyFont="1" applyFill="1" applyBorder="1" applyProtection="1">
      <protection hidden="1"/>
    </xf>
    <xf numFmtId="3" fontId="2" fillId="2" borderId="6" xfId="0" applyNumberFormat="1" applyFont="1" applyFill="1" applyBorder="1" applyAlignment="1" applyProtection="1">
      <alignment horizontal="right" vertical="center"/>
      <protection locked="0"/>
    </xf>
    <xf numFmtId="3" fontId="7" fillId="5" borderId="11" xfId="0" applyNumberFormat="1" applyFont="1" applyFill="1" applyBorder="1" applyAlignment="1" applyProtection="1">
      <alignment horizontal="right" vertical="center"/>
      <protection hidden="1"/>
    </xf>
    <xf numFmtId="0" fontId="2" fillId="0" borderId="0" xfId="0" applyFont="1" applyBorder="1" applyAlignment="1" applyProtection="1">
      <alignment horizontal="left" indent="1"/>
      <protection hidden="1"/>
    </xf>
    <xf numFmtId="3" fontId="2" fillId="0" borderId="18" xfId="0" applyNumberFormat="1" applyFont="1" applyFill="1" applyBorder="1" applyAlignment="1" applyProtection="1">
      <alignment horizontal="center"/>
      <protection hidden="1"/>
    </xf>
    <xf numFmtId="3" fontId="2" fillId="0" borderId="18" xfId="0" applyNumberFormat="1" applyFont="1" applyBorder="1" applyProtection="1">
      <protection hidden="1"/>
    </xf>
    <xf numFmtId="0" fontId="7" fillId="5" borderId="20" xfId="0" applyFont="1" applyFill="1" applyBorder="1" applyAlignment="1" applyProtection="1">
      <alignment horizontal="left"/>
      <protection hidden="1"/>
    </xf>
    <xf numFmtId="0" fontId="2" fillId="5" borderId="10" xfId="0" applyFont="1" applyFill="1" applyBorder="1" applyAlignment="1" applyProtection="1">
      <alignment horizontal="left" indent="2"/>
      <protection hidden="1"/>
    </xf>
    <xf numFmtId="0" fontId="7" fillId="0" borderId="24" xfId="0" applyFont="1" applyBorder="1" applyAlignment="1" applyProtection="1">
      <alignment horizontal="left"/>
      <protection hidden="1"/>
    </xf>
    <xf numFmtId="0" fontId="2" fillId="0" borderId="18" xfId="0" applyFont="1" applyBorder="1" applyAlignment="1" applyProtection="1">
      <alignment horizontal="left" indent="2"/>
      <protection hidden="1"/>
    </xf>
    <xf numFmtId="0" fontId="25" fillId="0" borderId="0" xfId="0" applyFont="1" applyProtection="1">
      <protection hidden="1"/>
    </xf>
    <xf numFmtId="0" fontId="2" fillId="0" borderId="0" xfId="0" applyFont="1" applyBorder="1" applyProtection="1">
      <protection hidden="1"/>
    </xf>
    <xf numFmtId="3" fontId="2" fillId="0" borderId="0" xfId="0" applyNumberFormat="1" applyFont="1" applyBorder="1" applyProtection="1">
      <protection hidden="1"/>
    </xf>
    <xf numFmtId="9" fontId="12" fillId="5" borderId="2" xfId="3" applyFont="1" applyFill="1" applyBorder="1" applyAlignment="1" applyProtection="1">
      <alignment horizontal="right" vertical="center"/>
      <protection hidden="1"/>
    </xf>
    <xf numFmtId="0" fontId="7" fillId="5" borderId="20" xfId="0" applyFont="1" applyFill="1" applyBorder="1" applyProtection="1">
      <protection hidden="1"/>
    </xf>
    <xf numFmtId="0" fontId="2" fillId="5" borderId="21" xfId="0" applyFont="1" applyFill="1" applyBorder="1" applyProtection="1">
      <protection hidden="1"/>
    </xf>
    <xf numFmtId="0" fontId="2" fillId="0" borderId="0" xfId="0" applyFont="1" applyAlignment="1" applyProtection="1">
      <alignment horizontal="fill"/>
      <protection hidden="1"/>
    </xf>
    <xf numFmtId="3" fontId="2" fillId="2" borderId="2" xfId="0" applyNumberFormat="1" applyFont="1" applyFill="1" applyBorder="1" applyProtection="1">
      <protection locked="0"/>
    </xf>
    <xf numFmtId="165" fontId="2" fillId="0" borderId="0" xfId="0" applyNumberFormat="1" applyFont="1" applyFill="1" applyProtection="1">
      <protection hidden="1"/>
    </xf>
    <xf numFmtId="167" fontId="2" fillId="0" borderId="0" xfId="0" applyNumberFormat="1" applyFont="1" applyFill="1" applyProtection="1">
      <protection hidden="1"/>
    </xf>
    <xf numFmtId="3" fontId="2" fillId="5" borderId="6" xfId="0" applyNumberFormat="1" applyFont="1" applyFill="1" applyBorder="1" applyProtection="1">
      <protection hidden="1"/>
    </xf>
    <xf numFmtId="9" fontId="2" fillId="6" borderId="7" xfId="3" applyFont="1" applyFill="1" applyBorder="1" applyAlignment="1" applyProtection="1">
      <alignment horizontal="right" vertical="center"/>
      <protection hidden="1"/>
    </xf>
    <xf numFmtId="9" fontId="2" fillId="5" borderId="2" xfId="3" applyFont="1" applyFill="1" applyBorder="1" applyAlignment="1" applyProtection="1">
      <alignment horizontal="right" vertical="center"/>
      <protection hidden="1"/>
    </xf>
    <xf numFmtId="0" fontId="2" fillId="6" borderId="7" xfId="0" applyFont="1" applyFill="1" applyBorder="1" applyProtection="1">
      <protection hidden="1"/>
    </xf>
    <xf numFmtId="0" fontId="2" fillId="5" borderId="0" xfId="0" applyFont="1" applyFill="1" applyBorder="1" applyAlignment="1" applyProtection="1">
      <alignment horizontal="left" indent="1"/>
      <protection hidden="1"/>
    </xf>
    <xf numFmtId="0" fontId="7" fillId="5" borderId="0" xfId="0" applyFont="1" applyFill="1" applyBorder="1" applyAlignment="1" applyProtection="1">
      <alignment horizontal="center"/>
      <protection hidden="1"/>
    </xf>
    <xf numFmtId="3" fontId="2" fillId="6" borderId="6" xfId="0" applyNumberFormat="1" applyFont="1" applyFill="1" applyBorder="1" applyProtection="1">
      <protection hidden="1"/>
    </xf>
    <xf numFmtId="0" fontId="2" fillId="6" borderId="0" xfId="0" applyFont="1" applyFill="1" applyBorder="1" applyProtection="1">
      <protection hidden="1"/>
    </xf>
    <xf numFmtId="3" fontId="2" fillId="6" borderId="22" xfId="0" applyNumberFormat="1" applyFont="1" applyFill="1" applyBorder="1" applyProtection="1">
      <protection hidden="1"/>
    </xf>
    <xf numFmtId="3" fontId="2" fillId="6" borderId="23" xfId="0" applyNumberFormat="1" applyFont="1" applyFill="1" applyBorder="1" applyProtection="1">
      <protection hidden="1"/>
    </xf>
    <xf numFmtId="3" fontId="2" fillId="5" borderId="3" xfId="0" applyNumberFormat="1" applyFont="1" applyFill="1" applyBorder="1" applyProtection="1">
      <protection hidden="1"/>
    </xf>
    <xf numFmtId="9" fontId="2" fillId="6" borderId="4" xfId="3" applyFont="1" applyFill="1" applyBorder="1" applyAlignment="1" applyProtection="1">
      <alignment horizontal="right" vertical="center"/>
      <protection hidden="1"/>
    </xf>
    <xf numFmtId="9" fontId="2" fillId="6" borderId="0" xfId="3" applyFont="1" applyFill="1" applyBorder="1" applyAlignment="1" applyProtection="1">
      <alignment horizontal="right" vertical="center"/>
      <protection hidden="1"/>
    </xf>
    <xf numFmtId="9" fontId="2" fillId="5" borderId="3" xfId="3" applyFont="1" applyFill="1" applyBorder="1" applyAlignment="1" applyProtection="1">
      <alignment horizontal="right" vertical="center"/>
      <protection hidden="1"/>
    </xf>
    <xf numFmtId="0" fontId="2" fillId="6" borderId="4" xfId="0" applyFont="1" applyFill="1" applyBorder="1" applyProtection="1">
      <protection hidden="1"/>
    </xf>
    <xf numFmtId="3" fontId="2" fillId="6" borderId="0" xfId="0" applyNumberFormat="1" applyFont="1" applyFill="1" applyBorder="1" applyProtection="1">
      <protection hidden="1"/>
    </xf>
    <xf numFmtId="3" fontId="2" fillId="6" borderId="12" xfId="0" applyNumberFormat="1" applyFont="1" applyFill="1" applyBorder="1" applyProtection="1">
      <protection hidden="1"/>
    </xf>
    <xf numFmtId="3" fontId="2" fillId="5" borderId="0" xfId="0" applyNumberFormat="1" applyFont="1" applyFill="1" applyBorder="1" applyProtection="1">
      <protection hidden="1"/>
    </xf>
    <xf numFmtId="3" fontId="2" fillId="0" borderId="0" xfId="0" applyNumberFormat="1" applyFont="1" applyProtection="1">
      <protection hidden="1"/>
    </xf>
    <xf numFmtId="171" fontId="2" fillId="0" borderId="0" xfId="0" applyNumberFormat="1" applyFont="1" applyFill="1" applyBorder="1" applyAlignment="1" applyProtection="1">
      <alignment horizontal="center" vertical="center"/>
      <protection hidden="1"/>
    </xf>
    <xf numFmtId="166" fontId="2" fillId="5" borderId="2" xfId="0" applyNumberFormat="1" applyFont="1" applyFill="1" applyBorder="1" applyAlignment="1" applyProtection="1">
      <protection hidden="1"/>
    </xf>
    <xf numFmtId="166" fontId="2" fillId="0" borderId="2" xfId="0" applyNumberFormat="1" applyFont="1" applyFill="1" applyBorder="1" applyAlignment="1" applyProtection="1">
      <protection locked="0"/>
    </xf>
    <xf numFmtId="9" fontId="2" fillId="5" borderId="25" xfId="3" applyFont="1" applyFill="1" applyBorder="1" applyAlignment="1" applyProtection="1">
      <protection hidden="1"/>
    </xf>
    <xf numFmtId="170" fontId="7" fillId="0" borderId="0" xfId="0" applyNumberFormat="1" applyFont="1" applyBorder="1" applyProtection="1">
      <protection hidden="1"/>
    </xf>
    <xf numFmtId="3" fontId="26" fillId="0" borderId="0" xfId="3" applyNumberFormat="1" applyFont="1" applyFill="1" applyBorder="1" applyAlignment="1" applyProtection="1">
      <protection hidden="1"/>
    </xf>
    <xf numFmtId="3" fontId="16" fillId="0" borderId="0" xfId="3" applyNumberFormat="1" applyFont="1" applyFill="1" applyBorder="1" applyAlignment="1" applyProtection="1">
      <protection hidden="1"/>
    </xf>
    <xf numFmtId="3" fontId="27" fillId="0" borderId="0" xfId="3" applyNumberFormat="1" applyFont="1" applyFill="1" applyBorder="1" applyAlignment="1" applyProtection="1">
      <protection hidden="1"/>
    </xf>
    <xf numFmtId="9" fontId="7" fillId="5" borderId="11" xfId="0" applyNumberFormat="1" applyFont="1" applyFill="1" applyBorder="1" applyAlignment="1" applyProtection="1">
      <protection hidden="1"/>
    </xf>
    <xf numFmtId="166" fontId="2" fillId="0" borderId="0" xfId="0" applyNumberFormat="1" applyFont="1" applyFill="1" applyProtection="1">
      <protection hidden="1"/>
    </xf>
    <xf numFmtId="0" fontId="28" fillId="0" borderId="0" xfId="0" applyFont="1" applyProtection="1">
      <protection hidden="1"/>
    </xf>
    <xf numFmtId="0" fontId="2" fillId="5" borderId="24" xfId="0" applyFont="1" applyFill="1" applyBorder="1" applyAlignment="1" applyProtection="1">
      <alignment horizontal="left" indent="1"/>
      <protection hidden="1"/>
    </xf>
    <xf numFmtId="170" fontId="2" fillId="5" borderId="3" xfId="2" applyNumberFormat="1" applyFont="1" applyFill="1" applyBorder="1" applyAlignment="1" applyProtection="1">
      <protection hidden="1"/>
    </xf>
    <xf numFmtId="0" fontId="2" fillId="5" borderId="19" xfId="0" applyFont="1" applyFill="1" applyBorder="1" applyAlignment="1" applyProtection="1">
      <alignment horizontal="left" indent="2"/>
      <protection hidden="1"/>
    </xf>
    <xf numFmtId="3" fontId="7" fillId="5" borderId="2" xfId="0" applyNumberFormat="1" applyFont="1" applyFill="1" applyBorder="1" applyAlignment="1" applyProtection="1">
      <alignment horizontal="center"/>
      <protection hidden="1"/>
    </xf>
    <xf numFmtId="170" fontId="2" fillId="5" borderId="26" xfId="2" applyNumberFormat="1" applyFont="1" applyFill="1" applyBorder="1" applyAlignment="1" applyProtection="1">
      <protection hidden="1"/>
    </xf>
    <xf numFmtId="0" fontId="7" fillId="5" borderId="21" xfId="0" applyFont="1" applyFill="1" applyBorder="1" applyAlignment="1" applyProtection="1">
      <alignment horizontal="left" indent="1"/>
      <protection hidden="1"/>
    </xf>
    <xf numFmtId="0" fontId="2" fillId="2" borderId="27" xfId="0" applyFont="1" applyFill="1" applyBorder="1" applyProtection="1">
      <protection hidden="1"/>
    </xf>
    <xf numFmtId="170" fontId="2" fillId="0" borderId="0" xfId="2" applyNumberFormat="1" applyFont="1" applyFill="1" applyBorder="1" applyAlignment="1" applyProtection="1">
      <alignment horizontal="center"/>
      <protection hidden="1"/>
    </xf>
    <xf numFmtId="166" fontId="2" fillId="0" borderId="0" xfId="0" applyNumberFormat="1" applyFont="1" applyFill="1" applyBorder="1" applyAlignment="1" applyProtection="1">
      <protection hidden="1"/>
    </xf>
    <xf numFmtId="0" fontId="7" fillId="2" borderId="0" xfId="0" applyFont="1" applyFill="1" applyProtection="1">
      <protection hidden="1"/>
    </xf>
    <xf numFmtId="170" fontId="2" fillId="2" borderId="0" xfId="2" applyNumberFormat="1" applyFont="1" applyFill="1" applyBorder="1" applyAlignment="1" applyProtection="1">
      <protection hidden="1"/>
    </xf>
    <xf numFmtId="166" fontId="29" fillId="2" borderId="0" xfId="0" applyNumberFormat="1" applyFont="1" applyFill="1" applyBorder="1" applyAlignment="1" applyProtection="1">
      <protection hidden="1"/>
    </xf>
    <xf numFmtId="0" fontId="28" fillId="0" borderId="0" xfId="0" applyFont="1" applyFill="1" applyProtection="1">
      <protection hidden="1"/>
    </xf>
    <xf numFmtId="0" fontId="2" fillId="2" borderId="0" xfId="0" applyFont="1" applyFill="1" applyAlignment="1" applyProtection="1">
      <alignment horizontal="left" indent="1"/>
      <protection hidden="1"/>
    </xf>
    <xf numFmtId="166" fontId="2" fillId="2" borderId="0" xfId="0" applyNumberFormat="1" applyFont="1" applyFill="1" applyBorder="1" applyAlignment="1" applyProtection="1">
      <protection hidden="1"/>
    </xf>
    <xf numFmtId="0" fontId="28" fillId="2" borderId="0" xfId="0" applyFont="1" applyFill="1" applyProtection="1">
      <protection hidden="1"/>
    </xf>
    <xf numFmtId="170" fontId="2" fillId="2" borderId="0" xfId="0" applyNumberFormat="1" applyFont="1" applyFill="1" applyBorder="1" applyProtection="1">
      <protection hidden="1"/>
    </xf>
    <xf numFmtId="170" fontId="2" fillId="2" borderId="0" xfId="0" applyNumberFormat="1" applyFont="1" applyFill="1" applyBorder="1" applyAlignment="1" applyProtection="1">
      <protection hidden="1"/>
    </xf>
    <xf numFmtId="0" fontId="28" fillId="2" borderId="0" xfId="0" applyFont="1" applyFill="1" applyBorder="1" applyProtection="1">
      <protection hidden="1"/>
    </xf>
    <xf numFmtId="3" fontId="2" fillId="5" borderId="2" xfId="3" applyNumberFormat="1" applyFont="1" applyFill="1" applyBorder="1" applyAlignment="1" applyProtection="1">
      <alignment horizontal="right" vertical="center"/>
      <protection hidden="1"/>
    </xf>
    <xf numFmtId="0" fontId="2" fillId="5" borderId="22" xfId="0" applyFont="1" applyFill="1" applyBorder="1" applyAlignment="1" applyProtection="1">
      <alignment horizontal="left"/>
      <protection hidden="1"/>
    </xf>
    <xf numFmtId="3" fontId="2" fillId="2" borderId="7" xfId="3" applyNumberFormat="1" applyFont="1" applyFill="1" applyBorder="1" applyAlignment="1" applyProtection="1">
      <alignment horizontal="right" vertical="center"/>
      <protection locked="0"/>
    </xf>
    <xf numFmtId="3" fontId="2" fillId="5" borderId="30" xfId="3" applyNumberFormat="1" applyFont="1" applyFill="1" applyBorder="1" applyAlignment="1" applyProtection="1">
      <alignment horizontal="right" vertical="center"/>
      <protection hidden="1"/>
    </xf>
    <xf numFmtId="3" fontId="2" fillId="5" borderId="9" xfId="3" applyNumberFormat="1" applyFont="1" applyFill="1" applyBorder="1" applyAlignment="1" applyProtection="1">
      <alignment horizontal="right" vertical="center"/>
      <protection hidden="1"/>
    </xf>
    <xf numFmtId="3" fontId="2" fillId="5" borderId="30" xfId="3" applyNumberFormat="1" applyFont="1" applyFill="1" applyBorder="1" applyAlignment="1" applyProtection="1">
      <alignment horizontal="right" vertical="center"/>
      <protection locked="0" hidden="1"/>
    </xf>
    <xf numFmtId="0" fontId="17" fillId="4" borderId="0" xfId="0" applyFont="1" applyFill="1" applyBorder="1" applyProtection="1">
      <protection hidden="1"/>
    </xf>
    <xf numFmtId="0" fontId="7" fillId="4" borderId="0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right"/>
      <protection hidden="1"/>
    </xf>
    <xf numFmtId="0" fontId="16" fillId="2" borderId="0" xfId="0" applyFont="1" applyFill="1" applyProtection="1">
      <protection hidden="1"/>
    </xf>
    <xf numFmtId="1" fontId="2" fillId="5" borderId="2" xfId="0" applyNumberFormat="1" applyFont="1" applyFill="1" applyBorder="1" applyAlignment="1" applyProtection="1">
      <alignment horizontal="right" vertical="center"/>
      <protection hidden="1"/>
    </xf>
    <xf numFmtId="170" fontId="2" fillId="0" borderId="0" xfId="0" applyNumberFormat="1" applyFont="1" applyProtection="1">
      <protection hidden="1"/>
    </xf>
    <xf numFmtId="170" fontId="2" fillId="5" borderId="2" xfId="0" applyNumberFormat="1" applyFont="1" applyFill="1" applyBorder="1" applyAlignment="1" applyProtection="1">
      <alignment horizontal="center"/>
      <protection hidden="1"/>
    </xf>
    <xf numFmtId="3" fontId="2" fillId="5" borderId="2" xfId="0" applyNumberFormat="1" applyFont="1" applyFill="1" applyBorder="1" applyAlignment="1" applyProtection="1">
      <alignment horizontal="right"/>
      <protection hidden="1"/>
    </xf>
    <xf numFmtId="2" fontId="2" fillId="0" borderId="0" xfId="0" applyNumberFormat="1" applyFont="1" applyProtection="1">
      <protection hidden="1"/>
    </xf>
    <xf numFmtId="166" fontId="16" fillId="0" borderId="0" xfId="0" applyNumberFormat="1" applyFont="1" applyProtection="1">
      <protection hidden="1"/>
    </xf>
    <xf numFmtId="173" fontId="16" fillId="0" borderId="0" xfId="0" applyNumberFormat="1" applyFont="1" applyProtection="1">
      <protection hidden="1"/>
    </xf>
    <xf numFmtId="173" fontId="27" fillId="0" borderId="0" xfId="0" applyNumberFormat="1" applyFont="1" applyProtection="1">
      <protection hidden="1"/>
    </xf>
    <xf numFmtId="0" fontId="16" fillId="0" borderId="0" xfId="0" applyFont="1" applyProtection="1">
      <protection hidden="1"/>
    </xf>
    <xf numFmtId="0" fontId="17" fillId="4" borderId="0" xfId="0" applyFont="1" applyFill="1" applyProtection="1">
      <protection hidden="1"/>
    </xf>
    <xf numFmtId="0" fontId="7" fillId="5" borderId="31" xfId="0" applyFont="1" applyFill="1" applyBorder="1" applyAlignment="1" applyProtection="1">
      <alignment horizontal="center"/>
      <protection hidden="1"/>
    </xf>
    <xf numFmtId="0" fontId="7" fillId="5" borderId="32" xfId="0" applyFont="1" applyFill="1" applyBorder="1" applyAlignment="1" applyProtection="1">
      <alignment horizontal="center"/>
      <protection hidden="1"/>
    </xf>
    <xf numFmtId="0" fontId="7" fillId="5" borderId="33" xfId="0" applyFont="1" applyFill="1" applyBorder="1" applyAlignment="1" applyProtection="1">
      <alignment horizontal="center"/>
      <protection hidden="1"/>
    </xf>
    <xf numFmtId="0" fontId="2" fillId="5" borderId="34" xfId="0" applyFont="1" applyFill="1" applyBorder="1" applyAlignment="1" applyProtection="1">
      <alignment horizontal="left"/>
      <protection hidden="1"/>
    </xf>
    <xf numFmtId="9" fontId="2" fillId="5" borderId="35" xfId="3" applyFont="1" applyFill="1" applyBorder="1" applyAlignment="1" applyProtection="1">
      <alignment horizontal="right" vertical="center"/>
      <protection hidden="1"/>
    </xf>
    <xf numFmtId="0" fontId="2" fillId="5" borderId="36" xfId="0" applyFont="1" applyFill="1" applyBorder="1" applyAlignment="1" applyProtection="1">
      <alignment horizontal="left"/>
      <protection hidden="1"/>
    </xf>
    <xf numFmtId="9" fontId="2" fillId="5" borderId="37" xfId="3" applyFont="1" applyFill="1" applyBorder="1" applyAlignment="1" applyProtection="1">
      <alignment horizontal="right" vertical="center"/>
      <protection hidden="1"/>
    </xf>
    <xf numFmtId="9" fontId="2" fillId="5" borderId="38" xfId="3" applyFont="1" applyFill="1" applyBorder="1" applyAlignment="1" applyProtection="1">
      <alignment horizontal="right" vertical="center"/>
      <protection hidden="1"/>
    </xf>
    <xf numFmtId="0" fontId="2" fillId="5" borderId="39" xfId="0" applyFont="1" applyFill="1" applyBorder="1" applyAlignment="1" applyProtection="1">
      <alignment horizontal="left"/>
      <protection hidden="1"/>
    </xf>
    <xf numFmtId="9" fontId="2" fillId="5" borderId="6" xfId="3" applyFont="1" applyFill="1" applyBorder="1" applyAlignment="1" applyProtection="1">
      <alignment horizontal="right" vertical="center"/>
      <protection hidden="1"/>
    </xf>
    <xf numFmtId="9" fontId="2" fillId="5" borderId="40" xfId="3" applyFont="1" applyFill="1" applyBorder="1" applyAlignment="1" applyProtection="1">
      <alignment horizontal="right" vertical="center"/>
      <protection hidden="1"/>
    </xf>
    <xf numFmtId="0" fontId="2" fillId="5" borderId="41" xfId="0" applyFont="1" applyFill="1" applyBorder="1" applyAlignment="1" applyProtection="1">
      <alignment horizontal="left"/>
      <protection hidden="1"/>
    </xf>
    <xf numFmtId="9" fontId="2" fillId="5" borderId="42" xfId="3" applyFont="1" applyFill="1" applyBorder="1" applyAlignment="1" applyProtection="1">
      <alignment horizontal="right" vertical="center"/>
      <protection hidden="1"/>
    </xf>
    <xf numFmtId="9" fontId="2" fillId="5" borderId="43" xfId="3" applyFont="1" applyFill="1" applyBorder="1" applyAlignment="1" applyProtection="1">
      <alignment horizontal="right" vertical="center"/>
      <protection hidden="1"/>
    </xf>
    <xf numFmtId="0" fontId="30" fillId="0" borderId="0" xfId="0" applyFont="1"/>
    <xf numFmtId="0" fontId="31" fillId="0" borderId="0" xfId="0" applyFont="1" applyProtection="1">
      <protection hidden="1"/>
    </xf>
    <xf numFmtId="3" fontId="2" fillId="5" borderId="37" xfId="0" applyNumberFormat="1" applyFont="1" applyFill="1" applyBorder="1" applyAlignment="1" applyProtection="1">
      <alignment horizontal="right" vertical="center"/>
      <protection hidden="1"/>
    </xf>
    <xf numFmtId="0" fontId="2" fillId="5" borderId="44" xfId="0" applyFont="1" applyFill="1" applyBorder="1" applyAlignment="1" applyProtection="1">
      <alignment horizontal="left" indent="1"/>
      <protection hidden="1"/>
    </xf>
    <xf numFmtId="3" fontId="2" fillId="5" borderId="9" xfId="0" applyNumberFormat="1" applyFont="1" applyFill="1" applyBorder="1" applyAlignment="1" applyProtection="1">
      <alignment horizontal="right" vertical="center"/>
      <protection hidden="1"/>
    </xf>
    <xf numFmtId="3" fontId="2" fillId="5" borderId="45" xfId="0" applyNumberFormat="1" applyFont="1" applyFill="1" applyBorder="1" applyAlignment="1" applyProtection="1">
      <alignment horizontal="right" vertical="center"/>
      <protection hidden="1"/>
    </xf>
    <xf numFmtId="0" fontId="2" fillId="5" borderId="34" xfId="0" applyFont="1" applyFill="1" applyBorder="1" applyAlignment="1" applyProtection="1">
      <alignment horizontal="left" indent="1"/>
      <protection hidden="1"/>
    </xf>
    <xf numFmtId="3" fontId="2" fillId="5" borderId="35" xfId="0" applyNumberFormat="1" applyFont="1" applyFill="1" applyBorder="1" applyAlignment="1" applyProtection="1">
      <alignment horizontal="right" vertical="center"/>
      <protection hidden="1"/>
    </xf>
    <xf numFmtId="0" fontId="7" fillId="5" borderId="34" xfId="0" applyFont="1" applyFill="1" applyBorder="1" applyProtection="1">
      <protection hidden="1"/>
    </xf>
    <xf numFmtId="3" fontId="7" fillId="5" borderId="35" xfId="0" applyNumberFormat="1" applyFont="1" applyFill="1" applyBorder="1" applyAlignment="1" applyProtection="1">
      <alignment horizontal="right" vertical="center"/>
      <protection hidden="1"/>
    </xf>
    <xf numFmtId="0" fontId="2" fillId="0" borderId="46" xfId="0" applyFont="1" applyBorder="1" applyProtection="1">
      <protection hidden="1"/>
    </xf>
    <xf numFmtId="167" fontId="2" fillId="0" borderId="0" xfId="0" applyNumberFormat="1" applyFont="1" applyBorder="1" applyProtection="1">
      <protection hidden="1"/>
    </xf>
    <xf numFmtId="167" fontId="2" fillId="0" borderId="47" xfId="0" applyNumberFormat="1" applyFont="1" applyBorder="1" applyProtection="1">
      <protection hidden="1"/>
    </xf>
    <xf numFmtId="166" fontId="2" fillId="0" borderId="47" xfId="0" applyNumberFormat="1" applyFont="1" applyBorder="1" applyProtection="1">
      <protection hidden="1"/>
    </xf>
    <xf numFmtId="0" fontId="7" fillId="5" borderId="36" xfId="0" applyFont="1" applyFill="1" applyBorder="1" applyProtection="1">
      <protection hidden="1"/>
    </xf>
    <xf numFmtId="3" fontId="2" fillId="5" borderId="38" xfId="0" applyNumberFormat="1" applyFont="1" applyFill="1" applyBorder="1" applyAlignment="1" applyProtection="1">
      <alignment horizontal="right" vertical="center"/>
      <protection hidden="1"/>
    </xf>
    <xf numFmtId="3" fontId="2" fillId="5" borderId="35" xfId="3" applyNumberFormat="1" applyFont="1" applyFill="1" applyBorder="1" applyAlignment="1" applyProtection="1">
      <alignment horizontal="right" vertical="center"/>
      <protection hidden="1"/>
    </xf>
    <xf numFmtId="175" fontId="2" fillId="0" borderId="0" xfId="1" applyNumberFormat="1" applyFont="1" applyFill="1" applyBorder="1" applyAlignment="1" applyProtection="1">
      <protection hidden="1"/>
    </xf>
    <xf numFmtId="3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3" fontId="7" fillId="5" borderId="2" xfId="3" applyNumberFormat="1" applyFont="1" applyFill="1" applyBorder="1" applyAlignment="1" applyProtection="1">
      <alignment horizontal="right" vertical="center"/>
      <protection hidden="1"/>
    </xf>
    <xf numFmtId="164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left"/>
      <protection hidden="1"/>
    </xf>
    <xf numFmtId="3" fontId="7" fillId="2" borderId="0" xfId="3" applyNumberFormat="1" applyFont="1" applyFill="1" applyBorder="1" applyAlignment="1" applyProtection="1">
      <alignment horizontal="right" vertical="center"/>
      <protection hidden="1"/>
    </xf>
    <xf numFmtId="0" fontId="2" fillId="5" borderId="3" xfId="0" applyFont="1" applyFill="1" applyBorder="1" applyAlignment="1" applyProtection="1">
      <alignment vertical="center" wrapText="1"/>
      <protection hidden="1"/>
    </xf>
    <xf numFmtId="10" fontId="2" fillId="5" borderId="2" xfId="0" applyNumberFormat="1" applyFont="1" applyFill="1" applyBorder="1" applyAlignment="1" applyProtection="1">
      <alignment vertical="center" wrapText="1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5" borderId="0" xfId="0" applyFont="1" applyFill="1" applyBorder="1" applyProtection="1">
      <protection hidden="1"/>
    </xf>
    <xf numFmtId="0" fontId="2" fillId="5" borderId="0" xfId="0" applyFont="1" applyFill="1" applyBorder="1" applyAlignment="1" applyProtection="1">
      <alignment vertical="center" wrapText="1"/>
      <protection hidden="1"/>
    </xf>
    <xf numFmtId="3" fontId="2" fillId="5" borderId="2" xfId="0" applyNumberFormat="1" applyFont="1" applyFill="1" applyBorder="1" applyAlignment="1" applyProtection="1">
      <alignment vertical="center" wrapText="1"/>
      <protection hidden="1"/>
    </xf>
    <xf numFmtId="176" fontId="2" fillId="5" borderId="2" xfId="0" applyNumberFormat="1" applyFont="1" applyFill="1" applyBorder="1" applyProtection="1">
      <protection hidden="1"/>
    </xf>
    <xf numFmtId="0" fontId="2" fillId="0" borderId="0" xfId="0" applyFont="1" applyBorder="1" applyAlignment="1" applyProtection="1">
      <alignment vertical="center" wrapText="1"/>
      <protection hidden="1"/>
    </xf>
    <xf numFmtId="175" fontId="27" fillId="0" borderId="0" xfId="1" applyNumberFormat="1" applyFont="1" applyFill="1" applyBorder="1" applyAlignment="1" applyProtection="1">
      <protection hidden="1"/>
    </xf>
    <xf numFmtId="175" fontId="2" fillId="0" borderId="0" xfId="1" applyNumberFormat="1" applyFont="1" applyFill="1" applyBorder="1" applyAlignment="1" applyProtection="1">
      <alignment horizontal="right"/>
      <protection hidden="1"/>
    </xf>
    <xf numFmtId="175" fontId="27" fillId="0" borderId="0" xfId="1" applyNumberFormat="1" applyFont="1" applyFill="1" applyBorder="1" applyAlignment="1" applyProtection="1">
      <alignment horizontal="right"/>
      <protection hidden="1"/>
    </xf>
    <xf numFmtId="177" fontId="2" fillId="0" borderId="0" xfId="0" applyNumberFormat="1" applyFont="1" applyBorder="1" applyProtection="1">
      <protection hidden="1"/>
    </xf>
    <xf numFmtId="10" fontId="7" fillId="5" borderId="2" xfId="3" applyNumberFormat="1" applyFont="1" applyFill="1" applyBorder="1" applyAlignment="1" applyProtection="1">
      <alignment horizontal="right" vertical="center"/>
      <protection hidden="1"/>
    </xf>
    <xf numFmtId="175" fontId="2" fillId="0" borderId="0" xfId="1" applyNumberFormat="1" applyFont="1" applyFill="1" applyBorder="1" applyAlignment="1" applyProtection="1">
      <alignment horizontal="left"/>
      <protection hidden="1"/>
    </xf>
    <xf numFmtId="3" fontId="7" fillId="5" borderId="2" xfId="3" applyNumberFormat="1" applyFont="1" applyFill="1" applyBorder="1" applyAlignment="1" applyProtection="1">
      <alignment horizontal="left" vertical="center"/>
      <protection hidden="1"/>
    </xf>
    <xf numFmtId="10" fontId="2" fillId="0" borderId="0" xfId="0" applyNumberFormat="1" applyFont="1" applyProtection="1">
      <protection hidden="1"/>
    </xf>
    <xf numFmtId="9" fontId="2" fillId="2" borderId="0" xfId="3" applyFont="1" applyFill="1" applyBorder="1" applyAlignme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10" fontId="2" fillId="2" borderId="0" xfId="0" applyNumberFormat="1" applyFont="1" applyFill="1" applyBorder="1" applyAlignment="1" applyProtection="1">
      <alignment horizontal="center"/>
      <protection hidden="1"/>
    </xf>
    <xf numFmtId="3" fontId="2" fillId="2" borderId="0" xfId="0" applyNumberFormat="1" applyFont="1" applyFill="1" applyBorder="1" applyProtection="1">
      <protection hidden="1"/>
    </xf>
    <xf numFmtId="9" fontId="2" fillId="0" borderId="0" xfId="0" applyNumberFormat="1" applyFont="1" applyProtection="1">
      <protection hidden="1"/>
    </xf>
    <xf numFmtId="165" fontId="2" fillId="0" borderId="0" xfId="0" applyNumberFormat="1" applyFont="1" applyProtection="1">
      <protection hidden="1"/>
    </xf>
    <xf numFmtId="3" fontId="2" fillId="0" borderId="48" xfId="0" applyNumberFormat="1" applyFont="1" applyBorder="1" applyProtection="1">
      <protection hidden="1"/>
    </xf>
    <xf numFmtId="9" fontId="2" fillId="0" borderId="48" xfId="3" applyFont="1" applyFill="1" applyBorder="1" applyAlignment="1" applyProtection="1">
      <protection hidden="1"/>
    </xf>
    <xf numFmtId="165" fontId="2" fillId="0" borderId="48" xfId="0" applyNumberFormat="1" applyFont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center"/>
      <protection hidden="1"/>
    </xf>
    <xf numFmtId="3" fontId="2" fillId="0" borderId="0" xfId="0" applyNumberFormat="1" applyFont="1" applyBorder="1" applyAlignment="1" applyProtection="1">
      <alignment vertical="center" wrapText="1"/>
      <protection hidden="1"/>
    </xf>
    <xf numFmtId="176" fontId="2" fillId="0" borderId="0" xfId="0" applyNumberFormat="1" applyFont="1" applyProtection="1">
      <protection hidden="1"/>
    </xf>
    <xf numFmtId="175" fontId="2" fillId="2" borderId="0" xfId="1" applyNumberFormat="1" applyFont="1" applyFill="1" applyBorder="1" applyAlignment="1" applyProtection="1">
      <protection hidden="1"/>
    </xf>
    <xf numFmtId="0" fontId="7" fillId="0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3" fillId="0" borderId="0" xfId="0" applyFont="1" applyProtection="1">
      <protection hidden="1"/>
    </xf>
    <xf numFmtId="0" fontId="7" fillId="2" borderId="5" xfId="0" applyFont="1" applyFill="1" applyBorder="1" applyAlignment="1" applyProtection="1">
      <protection locked="0"/>
    </xf>
    <xf numFmtId="1" fontId="2" fillId="2" borderId="2" xfId="0" applyNumberFormat="1" applyFont="1" applyFill="1" applyBorder="1" applyAlignment="1" applyProtection="1">
      <alignment horizontal="right" vertical="center"/>
      <protection locked="0"/>
    </xf>
    <xf numFmtId="0" fontId="7" fillId="2" borderId="5" xfId="0" applyFont="1" applyFill="1" applyBorder="1" applyProtection="1">
      <protection locked="0"/>
    </xf>
    <xf numFmtId="0" fontId="2" fillId="2" borderId="5" xfId="0" applyFont="1" applyFill="1" applyBorder="1" applyAlignment="1" applyProtection="1">
      <alignment horizontal="left" indent="1"/>
      <protection locked="0"/>
    </xf>
    <xf numFmtId="3" fontId="7" fillId="2" borderId="2" xfId="0" applyNumberFormat="1" applyFont="1" applyFill="1" applyBorder="1" applyAlignment="1" applyProtection="1">
      <protection locked="0"/>
    </xf>
    <xf numFmtId="170" fontId="2" fillId="2" borderId="2" xfId="0" applyNumberFormat="1" applyFont="1" applyFill="1" applyBorder="1" applyAlignment="1" applyProtection="1">
      <alignment horizontal="center"/>
      <protection locked="0"/>
    </xf>
    <xf numFmtId="170" fontId="2" fillId="2" borderId="2" xfId="0" applyNumberFormat="1" applyFont="1" applyFill="1" applyBorder="1" applyProtection="1">
      <protection locked="0"/>
    </xf>
    <xf numFmtId="0" fontId="2" fillId="2" borderId="2" xfId="0" applyFont="1" applyFill="1" applyBorder="1" applyProtection="1">
      <protection locked="0"/>
    </xf>
    <xf numFmtId="3" fontId="2" fillId="2" borderId="0" xfId="0" applyNumberFormat="1" applyFont="1" applyFill="1" applyBorder="1" applyAlignment="1" applyProtection="1">
      <alignment horizontal="right" vertical="center"/>
      <protection hidden="1"/>
    </xf>
    <xf numFmtId="1" fontId="2" fillId="5" borderId="3" xfId="0" applyNumberFormat="1" applyFont="1" applyFill="1" applyBorder="1" applyAlignment="1" applyProtection="1">
      <alignment horizontal="right" vertical="center"/>
      <protection hidden="1"/>
    </xf>
    <xf numFmtId="3" fontId="2" fillId="5" borderId="3" xfId="0" applyNumberFormat="1" applyFont="1" applyFill="1" applyBorder="1" applyAlignment="1" applyProtection="1">
      <alignment horizontal="right" vertical="center"/>
      <protection hidden="1"/>
    </xf>
    <xf numFmtId="1" fontId="7" fillId="5" borderId="2" xfId="0" applyNumberFormat="1" applyFont="1" applyFill="1" applyBorder="1" applyAlignment="1" applyProtection="1">
      <alignment horizontal="center"/>
      <protection hidden="1"/>
    </xf>
    <xf numFmtId="1" fontId="2" fillId="2" borderId="3" xfId="0" applyNumberFormat="1" applyFont="1" applyFill="1" applyBorder="1" applyAlignment="1" applyProtection="1">
      <alignment horizontal="right" vertical="center"/>
      <protection locked="0"/>
    </xf>
    <xf numFmtId="0" fontId="7" fillId="2" borderId="5" xfId="0" applyFont="1" applyFill="1" applyBorder="1" applyAlignment="1" applyProtection="1">
      <alignment horizontal="center"/>
      <protection locked="0"/>
    </xf>
    <xf numFmtId="3" fontId="2" fillId="2" borderId="3" xfId="0" applyNumberFormat="1" applyFont="1" applyFill="1" applyBorder="1" applyAlignment="1" applyProtection="1">
      <alignment horizontal="right" vertical="center"/>
      <protection locked="0"/>
    </xf>
    <xf numFmtId="0" fontId="3" fillId="0" borderId="1" xfId="4" applyFont="1" applyBorder="1" applyAlignment="1" applyProtection="1">
      <alignment horizontal="center"/>
      <protection hidden="1"/>
    </xf>
    <xf numFmtId="0" fontId="5" fillId="2" borderId="0" xfId="4" applyFont="1" applyFill="1" applyBorder="1" applyAlignment="1" applyProtection="1">
      <alignment horizontal="left"/>
      <protection hidden="1"/>
    </xf>
    <xf numFmtId="0" fontId="5" fillId="2" borderId="0" xfId="4" applyFont="1" applyFill="1" applyBorder="1" applyAlignment="1" applyProtection="1">
      <alignment horizontal="left" wrapText="1"/>
      <protection hidden="1"/>
    </xf>
    <xf numFmtId="0" fontId="3" fillId="0" borderId="1" xfId="0" applyFont="1" applyBorder="1" applyAlignment="1" applyProtection="1">
      <alignment horizontal="center"/>
      <protection hidden="1"/>
    </xf>
    <xf numFmtId="9" fontId="12" fillId="0" borderId="6" xfId="3" applyFont="1" applyFill="1" applyBorder="1" applyAlignment="1" applyProtection="1">
      <alignment horizontal="left" vertical="center" indent="1"/>
      <protection hidden="1"/>
    </xf>
    <xf numFmtId="9" fontId="12" fillId="0" borderId="7" xfId="3" applyFont="1" applyFill="1" applyBorder="1" applyAlignment="1" applyProtection="1">
      <alignment horizontal="left" vertical="center" indent="1"/>
      <protection hidden="1"/>
    </xf>
    <xf numFmtId="9" fontId="12" fillId="0" borderId="9" xfId="3" applyFont="1" applyFill="1" applyBorder="1" applyAlignment="1" applyProtection="1">
      <alignment horizontal="left" vertical="center" indent="1"/>
      <protection hidden="1"/>
    </xf>
    <xf numFmtId="0" fontId="7" fillId="5" borderId="2" xfId="0" applyFont="1" applyFill="1" applyBorder="1" applyAlignment="1" applyProtection="1">
      <alignment horizontal="center"/>
      <protection hidden="1"/>
    </xf>
    <xf numFmtId="0" fontId="3" fillId="5" borderId="2" xfId="0" applyFont="1" applyFill="1" applyBorder="1" applyAlignment="1" applyProtection="1">
      <alignment horizontal="center"/>
      <protection hidden="1"/>
    </xf>
    <xf numFmtId="0" fontId="3" fillId="5" borderId="10" xfId="0" applyFont="1" applyFill="1" applyBorder="1" applyAlignment="1" applyProtection="1">
      <alignment horizontal="center"/>
      <protection hidden="1"/>
    </xf>
    <xf numFmtId="0" fontId="3" fillId="5" borderId="10" xfId="0" applyFont="1" applyFill="1" applyBorder="1" applyAlignment="1" applyProtection="1">
      <alignment horizontal="left"/>
      <protection hidden="1"/>
    </xf>
    <xf numFmtId="0" fontId="3" fillId="5" borderId="13" xfId="0" applyFont="1" applyFill="1" applyBorder="1" applyAlignment="1" applyProtection="1">
      <alignment horizontal="left"/>
      <protection hidden="1"/>
    </xf>
    <xf numFmtId="0" fontId="3" fillId="5" borderId="16" xfId="0" applyFont="1" applyFill="1" applyBorder="1" applyAlignment="1" applyProtection="1">
      <alignment horizontal="left"/>
      <protection hidden="1"/>
    </xf>
    <xf numFmtId="0" fontId="3" fillId="5" borderId="17" xfId="0" applyFont="1" applyFill="1" applyBorder="1" applyAlignment="1" applyProtection="1">
      <alignment horizontal="left"/>
      <protection hidden="1"/>
    </xf>
    <xf numFmtId="0" fontId="7" fillId="5" borderId="10" xfId="0" applyFont="1" applyFill="1" applyBorder="1" applyAlignment="1" applyProtection="1">
      <alignment horizontal="center"/>
      <protection hidden="1"/>
    </xf>
    <xf numFmtId="0" fontId="7" fillId="5" borderId="8" xfId="0" applyFont="1" applyFill="1" applyBorder="1" applyAlignment="1" applyProtection="1">
      <alignment horizontal="center"/>
      <protection hidden="1"/>
    </xf>
    <xf numFmtId="166" fontId="7" fillId="5" borderId="2" xfId="0" applyNumberFormat="1" applyFont="1" applyFill="1" applyBorder="1" applyAlignment="1" applyProtection="1">
      <alignment horizontal="center" vertical="center"/>
      <protection hidden="1"/>
    </xf>
    <xf numFmtId="166" fontId="7" fillId="5" borderId="11" xfId="0" applyNumberFormat="1" applyFont="1" applyFill="1" applyBorder="1" applyAlignment="1" applyProtection="1">
      <alignment horizontal="center" vertical="center"/>
      <protection hidden="1"/>
    </xf>
    <xf numFmtId="0" fontId="21" fillId="5" borderId="2" xfId="0" applyFont="1" applyFill="1" applyBorder="1" applyAlignment="1" applyProtection="1">
      <alignment horizontal="center"/>
      <protection hidden="1"/>
    </xf>
    <xf numFmtId="170" fontId="2" fillId="0" borderId="2" xfId="0" applyNumberFormat="1" applyFont="1" applyFill="1" applyBorder="1" applyAlignment="1" applyProtection="1">
      <alignment horizontal="left"/>
      <protection locked="0"/>
    </xf>
    <xf numFmtId="0" fontId="19" fillId="5" borderId="2" xfId="0" applyFont="1" applyFill="1" applyBorder="1" applyAlignment="1" applyProtection="1">
      <alignment horizontal="center"/>
      <protection hidden="1"/>
    </xf>
    <xf numFmtId="0" fontId="2" fillId="0" borderId="2" xfId="0" applyFont="1" applyFill="1" applyBorder="1" applyAlignment="1" applyProtection="1">
      <alignment horizontal="left"/>
      <protection locked="0"/>
    </xf>
    <xf numFmtId="0" fontId="7" fillId="5" borderId="5" xfId="0" applyFont="1" applyFill="1" applyBorder="1" applyAlignment="1" applyProtection="1">
      <alignment horizontal="center"/>
      <protection hidden="1"/>
    </xf>
    <xf numFmtId="0" fontId="7" fillId="5" borderId="20" xfId="0" applyFont="1" applyFill="1" applyBorder="1" applyAlignment="1" applyProtection="1">
      <alignment horizontal="center"/>
      <protection hidden="1"/>
    </xf>
    <xf numFmtId="0" fontId="7" fillId="5" borderId="11" xfId="0" applyFont="1" applyFill="1" applyBorder="1" applyAlignment="1" applyProtection="1">
      <alignment horizontal="center"/>
      <protection hidden="1"/>
    </xf>
    <xf numFmtId="0" fontId="7" fillId="5" borderId="21" xfId="0" applyFont="1" applyFill="1" applyBorder="1" applyAlignment="1" applyProtection="1">
      <alignment horizontal="left"/>
      <protection hidden="1"/>
    </xf>
    <xf numFmtId="0" fontId="7" fillId="5" borderId="28" xfId="0" applyFont="1" applyFill="1" applyBorder="1" applyAlignment="1" applyProtection="1">
      <alignment horizontal="center" vertical="top" wrapText="1"/>
      <protection hidden="1"/>
    </xf>
    <xf numFmtId="0" fontId="2" fillId="0" borderId="29" xfId="0" applyFont="1" applyFill="1" applyBorder="1" applyAlignment="1" applyProtection="1">
      <alignment horizontal="left"/>
      <protection locked="0"/>
    </xf>
    <xf numFmtId="0" fontId="7" fillId="5" borderId="30" xfId="0" applyFont="1" applyFill="1" applyBorder="1" applyAlignment="1" applyProtection="1">
      <alignment horizontal="center" vertical="top" wrapText="1"/>
      <protection hidden="1"/>
    </xf>
    <xf numFmtId="0" fontId="7" fillId="5" borderId="30" xfId="0" applyFont="1" applyFill="1" applyBorder="1" applyAlignment="1" applyProtection="1">
      <alignment horizontal="left" vertical="top" wrapText="1"/>
      <protection hidden="1"/>
    </xf>
  </cellXfs>
  <cellStyles count="5">
    <cellStyle name="Moeda" xfId="2" builtinId="4"/>
    <cellStyle name="Normal" xfId="0" builtinId="0"/>
    <cellStyle name="Normal_Book1" xfId="4"/>
    <cellStyle name="Percentagem" xfId="3" builtinId="5"/>
    <cellStyle name="Vírgula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9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808080"/>
                </a:solidFill>
                <a:latin typeface="Tahoma"/>
                <a:ea typeface="Tahoma"/>
                <a:cs typeface="Tahoma"/>
              </a:defRPr>
            </a:pPr>
            <a:r>
              <a:rPr lang="pt-PT"/>
              <a:t>Margem Bruta vs Custos Fixos</a:t>
            </a:r>
          </a:p>
        </c:rich>
      </c:tx>
      <c:layout>
        <c:manualLayout>
          <c:xMode val="edge"/>
          <c:yMode val="edge"/>
          <c:x val="0.27543906839204424"/>
          <c:y val="1.8587360594795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43889706499635"/>
          <c:y val="0.31598513011152418"/>
          <c:w val="0.51929913531238914"/>
          <c:h val="0.5092936802973977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DR!$C$9:$H$9</c:f>
              <c:numCache>
                <c:formatCode>#\ ##0_ ;[Red]\-#\ ##0\ </c:formatCode>
                <c:ptCount val="6"/>
                <c:pt idx="0">
                  <c:v>29.99</c:v>
                </c:pt>
                <c:pt idx="1">
                  <c:v>71976</c:v>
                </c:pt>
                <c:pt idx="2">
                  <c:v>213624.76800000001</c:v>
                </c:pt>
                <c:pt idx="3">
                  <c:v>422122.54156800004</c:v>
                </c:pt>
                <c:pt idx="4">
                  <c:v>543482.77226880006</c:v>
                </c:pt>
                <c:pt idx="5">
                  <c:v>641309.67127718404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2-4D22-B2DE-4E24F318880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DR!$C$13:$H$13</c:f>
              <c:numCache>
                <c:formatCode>#\ ##0_ ;[Red]\-#\ ##0\ </c:formatCode>
                <c:ptCount val="6"/>
                <c:pt idx="0">
                  <c:v>-1826.1068</c:v>
                </c:pt>
                <c:pt idx="1">
                  <c:v>37126.080000000009</c:v>
                </c:pt>
                <c:pt idx="2">
                  <c:v>129901.96224000002</c:v>
                </c:pt>
                <c:pt idx="3">
                  <c:v>267839.7282662401</c:v>
                </c:pt>
                <c:pt idx="4">
                  <c:v>347484.14514278405</c:v>
                </c:pt>
                <c:pt idx="5">
                  <c:v>411798.02246848517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2-4D22-B2DE-4E24F318880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DR!$C$15:$H$15</c:f>
              <c:numCache>
                <c:formatCode>#\ ##0_ ;[Red]\-#\ ##0\ </c:formatCode>
                <c:ptCount val="6"/>
                <c:pt idx="0">
                  <c:v>424.74</c:v>
                </c:pt>
                <c:pt idx="1">
                  <c:v>2718.3359999999998</c:v>
                </c:pt>
                <c:pt idx="2">
                  <c:v>3533.8368</c:v>
                </c:pt>
                <c:pt idx="3">
                  <c:v>4417.2960000000003</c:v>
                </c:pt>
                <c:pt idx="4">
                  <c:v>5079.8904000000002</c:v>
                </c:pt>
                <c:pt idx="5">
                  <c:v>5587.8794400000006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2-4D22-B2DE-4E24F3188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176512"/>
        <c:axId val="1"/>
      </c:lineChart>
      <c:catAx>
        <c:axId val="39717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333333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pt-PT"/>
                  <a:t>Anos do projecto</a:t>
                </a:r>
              </a:p>
            </c:rich>
          </c:tx>
          <c:layout>
            <c:manualLayout>
              <c:xMode val="edge"/>
              <c:yMode val="edge"/>
              <c:x val="0.33333390442349303"/>
              <c:y val="0.866171003717472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33333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333333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pt-PT"/>
                  <a:t>Valores em Euros</a:t>
                </a:r>
              </a:p>
            </c:rich>
          </c:tx>
          <c:layout>
            <c:manualLayout>
              <c:xMode val="edge"/>
              <c:yMode val="edge"/>
              <c:x val="8.7719448532498166E-3"/>
              <c:y val="0.3531598513011152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;[Red]\-#,##0\ " sourceLinked="0"/>
        <c:majorTickMark val="out"/>
        <c:minorTickMark val="none"/>
        <c:tickLblPos val="nextTo"/>
        <c:spPr>
          <a:ln w="3175">
            <a:solidFill>
              <a:srgbClr val="33333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397176512"/>
        <c:crossesAt val="1"/>
        <c:crossBetween val="midCat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982581179038475"/>
          <c:y val="0.41263940520446096"/>
          <c:w val="0.23684251103774506"/>
          <c:h val="0.23791821561338289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333333"/>
              </a:solidFill>
              <a:latin typeface="Tahoma"/>
              <a:ea typeface="Tahoma"/>
              <a:cs typeface="Tahoma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333333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pt-P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808080"/>
                </a:solidFill>
                <a:latin typeface="Tahoma"/>
                <a:ea typeface="Tahoma"/>
                <a:cs typeface="Tahoma"/>
              </a:defRPr>
            </a:pPr>
            <a:r>
              <a:rPr lang="pt-PT"/>
              <a:t>V.Negócios vs EBITDA</a:t>
            </a:r>
          </a:p>
        </c:rich>
      </c:tx>
      <c:layout>
        <c:manualLayout>
          <c:xMode val="edge"/>
          <c:yMode val="edge"/>
          <c:x val="0.31403562574634347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45645294759619"/>
          <c:y val="0.30483271375464682"/>
          <c:w val="0.50701841251783941"/>
          <c:h val="0.4498141263940520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DR!$C$9:$H$9</c:f>
              <c:numCache>
                <c:formatCode>#\ ##0_ ;[Red]\-#\ ##0\ </c:formatCode>
                <c:ptCount val="6"/>
                <c:pt idx="0">
                  <c:v>29.99</c:v>
                </c:pt>
                <c:pt idx="1">
                  <c:v>71976</c:v>
                </c:pt>
                <c:pt idx="2">
                  <c:v>213624.76800000001</c:v>
                </c:pt>
                <c:pt idx="3">
                  <c:v>422122.54156800004</c:v>
                </c:pt>
                <c:pt idx="4">
                  <c:v>543482.77226880006</c:v>
                </c:pt>
                <c:pt idx="5">
                  <c:v>641309.67127718404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5-466B-8805-0E561144B28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DR!$C$22:$H$22</c:f>
              <c:numCache>
                <c:formatCode>#\ ##0_ ;[Red]\-#\ ##0\ </c:formatCode>
                <c:ptCount val="6"/>
                <c:pt idx="0">
                  <c:v>-52383.096799999999</c:v>
                </c:pt>
                <c:pt idx="1">
                  <c:v>-68893.935999999987</c:v>
                </c:pt>
                <c:pt idx="2">
                  <c:v>13882.311040000001</c:v>
                </c:pt>
                <c:pt idx="3">
                  <c:v>145807.4690022401</c:v>
                </c:pt>
                <c:pt idx="4">
                  <c:v>220104.69294822405</c:v>
                </c:pt>
                <c:pt idx="5">
                  <c:v>279038.59876214276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5-466B-8805-0E561144B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178480"/>
        <c:axId val="1"/>
      </c:lineChart>
      <c:catAx>
        <c:axId val="39717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333333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pt-PT"/>
                  <a:t>Anos </a:t>
                </a:r>
              </a:p>
            </c:rich>
          </c:tx>
          <c:layout>
            <c:manualLayout>
              <c:xMode val="edge"/>
              <c:yMode val="edge"/>
              <c:x val="0.40350946324949161"/>
              <c:y val="0.795539033457249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33333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333333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pt-PT"/>
                  <a:t>Valores em Euros</a:t>
                </a:r>
              </a:p>
            </c:rich>
          </c:tx>
          <c:layout>
            <c:manualLayout>
              <c:xMode val="edge"/>
              <c:yMode val="edge"/>
              <c:x val="1.4035111765199707E-2"/>
              <c:y val="0.312267657992565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;[Red]\-#,##0\ " sourceLinked="0"/>
        <c:majorTickMark val="out"/>
        <c:minorTickMark val="none"/>
        <c:tickLblPos val="nextTo"/>
        <c:spPr>
          <a:ln w="3175">
            <a:solidFill>
              <a:srgbClr val="33333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397178480"/>
        <c:crossesAt val="1"/>
        <c:crossBetween val="midCat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982581179038475"/>
          <c:y val="0.43494423791821563"/>
          <c:w val="0.23684251103774506"/>
          <c:h val="0.16356877323420074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333333"/>
              </a:solidFill>
              <a:latin typeface="Tahoma"/>
              <a:ea typeface="Tahoma"/>
              <a:cs typeface="Tahoma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333333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pt-P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808080"/>
                </a:solidFill>
                <a:latin typeface="Tahoma"/>
                <a:ea typeface="Tahoma"/>
                <a:cs typeface="Tahoma"/>
              </a:defRPr>
            </a:pPr>
            <a:r>
              <a:rPr lang="pt-PT"/>
              <a:t>V.Negócios vs Cash flow</a:t>
            </a:r>
          </a:p>
        </c:rich>
      </c:tx>
      <c:layout>
        <c:manualLayout>
          <c:xMode val="edge"/>
          <c:yMode val="edge"/>
          <c:x val="0.30633829151275332"/>
          <c:y val="3.35821507370691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61987873765434"/>
          <c:y val="0.31716475696120888"/>
          <c:w val="0.48943704046290476"/>
          <c:h val="0.4253739093362095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DR!$C$9:$H$9</c:f>
              <c:numCache>
                <c:formatCode>#\ ##0_ ;[Red]\-#\ ##0\ </c:formatCode>
                <c:ptCount val="6"/>
                <c:pt idx="0">
                  <c:v>29.99</c:v>
                </c:pt>
                <c:pt idx="1">
                  <c:v>71976</c:v>
                </c:pt>
                <c:pt idx="2">
                  <c:v>213624.76800000001</c:v>
                </c:pt>
                <c:pt idx="3">
                  <c:v>422122.54156800004</c:v>
                </c:pt>
                <c:pt idx="4">
                  <c:v>543482.77226880006</c:v>
                </c:pt>
                <c:pt idx="5">
                  <c:v>641309.67127718404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9-4A86-B1AB-7A39EEDE2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08648"/>
        <c:axId val="1"/>
      </c:lineChart>
      <c:catAx>
        <c:axId val="39730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333333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pt-PT"/>
                  <a:t>Anos</a:t>
                </a:r>
              </a:p>
            </c:rich>
          </c:tx>
          <c:layout>
            <c:manualLayout>
              <c:xMode val="edge"/>
              <c:yMode val="edge"/>
              <c:x val="0.39964823088158052"/>
              <c:y val="0.858210518836212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33333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333333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pt-PT"/>
                  <a:t>Valores em Euros</a:t>
                </a:r>
              </a:p>
            </c:rich>
          </c:tx>
          <c:layout>
            <c:manualLayout>
              <c:xMode val="edge"/>
              <c:yMode val="edge"/>
              <c:x val="1.7605648937514561E-2"/>
              <c:y val="0.313433406879312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;[Red]\-#,##0\ " sourceLinked="0"/>
        <c:majorTickMark val="out"/>
        <c:minorTickMark val="none"/>
        <c:tickLblPos val="nextTo"/>
        <c:spPr>
          <a:ln w="3175">
            <a:solidFill>
              <a:srgbClr val="33333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397308648"/>
        <c:crossesAt val="1"/>
        <c:crossBetween val="midCat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309917877556492"/>
          <c:y val="0.44029930966379588"/>
          <c:w val="0.2834509478939844"/>
          <c:h val="0.16417940360344932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333333"/>
              </a:solidFill>
              <a:latin typeface="Tahoma"/>
              <a:ea typeface="Tahoma"/>
              <a:cs typeface="Tahoma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333333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pt-P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3</xdr:row>
      <xdr:rowOff>66675</xdr:rowOff>
    </xdr:from>
    <xdr:to>
      <xdr:col>10</xdr:col>
      <xdr:colOff>9525</xdr:colOff>
      <xdr:row>5</xdr:row>
      <xdr:rowOff>142875</xdr:rowOff>
    </xdr:to>
    <xdr:sp macro="" textlink="" fLocksText="0">
      <xdr:nvSpPr>
        <xdr:cNvPr id="3073" name="Text Box 2">
          <a:extLst>
            <a:ext uri="{FF2B5EF4-FFF2-40B4-BE49-F238E27FC236}">
              <a16:creationId xmlns:a16="http://schemas.microsoft.com/office/drawing/2014/main" id="{FBCCB8C9-D487-4169-B548-C1CBBC605BA0}"/>
            </a:ext>
          </a:extLst>
        </xdr:cNvPr>
        <xdr:cNvSpPr txBox="1">
          <a:spLocks noChangeArrowheads="1"/>
        </xdr:cNvSpPr>
      </xdr:nvSpPr>
      <xdr:spPr bwMode="auto">
        <a:xfrm>
          <a:off x="7858125" y="590550"/>
          <a:ext cx="1276350" cy="41910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360" tIns="22680" rIns="27360" bIns="22680" anchor="ctr"/>
        <a:lstStyle/>
        <a:p>
          <a:pPr algn="ctr" rtl="0">
            <a:defRPr sz="1000"/>
          </a:pPr>
          <a:r>
            <a:rPr lang="pt-PT" sz="1000" b="0" i="0" u="none" strike="noStrike" baseline="0">
              <a:solidFill>
                <a:srgbClr val="000090"/>
              </a:solidFill>
              <a:latin typeface="Arial Narrow"/>
            </a:rPr>
            <a:t>Colocar os anos de vigência do projecto</a:t>
          </a:r>
        </a:p>
      </xdr:txBody>
    </xdr:sp>
    <xdr:clientData/>
  </xdr:twoCellAnchor>
  <xdr:twoCellAnchor>
    <xdr:from>
      <xdr:col>8</xdr:col>
      <xdr:colOff>95250</xdr:colOff>
      <xdr:row>4</xdr:row>
      <xdr:rowOff>0</xdr:rowOff>
    </xdr:from>
    <xdr:to>
      <xdr:col>8</xdr:col>
      <xdr:colOff>342900</xdr:colOff>
      <xdr:row>5</xdr:row>
      <xdr:rowOff>28575</xdr:rowOff>
    </xdr:to>
    <xdr:sp macro="" textlink="">
      <xdr:nvSpPr>
        <xdr:cNvPr id="3074" name="AutoShape 1">
          <a:extLst>
            <a:ext uri="{FF2B5EF4-FFF2-40B4-BE49-F238E27FC236}">
              <a16:creationId xmlns:a16="http://schemas.microsoft.com/office/drawing/2014/main" id="{E45A5431-2B4A-45D3-9AAB-CFCC460975A4}"/>
            </a:ext>
          </a:extLst>
        </xdr:cNvPr>
        <xdr:cNvSpPr>
          <a:spLocks noChangeArrowheads="1"/>
        </xdr:cNvSpPr>
      </xdr:nvSpPr>
      <xdr:spPr bwMode="auto">
        <a:xfrm>
          <a:off x="7696200" y="695325"/>
          <a:ext cx="247650" cy="200025"/>
        </a:xfrm>
        <a:prstGeom prst="leftArrow">
          <a:avLst>
            <a:gd name="adj1" fmla="val 50000"/>
            <a:gd name="adj2" fmla="val 30952"/>
          </a:avLst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6</xdr:row>
      <xdr:rowOff>123825</xdr:rowOff>
    </xdr:from>
    <xdr:to>
      <xdr:col>11</xdr:col>
      <xdr:colOff>333375</xdr:colOff>
      <xdr:row>8</xdr:row>
      <xdr:rowOff>133350</xdr:rowOff>
    </xdr:to>
    <xdr:sp macro="" textlink="" fLocksText="0">
      <xdr:nvSpPr>
        <xdr:cNvPr id="4097" name="Rectangle 1">
          <a:extLst>
            <a:ext uri="{FF2B5EF4-FFF2-40B4-BE49-F238E27FC236}">
              <a16:creationId xmlns:a16="http://schemas.microsoft.com/office/drawing/2014/main" id="{00C4B350-6D85-43FF-954A-8001B079EE7A}"/>
            </a:ext>
          </a:extLst>
        </xdr:cNvPr>
        <xdr:cNvSpPr>
          <a:spLocks noChangeArrowheads="1"/>
        </xdr:cNvSpPr>
      </xdr:nvSpPr>
      <xdr:spPr bwMode="auto">
        <a:xfrm>
          <a:off x="8086725" y="1314450"/>
          <a:ext cx="2333625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4280" tIns="17280" rIns="44280" bIns="17280" anchor="t"/>
        <a:lstStyle/>
        <a:p>
          <a:pPr algn="l" rtl="0">
            <a:defRPr sz="1000"/>
          </a:pPr>
          <a:r>
            <a:rPr lang="pt-PT" sz="1400" b="0" i="0" u="none" strike="noStrike" baseline="0">
              <a:solidFill>
                <a:srgbClr val="333333"/>
              </a:solidFill>
              <a:latin typeface="Arial"/>
              <a:cs typeface="Arial"/>
            </a:rPr>
            <a:t>Contribution Margin  =  1 -</a:t>
          </a:r>
        </a:p>
      </xdr:txBody>
    </xdr:sp>
    <xdr:clientData/>
  </xdr:twoCellAnchor>
  <xdr:twoCellAnchor>
    <xdr:from>
      <xdr:col>11</xdr:col>
      <xdr:colOff>200025</xdr:colOff>
      <xdr:row>6</xdr:row>
      <xdr:rowOff>28575</xdr:rowOff>
    </xdr:from>
    <xdr:to>
      <xdr:col>13</xdr:col>
      <xdr:colOff>371475</xdr:colOff>
      <xdr:row>8</xdr:row>
      <xdr:rowOff>47625</xdr:rowOff>
    </xdr:to>
    <xdr:sp macro="" textlink="" fLocksText="0">
      <xdr:nvSpPr>
        <xdr:cNvPr id="4098" name="Rectangle 2">
          <a:extLst>
            <a:ext uri="{FF2B5EF4-FFF2-40B4-BE49-F238E27FC236}">
              <a16:creationId xmlns:a16="http://schemas.microsoft.com/office/drawing/2014/main" id="{E962EA86-9D40-4E5F-9651-1FA115709217}"/>
            </a:ext>
          </a:extLst>
        </xdr:cNvPr>
        <xdr:cNvSpPr>
          <a:spLocks noChangeArrowheads="1"/>
        </xdr:cNvSpPr>
      </xdr:nvSpPr>
      <xdr:spPr bwMode="auto">
        <a:xfrm>
          <a:off x="10287000" y="1219200"/>
          <a:ext cx="1695450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4280" tIns="17280" rIns="44280" bIns="17280" anchor="t"/>
        <a:lstStyle/>
        <a:p>
          <a:pPr algn="l" rtl="0">
            <a:defRPr sz="1000"/>
          </a:pPr>
          <a:r>
            <a:rPr lang="pt-PT" sz="1400" b="0" i="0" u="sng" strike="noStrike" baseline="0">
              <a:solidFill>
                <a:srgbClr val="333333"/>
              </a:solidFill>
              <a:latin typeface="Arial"/>
              <a:cs typeface="Arial"/>
            </a:rPr>
            <a:t>CMVMC</a:t>
          </a:r>
        </a:p>
      </xdr:txBody>
    </xdr:sp>
    <xdr:clientData/>
  </xdr:twoCellAnchor>
  <xdr:twoCellAnchor>
    <xdr:from>
      <xdr:col>11</xdr:col>
      <xdr:colOff>219075</xdr:colOff>
      <xdr:row>7</xdr:row>
      <xdr:rowOff>123825</xdr:rowOff>
    </xdr:from>
    <xdr:to>
      <xdr:col>12</xdr:col>
      <xdr:colOff>371475</xdr:colOff>
      <xdr:row>9</xdr:row>
      <xdr:rowOff>133350</xdr:rowOff>
    </xdr:to>
    <xdr:sp macro="" textlink="" fLocksText="0">
      <xdr:nvSpPr>
        <xdr:cNvPr id="4099" name="Rectangle 3">
          <a:extLst>
            <a:ext uri="{FF2B5EF4-FFF2-40B4-BE49-F238E27FC236}">
              <a16:creationId xmlns:a16="http://schemas.microsoft.com/office/drawing/2014/main" id="{381791AD-2633-4BC3-9473-F64B1A99BD6D}"/>
            </a:ext>
          </a:extLst>
        </xdr:cNvPr>
        <xdr:cNvSpPr>
          <a:spLocks noChangeArrowheads="1"/>
        </xdr:cNvSpPr>
      </xdr:nvSpPr>
      <xdr:spPr bwMode="auto">
        <a:xfrm>
          <a:off x="10306050" y="1485900"/>
          <a:ext cx="914400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4280" tIns="17280" rIns="44280" bIns="17280" anchor="t"/>
        <a:lstStyle/>
        <a:p>
          <a:pPr algn="l" rtl="0">
            <a:defRPr sz="1000"/>
          </a:pPr>
          <a:r>
            <a:rPr lang="pt-PT" sz="1400" b="0" i="0" u="none" strike="noStrike" baseline="0">
              <a:solidFill>
                <a:srgbClr val="333333"/>
              </a:solidFill>
              <a:latin typeface="Arial"/>
              <a:cs typeface="Arial"/>
            </a:rPr>
            <a:t>Net Sales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6</xdr:row>
      <xdr:rowOff>142875</xdr:rowOff>
    </xdr:from>
    <xdr:to>
      <xdr:col>11</xdr:col>
      <xdr:colOff>0</xdr:colOff>
      <xdr:row>8</xdr:row>
      <xdr:rowOff>85725</xdr:rowOff>
    </xdr:to>
    <xdr:sp macro="" textlink="" fLocksText="0">
      <xdr:nvSpPr>
        <xdr:cNvPr id="14337" name="Text Box 28">
          <a:extLst>
            <a:ext uri="{FF2B5EF4-FFF2-40B4-BE49-F238E27FC236}">
              <a16:creationId xmlns:a16="http://schemas.microsoft.com/office/drawing/2014/main" id="{FDF8D2AD-1C21-46AB-AAB5-C19E07818DC9}"/>
            </a:ext>
          </a:extLst>
        </xdr:cNvPr>
        <xdr:cNvSpPr txBox="1">
          <a:spLocks noChangeArrowheads="1"/>
        </xdr:cNvSpPr>
      </xdr:nvSpPr>
      <xdr:spPr bwMode="auto">
        <a:xfrm>
          <a:off x="8343900" y="1123950"/>
          <a:ext cx="2133600" cy="266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PT" sz="1200" b="0" i="0" u="none" strike="noStrike" baseline="0">
              <a:solidFill>
                <a:srgbClr val="333333"/>
              </a:solidFill>
              <a:latin typeface="Arial"/>
              <a:cs typeface="Arial"/>
            </a:rPr>
            <a:t>Gross profit margin% =</a:t>
          </a:r>
        </a:p>
      </xdr:txBody>
    </xdr:sp>
    <xdr:clientData/>
  </xdr:twoCellAnchor>
  <xdr:twoCellAnchor>
    <xdr:from>
      <xdr:col>10</xdr:col>
      <xdr:colOff>314325</xdr:colOff>
      <xdr:row>5</xdr:row>
      <xdr:rowOff>133350</xdr:rowOff>
    </xdr:from>
    <xdr:to>
      <xdr:col>12</xdr:col>
      <xdr:colOff>123825</xdr:colOff>
      <xdr:row>7</xdr:row>
      <xdr:rowOff>76200</xdr:rowOff>
    </xdr:to>
    <xdr:sp macro="" textlink="" fLocksText="0">
      <xdr:nvSpPr>
        <xdr:cNvPr id="14338" name="Text Box 30">
          <a:extLst>
            <a:ext uri="{FF2B5EF4-FFF2-40B4-BE49-F238E27FC236}">
              <a16:creationId xmlns:a16="http://schemas.microsoft.com/office/drawing/2014/main" id="{ADFED84C-E81F-4814-BD49-DB40A7AB2489}"/>
            </a:ext>
          </a:extLst>
        </xdr:cNvPr>
        <xdr:cNvSpPr txBox="1">
          <a:spLocks noChangeArrowheads="1"/>
        </xdr:cNvSpPr>
      </xdr:nvSpPr>
      <xdr:spPr bwMode="auto">
        <a:xfrm>
          <a:off x="10029825" y="952500"/>
          <a:ext cx="1162050" cy="266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PT" sz="1200" b="0" i="0" u="none" strike="noStrike" baseline="0">
              <a:solidFill>
                <a:srgbClr val="333333"/>
              </a:solidFill>
              <a:latin typeface="Arial"/>
              <a:cs typeface="Arial"/>
            </a:rPr>
            <a:t>Gross profit</a:t>
          </a:r>
        </a:p>
      </xdr:txBody>
    </xdr:sp>
    <xdr:clientData/>
  </xdr:twoCellAnchor>
  <xdr:twoCellAnchor>
    <xdr:from>
      <xdr:col>10</xdr:col>
      <xdr:colOff>342900</xdr:colOff>
      <xdr:row>7</xdr:row>
      <xdr:rowOff>47625</xdr:rowOff>
    </xdr:from>
    <xdr:to>
      <xdr:col>13</xdr:col>
      <xdr:colOff>114300</xdr:colOff>
      <xdr:row>8</xdr:row>
      <xdr:rowOff>161925</xdr:rowOff>
    </xdr:to>
    <xdr:sp macro="" textlink="" fLocksText="0">
      <xdr:nvSpPr>
        <xdr:cNvPr id="14339" name="Text Box 31">
          <a:extLst>
            <a:ext uri="{FF2B5EF4-FFF2-40B4-BE49-F238E27FC236}">
              <a16:creationId xmlns:a16="http://schemas.microsoft.com/office/drawing/2014/main" id="{8BC6D072-C7B1-4AD5-B0B0-52188E44B26E}"/>
            </a:ext>
          </a:extLst>
        </xdr:cNvPr>
        <xdr:cNvSpPr txBox="1">
          <a:spLocks noChangeArrowheads="1"/>
        </xdr:cNvSpPr>
      </xdr:nvSpPr>
      <xdr:spPr bwMode="auto">
        <a:xfrm>
          <a:off x="10058400" y="1190625"/>
          <a:ext cx="171450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PT" sz="1200" b="0" i="0" u="none" strike="noStrike" baseline="0">
              <a:solidFill>
                <a:srgbClr val="333333"/>
              </a:solidFill>
              <a:latin typeface="Arial"/>
              <a:cs typeface="Arial"/>
            </a:rPr>
            <a:t>Net sales revenue</a:t>
          </a:r>
        </a:p>
      </xdr:txBody>
    </xdr:sp>
    <xdr:clientData/>
  </xdr:twoCellAnchor>
  <xdr:twoCellAnchor>
    <xdr:from>
      <xdr:col>10</xdr:col>
      <xdr:colOff>333375</xdr:colOff>
      <xdr:row>7</xdr:row>
      <xdr:rowOff>85725</xdr:rowOff>
    </xdr:from>
    <xdr:to>
      <xdr:col>12</xdr:col>
      <xdr:colOff>561975</xdr:colOff>
      <xdr:row>7</xdr:row>
      <xdr:rowOff>85725</xdr:rowOff>
    </xdr:to>
    <xdr:sp macro="" textlink="">
      <xdr:nvSpPr>
        <xdr:cNvPr id="14340" name="Line 32">
          <a:extLst>
            <a:ext uri="{FF2B5EF4-FFF2-40B4-BE49-F238E27FC236}">
              <a16:creationId xmlns:a16="http://schemas.microsoft.com/office/drawing/2014/main" id="{74CEC260-DF31-4229-8514-75317B98DB86}"/>
            </a:ext>
          </a:extLst>
        </xdr:cNvPr>
        <xdr:cNvSpPr>
          <a:spLocks noChangeShapeType="1"/>
        </xdr:cNvSpPr>
      </xdr:nvSpPr>
      <xdr:spPr bwMode="auto">
        <a:xfrm>
          <a:off x="10048875" y="1228725"/>
          <a:ext cx="1581150" cy="0"/>
        </a:xfrm>
        <a:prstGeom prst="line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180975</xdr:colOff>
      <xdr:row>9</xdr:row>
      <xdr:rowOff>38100</xdr:rowOff>
    </xdr:from>
    <xdr:to>
      <xdr:col>13</xdr:col>
      <xdr:colOff>38100</xdr:colOff>
      <xdr:row>12</xdr:row>
      <xdr:rowOff>104775</xdr:rowOff>
    </xdr:to>
    <xdr:sp macro="" textlink="" fLocksText="0">
      <xdr:nvSpPr>
        <xdr:cNvPr id="14341" name="Text Box 33">
          <a:extLst>
            <a:ext uri="{FF2B5EF4-FFF2-40B4-BE49-F238E27FC236}">
              <a16:creationId xmlns:a16="http://schemas.microsoft.com/office/drawing/2014/main" id="{410C1A5F-463A-4F1B-99DA-E227336AB523}"/>
            </a:ext>
          </a:extLst>
        </xdr:cNvPr>
        <xdr:cNvSpPr txBox="1">
          <a:spLocks noChangeArrowheads="1"/>
        </xdr:cNvSpPr>
      </xdr:nvSpPr>
      <xdr:spPr bwMode="auto">
        <a:xfrm>
          <a:off x="8372475" y="1504950"/>
          <a:ext cx="3324225" cy="552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PT" sz="1100" b="0" i="0" u="none" strike="noStrike" baseline="0">
              <a:solidFill>
                <a:srgbClr val="333333"/>
              </a:solidFill>
              <a:latin typeface="Arial"/>
              <a:cs typeface="Arial"/>
            </a:rPr>
            <a:t>Monitoring gross profit margin &amp; comparing it to other companies in the same industry is very important for long term profitability.</a:t>
          </a:r>
        </a:p>
      </xdr:txBody>
    </xdr:sp>
    <xdr:clientData/>
  </xdr:twoCellAnchor>
  <xdr:twoCellAnchor>
    <xdr:from>
      <xdr:col>8</xdr:col>
      <xdr:colOff>0</xdr:colOff>
      <xdr:row>24</xdr:row>
      <xdr:rowOff>152400</xdr:rowOff>
    </xdr:from>
    <xdr:to>
      <xdr:col>10</xdr:col>
      <xdr:colOff>495300</xdr:colOff>
      <xdr:row>26</xdr:row>
      <xdr:rowOff>85725</xdr:rowOff>
    </xdr:to>
    <xdr:sp macro="" textlink="" fLocksText="0">
      <xdr:nvSpPr>
        <xdr:cNvPr id="14342" name="Rectangle 7">
          <a:extLst>
            <a:ext uri="{FF2B5EF4-FFF2-40B4-BE49-F238E27FC236}">
              <a16:creationId xmlns:a16="http://schemas.microsoft.com/office/drawing/2014/main" id="{D98EEEB2-E5FA-4710-A297-C0C2BFD484B4}"/>
            </a:ext>
          </a:extLst>
        </xdr:cNvPr>
        <xdr:cNvSpPr>
          <a:spLocks noChangeArrowheads="1"/>
        </xdr:cNvSpPr>
      </xdr:nvSpPr>
      <xdr:spPr bwMode="auto">
        <a:xfrm>
          <a:off x="8191500" y="4124325"/>
          <a:ext cx="201930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PT" sz="1200" b="0" i="0" u="none" strike="noStrike" baseline="0">
              <a:solidFill>
                <a:srgbClr val="333333"/>
              </a:solidFill>
              <a:latin typeface="Arial"/>
              <a:cs typeface="Arial"/>
            </a:rPr>
            <a:t>Current Ratio =</a:t>
          </a:r>
        </a:p>
      </xdr:txBody>
    </xdr:sp>
    <xdr:clientData/>
  </xdr:twoCellAnchor>
  <xdr:twoCellAnchor>
    <xdr:from>
      <xdr:col>9</xdr:col>
      <xdr:colOff>542925</xdr:colOff>
      <xdr:row>24</xdr:row>
      <xdr:rowOff>9525</xdr:rowOff>
    </xdr:from>
    <xdr:to>
      <xdr:col>12</xdr:col>
      <xdr:colOff>514350</xdr:colOff>
      <xdr:row>25</xdr:row>
      <xdr:rowOff>95250</xdr:rowOff>
    </xdr:to>
    <xdr:sp macro="" textlink="" fLocksText="0">
      <xdr:nvSpPr>
        <xdr:cNvPr id="14343" name="Rectangle 8">
          <a:extLst>
            <a:ext uri="{FF2B5EF4-FFF2-40B4-BE49-F238E27FC236}">
              <a16:creationId xmlns:a16="http://schemas.microsoft.com/office/drawing/2014/main" id="{FE60B5F2-DE56-4606-A4CD-0D146EB4C4D5}"/>
            </a:ext>
          </a:extLst>
        </xdr:cNvPr>
        <xdr:cNvSpPr>
          <a:spLocks noChangeArrowheads="1"/>
        </xdr:cNvSpPr>
      </xdr:nvSpPr>
      <xdr:spPr bwMode="auto">
        <a:xfrm>
          <a:off x="9496425" y="3981450"/>
          <a:ext cx="2085975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PT" sz="1200" b="0" i="0" u="none" strike="noStrike" baseline="0">
              <a:solidFill>
                <a:srgbClr val="333333"/>
              </a:solidFill>
              <a:latin typeface="Arial"/>
              <a:cs typeface="Arial"/>
            </a:rPr>
            <a:t>Current Assets</a:t>
          </a:r>
        </a:p>
      </xdr:txBody>
    </xdr:sp>
    <xdr:clientData/>
  </xdr:twoCellAnchor>
  <xdr:twoCellAnchor>
    <xdr:from>
      <xdr:col>9</xdr:col>
      <xdr:colOff>542925</xdr:colOff>
      <xdr:row>25</xdr:row>
      <xdr:rowOff>142875</xdr:rowOff>
    </xdr:from>
    <xdr:to>
      <xdr:col>13</xdr:col>
      <xdr:colOff>428625</xdr:colOff>
      <xdr:row>27</xdr:row>
      <xdr:rowOff>85725</xdr:rowOff>
    </xdr:to>
    <xdr:sp macro="" textlink="" fLocksText="0">
      <xdr:nvSpPr>
        <xdr:cNvPr id="14344" name="Rectangle 9">
          <a:extLst>
            <a:ext uri="{FF2B5EF4-FFF2-40B4-BE49-F238E27FC236}">
              <a16:creationId xmlns:a16="http://schemas.microsoft.com/office/drawing/2014/main" id="{860673D9-7C6E-42EA-9D8C-92F2EC54345F}"/>
            </a:ext>
          </a:extLst>
        </xdr:cNvPr>
        <xdr:cNvSpPr>
          <a:spLocks noChangeArrowheads="1"/>
        </xdr:cNvSpPr>
      </xdr:nvSpPr>
      <xdr:spPr bwMode="auto">
        <a:xfrm>
          <a:off x="9496425" y="4276725"/>
          <a:ext cx="2590800" cy="266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PT" sz="1200" b="0" i="0" u="none" strike="noStrike" baseline="0">
              <a:solidFill>
                <a:srgbClr val="333333"/>
              </a:solidFill>
              <a:latin typeface="Arial"/>
              <a:cs typeface="Arial"/>
            </a:rPr>
            <a:t>Current Liabilities</a:t>
          </a:r>
        </a:p>
      </xdr:txBody>
    </xdr:sp>
    <xdr:clientData/>
  </xdr:twoCellAnchor>
  <xdr:twoCellAnchor>
    <xdr:from>
      <xdr:col>9</xdr:col>
      <xdr:colOff>428625</xdr:colOff>
      <xdr:row>25</xdr:row>
      <xdr:rowOff>133350</xdr:rowOff>
    </xdr:from>
    <xdr:to>
      <xdr:col>13</xdr:col>
      <xdr:colOff>247650</xdr:colOff>
      <xdr:row>25</xdr:row>
      <xdr:rowOff>133350</xdr:rowOff>
    </xdr:to>
    <xdr:sp macro="" textlink="">
      <xdr:nvSpPr>
        <xdr:cNvPr id="14345" name="Line 8">
          <a:extLst>
            <a:ext uri="{FF2B5EF4-FFF2-40B4-BE49-F238E27FC236}">
              <a16:creationId xmlns:a16="http://schemas.microsoft.com/office/drawing/2014/main" id="{AE12132A-2EE2-40DB-8C1B-5A0F20D2D27B}"/>
            </a:ext>
          </a:extLst>
        </xdr:cNvPr>
        <xdr:cNvSpPr>
          <a:spLocks noChangeShapeType="1"/>
        </xdr:cNvSpPr>
      </xdr:nvSpPr>
      <xdr:spPr bwMode="auto">
        <a:xfrm>
          <a:off x="9382125" y="4267200"/>
          <a:ext cx="2524125" cy="0"/>
        </a:xfrm>
        <a:prstGeom prst="line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29</xdr:row>
      <xdr:rowOff>38100</xdr:rowOff>
    </xdr:from>
    <xdr:to>
      <xdr:col>10</xdr:col>
      <xdr:colOff>495300</xdr:colOff>
      <xdr:row>30</xdr:row>
      <xdr:rowOff>133350</xdr:rowOff>
    </xdr:to>
    <xdr:sp macro="" textlink="" fLocksText="0">
      <xdr:nvSpPr>
        <xdr:cNvPr id="14346" name="Rectangle 11">
          <a:extLst>
            <a:ext uri="{FF2B5EF4-FFF2-40B4-BE49-F238E27FC236}">
              <a16:creationId xmlns:a16="http://schemas.microsoft.com/office/drawing/2014/main" id="{ED24CF3E-8631-40F4-9B4C-F6473204BA63}"/>
            </a:ext>
          </a:extLst>
        </xdr:cNvPr>
        <xdr:cNvSpPr>
          <a:spLocks noChangeArrowheads="1"/>
        </xdr:cNvSpPr>
      </xdr:nvSpPr>
      <xdr:spPr bwMode="auto">
        <a:xfrm>
          <a:off x="8191500" y="4819650"/>
          <a:ext cx="201930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PT" sz="1200" b="0" i="0" u="none" strike="noStrike" baseline="0">
              <a:solidFill>
                <a:srgbClr val="333333"/>
              </a:solidFill>
              <a:latin typeface="Arial"/>
              <a:cs typeface="Arial"/>
            </a:rPr>
            <a:t>Quick Ratio =</a:t>
          </a:r>
        </a:p>
      </xdr:txBody>
    </xdr:sp>
    <xdr:clientData/>
  </xdr:twoCellAnchor>
  <xdr:twoCellAnchor>
    <xdr:from>
      <xdr:col>9</xdr:col>
      <xdr:colOff>419100</xdr:colOff>
      <xdr:row>28</xdr:row>
      <xdr:rowOff>85725</xdr:rowOff>
    </xdr:from>
    <xdr:to>
      <xdr:col>12</xdr:col>
      <xdr:colOff>390525</xdr:colOff>
      <xdr:row>30</xdr:row>
      <xdr:rowOff>9525</xdr:rowOff>
    </xdr:to>
    <xdr:sp macro="" textlink="" fLocksText="0">
      <xdr:nvSpPr>
        <xdr:cNvPr id="14347" name="Rectangle 12">
          <a:extLst>
            <a:ext uri="{FF2B5EF4-FFF2-40B4-BE49-F238E27FC236}">
              <a16:creationId xmlns:a16="http://schemas.microsoft.com/office/drawing/2014/main" id="{B453AD0D-D45D-4608-A300-D047982083D4}"/>
            </a:ext>
          </a:extLst>
        </xdr:cNvPr>
        <xdr:cNvSpPr>
          <a:spLocks noChangeArrowheads="1"/>
        </xdr:cNvSpPr>
      </xdr:nvSpPr>
      <xdr:spPr bwMode="auto">
        <a:xfrm>
          <a:off x="9372600" y="4705350"/>
          <a:ext cx="2085975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PT" sz="1200" b="0" i="0" u="none" strike="noStrike" baseline="0">
              <a:solidFill>
                <a:srgbClr val="333333"/>
              </a:solidFill>
              <a:latin typeface="Arial"/>
              <a:cs typeface="Arial"/>
            </a:rPr>
            <a:t>Quick Assets</a:t>
          </a:r>
        </a:p>
      </xdr:txBody>
    </xdr:sp>
    <xdr:clientData/>
  </xdr:twoCellAnchor>
  <xdr:twoCellAnchor>
    <xdr:from>
      <xdr:col>9</xdr:col>
      <xdr:colOff>495300</xdr:colOff>
      <xdr:row>30</xdr:row>
      <xdr:rowOff>66675</xdr:rowOff>
    </xdr:from>
    <xdr:to>
      <xdr:col>13</xdr:col>
      <xdr:colOff>381000</xdr:colOff>
      <xdr:row>32</xdr:row>
      <xdr:rowOff>9525</xdr:rowOff>
    </xdr:to>
    <xdr:sp macro="" textlink="" fLocksText="0">
      <xdr:nvSpPr>
        <xdr:cNvPr id="14348" name="Rectangle 13">
          <a:extLst>
            <a:ext uri="{FF2B5EF4-FFF2-40B4-BE49-F238E27FC236}">
              <a16:creationId xmlns:a16="http://schemas.microsoft.com/office/drawing/2014/main" id="{9F37D6B8-3837-4B74-ACB5-E69060B07B32}"/>
            </a:ext>
          </a:extLst>
        </xdr:cNvPr>
        <xdr:cNvSpPr>
          <a:spLocks noChangeArrowheads="1"/>
        </xdr:cNvSpPr>
      </xdr:nvSpPr>
      <xdr:spPr bwMode="auto">
        <a:xfrm>
          <a:off x="9448800" y="5010150"/>
          <a:ext cx="2590800" cy="266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PT" sz="1200" b="0" i="0" u="none" strike="noStrike" baseline="0">
              <a:solidFill>
                <a:srgbClr val="333333"/>
              </a:solidFill>
              <a:latin typeface="Arial"/>
              <a:cs typeface="Arial"/>
            </a:rPr>
            <a:t>Current Liabilities</a:t>
          </a:r>
        </a:p>
      </xdr:txBody>
    </xdr:sp>
    <xdr:clientData/>
  </xdr:twoCellAnchor>
  <xdr:twoCellAnchor>
    <xdr:from>
      <xdr:col>9</xdr:col>
      <xdr:colOff>361950</xdr:colOff>
      <xdr:row>30</xdr:row>
      <xdr:rowOff>19050</xdr:rowOff>
    </xdr:from>
    <xdr:to>
      <xdr:col>12</xdr:col>
      <xdr:colOff>266700</xdr:colOff>
      <xdr:row>30</xdr:row>
      <xdr:rowOff>19050</xdr:rowOff>
    </xdr:to>
    <xdr:sp macro="" textlink="">
      <xdr:nvSpPr>
        <xdr:cNvPr id="14349" name="Line 12">
          <a:extLst>
            <a:ext uri="{FF2B5EF4-FFF2-40B4-BE49-F238E27FC236}">
              <a16:creationId xmlns:a16="http://schemas.microsoft.com/office/drawing/2014/main" id="{965E54C7-CA82-4B38-A2F5-C42125729888}"/>
            </a:ext>
          </a:extLst>
        </xdr:cNvPr>
        <xdr:cNvSpPr>
          <a:spLocks noChangeShapeType="1"/>
        </xdr:cNvSpPr>
      </xdr:nvSpPr>
      <xdr:spPr bwMode="auto">
        <a:xfrm>
          <a:off x="9315450" y="4962525"/>
          <a:ext cx="2019300" cy="0"/>
        </a:xfrm>
        <a:prstGeom prst="line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752475</xdr:colOff>
      <xdr:row>29</xdr:row>
      <xdr:rowOff>57150</xdr:rowOff>
    </xdr:from>
    <xdr:to>
      <xdr:col>12</xdr:col>
      <xdr:colOff>123825</xdr:colOff>
      <xdr:row>29</xdr:row>
      <xdr:rowOff>57150</xdr:rowOff>
    </xdr:to>
    <xdr:sp macro="" textlink="">
      <xdr:nvSpPr>
        <xdr:cNvPr id="14350" name="Line 14">
          <a:extLst>
            <a:ext uri="{FF2B5EF4-FFF2-40B4-BE49-F238E27FC236}">
              <a16:creationId xmlns:a16="http://schemas.microsoft.com/office/drawing/2014/main" id="{94743ED6-87FB-437D-9AF0-D86C1E9588F8}"/>
            </a:ext>
          </a:extLst>
        </xdr:cNvPr>
        <xdr:cNvSpPr>
          <a:spLocks noChangeShapeType="1"/>
        </xdr:cNvSpPr>
      </xdr:nvSpPr>
      <xdr:spPr bwMode="auto">
        <a:xfrm>
          <a:off x="10467975" y="4838700"/>
          <a:ext cx="723900" cy="0"/>
        </a:xfrm>
        <a:prstGeom prst="line">
          <a:avLst/>
        </a:prstGeom>
        <a:noFill/>
        <a:ln w="9360" cap="sq">
          <a:solidFill>
            <a:srgbClr val="8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104775</xdr:colOff>
      <xdr:row>28</xdr:row>
      <xdr:rowOff>57150</xdr:rowOff>
    </xdr:from>
    <xdr:to>
      <xdr:col>16</xdr:col>
      <xdr:colOff>447675</xdr:colOff>
      <xdr:row>30</xdr:row>
      <xdr:rowOff>47625</xdr:rowOff>
    </xdr:to>
    <xdr:sp macro="" textlink="" fLocksText="0">
      <xdr:nvSpPr>
        <xdr:cNvPr id="14351" name="Text Box 15">
          <a:extLst>
            <a:ext uri="{FF2B5EF4-FFF2-40B4-BE49-F238E27FC236}">
              <a16:creationId xmlns:a16="http://schemas.microsoft.com/office/drawing/2014/main" id="{920138B9-162E-4DEA-AF99-28B0B01C8B24}"/>
            </a:ext>
          </a:extLst>
        </xdr:cNvPr>
        <xdr:cNvSpPr txBox="1">
          <a:spLocks noChangeArrowheads="1"/>
        </xdr:cNvSpPr>
      </xdr:nvSpPr>
      <xdr:spPr bwMode="auto">
        <a:xfrm>
          <a:off x="11172825" y="4676775"/>
          <a:ext cx="2705100" cy="3143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PT" sz="1600" b="0" i="0" u="none" strike="noStrike" baseline="0">
              <a:solidFill>
                <a:srgbClr val="800000"/>
              </a:solidFill>
              <a:latin typeface="Arial"/>
              <a:cs typeface="Arial"/>
            </a:rPr>
            <a:t>(Current assets – Inventory)</a:t>
          </a:r>
        </a:p>
      </xdr:txBody>
    </xdr:sp>
    <xdr:clientData/>
  </xdr:twoCellAnchor>
  <xdr:twoCellAnchor>
    <xdr:from>
      <xdr:col>7</xdr:col>
      <xdr:colOff>47625</xdr:colOff>
      <xdr:row>27</xdr:row>
      <xdr:rowOff>95250</xdr:rowOff>
    </xdr:from>
    <xdr:to>
      <xdr:col>8</xdr:col>
      <xdr:colOff>28575</xdr:colOff>
      <xdr:row>29</xdr:row>
      <xdr:rowOff>133350</xdr:rowOff>
    </xdr:to>
    <xdr:sp macro="" textlink="">
      <xdr:nvSpPr>
        <xdr:cNvPr id="14352" name="Line 14">
          <a:extLst>
            <a:ext uri="{FF2B5EF4-FFF2-40B4-BE49-F238E27FC236}">
              <a16:creationId xmlns:a16="http://schemas.microsoft.com/office/drawing/2014/main" id="{7B9376C8-1ADF-4D68-85EC-5A3AF97C972A}"/>
            </a:ext>
          </a:extLst>
        </xdr:cNvPr>
        <xdr:cNvSpPr>
          <a:spLocks noChangeShapeType="1"/>
        </xdr:cNvSpPr>
      </xdr:nvSpPr>
      <xdr:spPr bwMode="auto">
        <a:xfrm>
          <a:off x="7477125" y="4552950"/>
          <a:ext cx="742950" cy="361950"/>
        </a:xfrm>
        <a:prstGeom prst="line">
          <a:avLst/>
        </a:prstGeom>
        <a:noFill/>
        <a:ln w="9360" cap="sq">
          <a:solidFill>
            <a:srgbClr val="8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9525</xdr:colOff>
      <xdr:row>25</xdr:row>
      <xdr:rowOff>133350</xdr:rowOff>
    </xdr:from>
    <xdr:to>
      <xdr:col>8</xdr:col>
      <xdr:colOff>9525</xdr:colOff>
      <xdr:row>26</xdr:row>
      <xdr:rowOff>76200</xdr:rowOff>
    </xdr:to>
    <xdr:sp macro="" textlink="">
      <xdr:nvSpPr>
        <xdr:cNvPr id="14353" name="Line 14">
          <a:extLst>
            <a:ext uri="{FF2B5EF4-FFF2-40B4-BE49-F238E27FC236}">
              <a16:creationId xmlns:a16="http://schemas.microsoft.com/office/drawing/2014/main" id="{8ED3E3C6-EBE1-40A5-A4C5-D5D99993C364}"/>
            </a:ext>
          </a:extLst>
        </xdr:cNvPr>
        <xdr:cNvSpPr>
          <a:spLocks noChangeShapeType="1"/>
        </xdr:cNvSpPr>
      </xdr:nvSpPr>
      <xdr:spPr bwMode="auto">
        <a:xfrm flipV="1">
          <a:off x="7439025" y="4267200"/>
          <a:ext cx="762000" cy="104775"/>
        </a:xfrm>
        <a:prstGeom prst="line">
          <a:avLst/>
        </a:prstGeom>
        <a:noFill/>
        <a:ln w="9360" cap="sq">
          <a:solidFill>
            <a:srgbClr val="8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47625</xdr:colOff>
      <xdr:row>7</xdr:row>
      <xdr:rowOff>66675</xdr:rowOff>
    </xdr:from>
    <xdr:to>
      <xdr:col>8</xdr:col>
      <xdr:colOff>57150</xdr:colOff>
      <xdr:row>7</xdr:row>
      <xdr:rowOff>76200</xdr:rowOff>
    </xdr:to>
    <xdr:sp macro="" textlink="">
      <xdr:nvSpPr>
        <xdr:cNvPr id="14354" name="Line 14">
          <a:extLst>
            <a:ext uri="{FF2B5EF4-FFF2-40B4-BE49-F238E27FC236}">
              <a16:creationId xmlns:a16="http://schemas.microsoft.com/office/drawing/2014/main" id="{895E0554-7D32-4C5D-8005-4B3488B68C9D}"/>
            </a:ext>
          </a:extLst>
        </xdr:cNvPr>
        <xdr:cNvSpPr>
          <a:spLocks noChangeShapeType="1"/>
        </xdr:cNvSpPr>
      </xdr:nvSpPr>
      <xdr:spPr bwMode="auto">
        <a:xfrm>
          <a:off x="7477125" y="1209675"/>
          <a:ext cx="771525" cy="9525"/>
        </a:xfrm>
        <a:prstGeom prst="line">
          <a:avLst/>
        </a:prstGeom>
        <a:noFill/>
        <a:ln w="9360" cap="sq">
          <a:solidFill>
            <a:srgbClr val="8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85725</xdr:colOff>
      <xdr:row>14</xdr:row>
      <xdr:rowOff>85725</xdr:rowOff>
    </xdr:from>
    <xdr:to>
      <xdr:col>13</xdr:col>
      <xdr:colOff>219075</xdr:colOff>
      <xdr:row>16</xdr:row>
      <xdr:rowOff>28575</xdr:rowOff>
    </xdr:to>
    <xdr:sp macro="" textlink="" fLocksText="0">
      <xdr:nvSpPr>
        <xdr:cNvPr id="14355" name="Rectangle 21">
          <a:extLst>
            <a:ext uri="{FF2B5EF4-FFF2-40B4-BE49-F238E27FC236}">
              <a16:creationId xmlns:a16="http://schemas.microsoft.com/office/drawing/2014/main" id="{E08EF3E6-FA58-4BD7-9ED8-AFFB2D41DB3B}"/>
            </a:ext>
          </a:extLst>
        </xdr:cNvPr>
        <xdr:cNvSpPr>
          <a:spLocks noChangeArrowheads="1"/>
        </xdr:cNvSpPr>
      </xdr:nvSpPr>
      <xdr:spPr bwMode="auto">
        <a:xfrm>
          <a:off x="8277225" y="2362200"/>
          <a:ext cx="3600450" cy="266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PT" sz="1200" b="0" i="0" u="none" strike="noStrike" baseline="0">
              <a:solidFill>
                <a:srgbClr val="333333"/>
              </a:solidFill>
              <a:latin typeface="Arial"/>
              <a:cs typeface="Arial"/>
            </a:rPr>
            <a:t>Net Profit on Sales  =</a:t>
          </a:r>
        </a:p>
      </xdr:txBody>
    </xdr:sp>
    <xdr:clientData/>
  </xdr:twoCellAnchor>
  <xdr:twoCellAnchor>
    <xdr:from>
      <xdr:col>10</xdr:col>
      <xdr:colOff>152400</xdr:colOff>
      <xdr:row>13</xdr:row>
      <xdr:rowOff>114300</xdr:rowOff>
    </xdr:from>
    <xdr:to>
      <xdr:col>15</xdr:col>
      <xdr:colOff>266700</xdr:colOff>
      <xdr:row>15</xdr:row>
      <xdr:rowOff>57150</xdr:rowOff>
    </xdr:to>
    <xdr:sp macro="" textlink="" fLocksText="0">
      <xdr:nvSpPr>
        <xdr:cNvPr id="14356" name="Rectangle 22">
          <a:extLst>
            <a:ext uri="{FF2B5EF4-FFF2-40B4-BE49-F238E27FC236}">
              <a16:creationId xmlns:a16="http://schemas.microsoft.com/office/drawing/2014/main" id="{EDF388AE-D6B9-4B1A-894A-F8E25E24F206}"/>
            </a:ext>
          </a:extLst>
        </xdr:cNvPr>
        <xdr:cNvSpPr>
          <a:spLocks noChangeArrowheads="1"/>
        </xdr:cNvSpPr>
      </xdr:nvSpPr>
      <xdr:spPr bwMode="auto">
        <a:xfrm>
          <a:off x="9867900" y="2228850"/>
          <a:ext cx="3238500" cy="266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PT" sz="1200" b="0" i="0" u="none" strike="noStrike" baseline="0">
              <a:solidFill>
                <a:srgbClr val="333333"/>
              </a:solidFill>
              <a:latin typeface="Arial"/>
              <a:cs typeface="Arial"/>
            </a:rPr>
            <a:t>Net Profit</a:t>
          </a:r>
        </a:p>
      </xdr:txBody>
    </xdr:sp>
    <xdr:clientData/>
  </xdr:twoCellAnchor>
  <xdr:twoCellAnchor>
    <xdr:from>
      <xdr:col>10</xdr:col>
      <xdr:colOff>180975</xdr:colOff>
      <xdr:row>15</xdr:row>
      <xdr:rowOff>57150</xdr:rowOff>
    </xdr:from>
    <xdr:to>
      <xdr:col>14</xdr:col>
      <xdr:colOff>533400</xdr:colOff>
      <xdr:row>16</xdr:row>
      <xdr:rowOff>161925</xdr:rowOff>
    </xdr:to>
    <xdr:sp macro="" textlink="" fLocksText="0">
      <xdr:nvSpPr>
        <xdr:cNvPr id="14357" name="Rectangle 23">
          <a:extLst>
            <a:ext uri="{FF2B5EF4-FFF2-40B4-BE49-F238E27FC236}">
              <a16:creationId xmlns:a16="http://schemas.microsoft.com/office/drawing/2014/main" id="{E0818466-87A0-4067-AB38-A926CF179A06}"/>
            </a:ext>
          </a:extLst>
        </xdr:cNvPr>
        <xdr:cNvSpPr>
          <a:spLocks noChangeArrowheads="1"/>
        </xdr:cNvSpPr>
      </xdr:nvSpPr>
      <xdr:spPr bwMode="auto">
        <a:xfrm>
          <a:off x="9896475" y="2495550"/>
          <a:ext cx="2886075" cy="266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PT" sz="1200" b="0" i="0" u="none" strike="noStrike" baseline="0">
              <a:solidFill>
                <a:srgbClr val="333333"/>
              </a:solidFill>
              <a:latin typeface="Arial"/>
              <a:cs typeface="Arial"/>
            </a:rPr>
            <a:t>Net  Sales</a:t>
          </a:r>
        </a:p>
      </xdr:txBody>
    </xdr:sp>
    <xdr:clientData/>
  </xdr:twoCellAnchor>
  <xdr:twoCellAnchor>
    <xdr:from>
      <xdr:col>10</xdr:col>
      <xdr:colOff>161925</xdr:colOff>
      <xdr:row>15</xdr:row>
      <xdr:rowOff>57150</xdr:rowOff>
    </xdr:from>
    <xdr:to>
      <xdr:col>13</xdr:col>
      <xdr:colOff>19050</xdr:colOff>
      <xdr:row>15</xdr:row>
      <xdr:rowOff>57150</xdr:rowOff>
    </xdr:to>
    <xdr:sp macro="" textlink="">
      <xdr:nvSpPr>
        <xdr:cNvPr id="14358" name="Line 9">
          <a:extLst>
            <a:ext uri="{FF2B5EF4-FFF2-40B4-BE49-F238E27FC236}">
              <a16:creationId xmlns:a16="http://schemas.microsoft.com/office/drawing/2014/main" id="{61369C47-92D5-45E6-9637-EA1031852A44}"/>
            </a:ext>
          </a:extLst>
        </xdr:cNvPr>
        <xdr:cNvSpPr>
          <a:spLocks noChangeShapeType="1"/>
        </xdr:cNvSpPr>
      </xdr:nvSpPr>
      <xdr:spPr bwMode="auto">
        <a:xfrm>
          <a:off x="9877425" y="2495550"/>
          <a:ext cx="1800225" cy="0"/>
        </a:xfrm>
        <a:prstGeom prst="line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38100</xdr:colOff>
      <xdr:row>8</xdr:row>
      <xdr:rowOff>85725</xdr:rowOff>
    </xdr:from>
    <xdr:to>
      <xdr:col>8</xdr:col>
      <xdr:colOff>161925</xdr:colOff>
      <xdr:row>15</xdr:row>
      <xdr:rowOff>47625</xdr:rowOff>
    </xdr:to>
    <xdr:sp macro="" textlink="">
      <xdr:nvSpPr>
        <xdr:cNvPr id="14359" name="Line 14">
          <a:extLst>
            <a:ext uri="{FF2B5EF4-FFF2-40B4-BE49-F238E27FC236}">
              <a16:creationId xmlns:a16="http://schemas.microsoft.com/office/drawing/2014/main" id="{7FAA2C9C-42F9-4370-82F1-2A4EC841CB4C}"/>
            </a:ext>
          </a:extLst>
        </xdr:cNvPr>
        <xdr:cNvSpPr>
          <a:spLocks noChangeShapeType="1"/>
        </xdr:cNvSpPr>
      </xdr:nvSpPr>
      <xdr:spPr bwMode="auto">
        <a:xfrm>
          <a:off x="7467600" y="1390650"/>
          <a:ext cx="885825" cy="1095375"/>
        </a:xfrm>
        <a:prstGeom prst="line">
          <a:avLst/>
        </a:prstGeom>
        <a:noFill/>
        <a:ln w="9360" cap="sq">
          <a:solidFill>
            <a:srgbClr val="8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152400</xdr:rowOff>
    </xdr:from>
    <xdr:to>
      <xdr:col>12</xdr:col>
      <xdr:colOff>123825</xdr:colOff>
      <xdr:row>16</xdr:row>
      <xdr:rowOff>123825</xdr:rowOff>
    </xdr:to>
    <xdr:graphicFrame macro="">
      <xdr:nvGraphicFramePr>
        <xdr:cNvPr id="16385" name="Gráfico 1">
          <a:extLst>
            <a:ext uri="{FF2B5EF4-FFF2-40B4-BE49-F238E27FC236}">
              <a16:creationId xmlns:a16="http://schemas.microsoft.com/office/drawing/2014/main" id="{678C9859-C74F-4FE1-BC44-115AA2774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17</xdr:row>
      <xdr:rowOff>95250</xdr:rowOff>
    </xdr:from>
    <xdr:to>
      <xdr:col>12</xdr:col>
      <xdr:colOff>123825</xdr:colOff>
      <xdr:row>33</xdr:row>
      <xdr:rowOff>66675</xdr:rowOff>
    </xdr:to>
    <xdr:graphicFrame macro="">
      <xdr:nvGraphicFramePr>
        <xdr:cNvPr id="16386" name="Gráfico 2">
          <a:extLst>
            <a:ext uri="{FF2B5EF4-FFF2-40B4-BE49-F238E27FC236}">
              <a16:creationId xmlns:a16="http://schemas.microsoft.com/office/drawing/2014/main" id="{82A473B0-E982-41B6-B426-A30C2BAC8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34</xdr:row>
      <xdr:rowOff>133350</xdr:rowOff>
    </xdr:from>
    <xdr:to>
      <xdr:col>12</xdr:col>
      <xdr:colOff>104775</xdr:colOff>
      <xdr:row>50</xdr:row>
      <xdr:rowOff>95250</xdr:rowOff>
    </xdr:to>
    <xdr:graphicFrame macro="">
      <xdr:nvGraphicFramePr>
        <xdr:cNvPr id="16387" name="Gráfico 3">
          <a:extLst>
            <a:ext uri="{FF2B5EF4-FFF2-40B4-BE49-F238E27FC236}">
              <a16:creationId xmlns:a16="http://schemas.microsoft.com/office/drawing/2014/main" id="{80D4DC02-C5BD-40E3-BC29-DF0910130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30"/>
  <sheetViews>
    <sheetView showGridLines="0" workbookViewId="0">
      <selection activeCell="C13" sqref="C13"/>
    </sheetView>
  </sheetViews>
  <sheetFormatPr defaultRowHeight="12.75"/>
  <cols>
    <col min="1" max="1" width="3.85546875" style="1" customWidth="1"/>
    <col min="2" max="2" width="9.140625" style="1"/>
    <col min="3" max="3" width="88.5703125" style="1" customWidth="1"/>
    <col min="4" max="16384" width="9.140625" style="1"/>
  </cols>
  <sheetData>
    <row r="1" spans="2:3" ht="13.5">
      <c r="B1" s="2"/>
      <c r="C1" s="2"/>
    </row>
    <row r="2" spans="2:3" ht="13.5">
      <c r="B2" s="362" t="s">
        <v>0</v>
      </c>
      <c r="C2" s="362"/>
    </row>
    <row r="3" spans="2:3" ht="13.5">
      <c r="B3" s="2"/>
      <c r="C3" s="2"/>
    </row>
    <row r="4" spans="2:3" ht="13.5">
      <c r="B4" s="2"/>
      <c r="C4" s="2"/>
    </row>
    <row r="5" spans="2:3" ht="13.5">
      <c r="B5" s="3" t="s">
        <v>1</v>
      </c>
      <c r="C5" s="2"/>
    </row>
    <row r="6" spans="2:3">
      <c r="B6" s="363" t="s">
        <v>2</v>
      </c>
      <c r="C6" s="363"/>
    </row>
    <row r="7" spans="2:3">
      <c r="B7" s="363" t="s">
        <v>3</v>
      </c>
      <c r="C7" s="363"/>
    </row>
    <row r="8" spans="2:3" ht="12.75" customHeight="1">
      <c r="B8" s="364" t="s">
        <v>4</v>
      </c>
      <c r="C8" s="364"/>
    </row>
    <row r="9" spans="2:3" ht="12.75" customHeight="1">
      <c r="B9" s="364" t="s">
        <v>5</v>
      </c>
      <c r="C9" s="364"/>
    </row>
    <row r="10" spans="2:3" ht="13.5">
      <c r="B10" s="4"/>
      <c r="C10" s="5"/>
    </row>
    <row r="11" spans="2:3" ht="13.5">
      <c r="B11" s="4"/>
      <c r="C11" s="5"/>
    </row>
    <row r="12" spans="2:3" ht="13.5">
      <c r="B12" s="6" t="s">
        <v>6</v>
      </c>
      <c r="C12" s="5"/>
    </row>
    <row r="13" spans="2:3" ht="13.5">
      <c r="B13" s="6"/>
      <c r="C13" s="5"/>
    </row>
    <row r="14" spans="2:3" ht="40.5" customHeight="1">
      <c r="B14" s="7">
        <v>1</v>
      </c>
      <c r="C14" s="8" t="s">
        <v>7</v>
      </c>
    </row>
    <row r="15" spans="2:3" ht="13.5">
      <c r="B15" s="9"/>
      <c r="C15" s="5"/>
    </row>
    <row r="16" spans="2:3" ht="40.5" customHeight="1">
      <c r="B16" s="7">
        <v>2</v>
      </c>
      <c r="C16" s="8" t="s">
        <v>8</v>
      </c>
    </row>
    <row r="17" spans="2:3">
      <c r="B17" s="10"/>
      <c r="C17" s="11"/>
    </row>
    <row r="18" spans="2:3" ht="40.5" customHeight="1">
      <c r="B18" s="7">
        <v>3</v>
      </c>
      <c r="C18" s="8" t="s">
        <v>9</v>
      </c>
    </row>
    <row r="19" spans="2:3">
      <c r="B19" s="10"/>
      <c r="C19" s="11"/>
    </row>
    <row r="20" spans="2:3" ht="40.5" customHeight="1">
      <c r="B20" s="7">
        <v>4</v>
      </c>
      <c r="C20" s="12" t="s">
        <v>10</v>
      </c>
    </row>
    <row r="21" spans="2:3">
      <c r="B21" s="10"/>
      <c r="C21" s="11"/>
    </row>
    <row r="22" spans="2:3" ht="40.5" customHeight="1">
      <c r="B22" s="7">
        <v>5</v>
      </c>
      <c r="C22" s="8" t="s">
        <v>11</v>
      </c>
    </row>
    <row r="23" spans="2:3" ht="13.5">
      <c r="B23" s="13"/>
      <c r="C23" s="2"/>
    </row>
    <row r="24" spans="2:3" ht="40.5" customHeight="1">
      <c r="B24" s="7">
        <v>6</v>
      </c>
      <c r="C24" s="8" t="s">
        <v>12</v>
      </c>
    </row>
    <row r="25" spans="2:3" ht="13.5">
      <c r="B25" s="14"/>
      <c r="C25" s="2"/>
    </row>
    <row r="26" spans="2:3" ht="40.5" customHeight="1">
      <c r="B26" s="7">
        <v>7</v>
      </c>
      <c r="C26" s="15" t="s">
        <v>13</v>
      </c>
    </row>
    <row r="27" spans="2:3" ht="13.5">
      <c r="B27" s="14"/>
      <c r="C27" s="2"/>
    </row>
    <row r="28" spans="2:3" ht="40.5" customHeight="1">
      <c r="B28" s="7">
        <v>8</v>
      </c>
      <c r="C28" s="15" t="s">
        <v>14</v>
      </c>
    </row>
    <row r="29" spans="2:3" ht="13.5">
      <c r="B29" s="14"/>
      <c r="C29" s="2"/>
    </row>
    <row r="30" spans="2:3" ht="40.5" customHeight="1">
      <c r="B30" s="7">
        <v>9</v>
      </c>
      <c r="C30" s="15" t="s">
        <v>15</v>
      </c>
    </row>
  </sheetData>
  <sheetProtection selectLockedCells="1" selectUnlockedCells="1"/>
  <mergeCells count="5">
    <mergeCell ref="B2:C2"/>
    <mergeCell ref="B6:C6"/>
    <mergeCell ref="B7:C7"/>
    <mergeCell ref="B8:C8"/>
    <mergeCell ref="B9:C9"/>
  </mergeCells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showGridLines="0" topLeftCell="A32" workbookViewId="0">
      <selection activeCell="C33" sqref="C33"/>
    </sheetView>
  </sheetViews>
  <sheetFormatPr defaultColWidth="8.85546875" defaultRowHeight="12.75"/>
  <cols>
    <col min="1" max="1" width="40.85546875" style="16" customWidth="1"/>
    <col min="2" max="2" width="0.85546875" style="16" customWidth="1"/>
    <col min="3" max="7" width="11.42578125" style="16" customWidth="1"/>
    <col min="8" max="8" width="11.85546875" style="16" customWidth="1"/>
    <col min="9" max="16384" width="8.85546875" style="16"/>
  </cols>
  <sheetData>
    <row r="1" spans="1:8" ht="13.5">
      <c r="A1" s="50" t="s">
        <v>16</v>
      </c>
      <c r="B1" s="50" t="str">
        <f>+Pressupostos!B1</f>
        <v>Herbawatter</v>
      </c>
      <c r="C1" s="50"/>
      <c r="D1" s="50"/>
      <c r="E1" s="51"/>
      <c r="F1" s="51"/>
      <c r="G1" s="51"/>
      <c r="H1" s="51"/>
    </row>
    <row r="2" spans="1:8">
      <c r="C2" s="94"/>
      <c r="H2" s="54" t="str">
        <f>+Pressupostos!B6</f>
        <v>(valores em euros)</v>
      </c>
    </row>
    <row r="3" spans="1:8">
      <c r="A3" s="365" t="s">
        <v>228</v>
      </c>
      <c r="B3" s="365"/>
      <c r="C3" s="365"/>
      <c r="D3" s="365"/>
      <c r="E3" s="365"/>
      <c r="F3" s="365"/>
      <c r="G3" s="365"/>
      <c r="H3" s="365"/>
    </row>
    <row r="4" spans="1:8">
      <c r="C4" s="172"/>
    </row>
    <row r="5" spans="1:8">
      <c r="C5" s="225"/>
    </row>
    <row r="6" spans="1:8">
      <c r="A6" s="155"/>
      <c r="B6" s="111"/>
      <c r="C6" s="57">
        <f>+VN!C5</f>
        <v>2016</v>
      </c>
      <c r="D6" s="57">
        <f>+VN!D5</f>
        <v>2017</v>
      </c>
      <c r="E6" s="57">
        <f>+VN!E5</f>
        <v>2018</v>
      </c>
      <c r="F6" s="57">
        <f>+VN!F5</f>
        <v>2019</v>
      </c>
      <c r="G6" s="57">
        <f>+VN!G5</f>
        <v>2020</v>
      </c>
      <c r="H6" s="57">
        <f>+VN!H5</f>
        <v>2021</v>
      </c>
    </row>
    <row r="7" spans="1:8">
      <c r="A7" s="155" t="s">
        <v>229</v>
      </c>
      <c r="B7" s="144"/>
      <c r="C7" s="226">
        <f>+VN!C26+VN!C38</f>
        <v>29.99</v>
      </c>
      <c r="D7" s="226">
        <f>+VN!D26+VN!D38</f>
        <v>71976</v>
      </c>
      <c r="E7" s="226">
        <f>+VN!E26+VN!E38</f>
        <v>213624.76800000001</v>
      </c>
      <c r="F7" s="226">
        <f>+VN!F26+VN!F38</f>
        <v>422122.54156800004</v>
      </c>
      <c r="G7" s="226">
        <f>+VN!G26+VN!G38</f>
        <v>543482.77226880006</v>
      </c>
      <c r="H7" s="226">
        <f>+VN!H26+VN!H38</f>
        <v>641309.67127718404</v>
      </c>
    </row>
    <row r="8" spans="1:8">
      <c r="A8" s="155" t="s">
        <v>230</v>
      </c>
      <c r="B8" s="144"/>
      <c r="C8" s="226">
        <f>+VN!C51+VN!C63</f>
        <v>0</v>
      </c>
      <c r="D8" s="226">
        <f>+VN!D51+VN!D63</f>
        <v>0</v>
      </c>
      <c r="E8" s="226">
        <f>+VN!E51+VN!E63</f>
        <v>0</v>
      </c>
      <c r="F8" s="226">
        <f>+VN!F51+VN!F63</f>
        <v>0</v>
      </c>
      <c r="G8" s="226">
        <f>+VN!G51+VN!G63</f>
        <v>0</v>
      </c>
      <c r="H8" s="226">
        <f>+VN!H51+VN!H63</f>
        <v>0</v>
      </c>
    </row>
    <row r="9" spans="1:8">
      <c r="A9" s="387" t="s">
        <v>231</v>
      </c>
      <c r="B9" s="387"/>
      <c r="C9" s="72">
        <f t="shared" ref="C9:H9" si="0">SUM(C7:C8)</f>
        <v>29.99</v>
      </c>
      <c r="D9" s="72">
        <f t="shared" si="0"/>
        <v>71976</v>
      </c>
      <c r="E9" s="72">
        <f t="shared" si="0"/>
        <v>213624.76800000001</v>
      </c>
      <c r="F9" s="72">
        <f t="shared" si="0"/>
        <v>422122.54156800004</v>
      </c>
      <c r="G9" s="72">
        <f t="shared" si="0"/>
        <v>543482.77226880006</v>
      </c>
      <c r="H9" s="72">
        <f t="shared" si="0"/>
        <v>641309.67127718404</v>
      </c>
    </row>
    <row r="10" spans="1:8">
      <c r="A10" s="155" t="s">
        <v>232</v>
      </c>
      <c r="B10" s="144"/>
      <c r="C10" s="227"/>
      <c r="D10" s="227"/>
      <c r="E10" s="227"/>
      <c r="F10" s="227"/>
      <c r="G10" s="227"/>
      <c r="H10" s="227"/>
    </row>
    <row r="11" spans="1:8">
      <c r="A11" s="155" t="s">
        <v>79</v>
      </c>
      <c r="B11" s="144"/>
      <c r="C11" s="226">
        <f>+CMVMC!C11</f>
        <v>9.5967999999999982</v>
      </c>
      <c r="D11" s="226">
        <f>+CMVMC!D11</f>
        <v>23032.319999999996</v>
      </c>
      <c r="E11" s="226">
        <f>+CMVMC!E11</f>
        <v>68359.925759999998</v>
      </c>
      <c r="F11" s="226">
        <f>+CMVMC!F11</f>
        <v>135079.21330176</v>
      </c>
      <c r="G11" s="226">
        <f>+CMVMC!G11</f>
        <v>173914.487126016</v>
      </c>
      <c r="H11" s="226">
        <f>+CMVMC!H11</f>
        <v>205219.09480869886</v>
      </c>
    </row>
    <row r="12" spans="1:8">
      <c r="A12" s="155" t="s">
        <v>233</v>
      </c>
      <c r="B12" s="144"/>
      <c r="C12" s="226">
        <f>+FSE!F42</f>
        <v>1846.5</v>
      </c>
      <c r="D12" s="226">
        <f>+FSE!G42</f>
        <v>11817.6</v>
      </c>
      <c r="E12" s="226">
        <f>+FSE!H42</f>
        <v>15362.880000000001</v>
      </c>
      <c r="F12" s="226">
        <f>+FSE!I42</f>
        <v>19203.599999999999</v>
      </c>
      <c r="G12" s="226">
        <f>+FSE!J42</f>
        <v>22084.14</v>
      </c>
      <c r="H12" s="226">
        <f>+FSE!K42</f>
        <v>24292.554</v>
      </c>
    </row>
    <row r="13" spans="1:8">
      <c r="A13" s="387" t="s">
        <v>234</v>
      </c>
      <c r="B13" s="387"/>
      <c r="C13" s="72">
        <f t="shared" ref="C13:H13" si="1">+C9-C10-C11-C12</f>
        <v>-1826.1068</v>
      </c>
      <c r="D13" s="72">
        <f t="shared" si="1"/>
        <v>37126.080000000009</v>
      </c>
      <c r="E13" s="72">
        <f t="shared" si="1"/>
        <v>129901.96224000002</v>
      </c>
      <c r="F13" s="72">
        <f t="shared" si="1"/>
        <v>267839.7282662401</v>
      </c>
      <c r="G13" s="72">
        <f t="shared" si="1"/>
        <v>347484.14514278405</v>
      </c>
      <c r="H13" s="72">
        <f t="shared" si="1"/>
        <v>411798.02246848517</v>
      </c>
    </row>
    <row r="14" spans="1:8">
      <c r="A14" s="147"/>
      <c r="B14" s="147"/>
      <c r="C14" s="228">
        <f t="shared" ref="C14:H14" si="2">+C13/C9</f>
        <v>-60.890523507835951</v>
      </c>
      <c r="D14" s="228">
        <f t="shared" si="2"/>
        <v>0.51581193731243757</v>
      </c>
      <c r="E14" s="228">
        <f t="shared" si="2"/>
        <v>0.60808474343199759</v>
      </c>
      <c r="F14" s="228">
        <f t="shared" si="2"/>
        <v>0.63450704923582857</v>
      </c>
      <c r="G14" s="228">
        <f t="shared" si="2"/>
        <v>0.63936551970578848</v>
      </c>
      <c r="H14" s="228">
        <f t="shared" si="2"/>
        <v>0.64212039972573509</v>
      </c>
    </row>
    <row r="15" spans="1:8">
      <c r="A15" s="155" t="s">
        <v>235</v>
      </c>
      <c r="B15" s="144"/>
      <c r="C15" s="226">
        <f>+FSE!F40</f>
        <v>424.74</v>
      </c>
      <c r="D15" s="226">
        <f>+FSE!G40</f>
        <v>2718.3359999999998</v>
      </c>
      <c r="E15" s="226">
        <f>+FSE!H40</f>
        <v>3533.8368</v>
      </c>
      <c r="F15" s="226">
        <f>+FSE!I40</f>
        <v>4417.2960000000003</v>
      </c>
      <c r="G15" s="226">
        <f>+FSE!J40</f>
        <v>5079.8904000000002</v>
      </c>
      <c r="H15" s="226">
        <f>+FSE!K40</f>
        <v>5587.8794400000006</v>
      </c>
    </row>
    <row r="16" spans="1:8">
      <c r="A16" s="387" t="s">
        <v>236</v>
      </c>
      <c r="B16" s="387"/>
      <c r="C16" s="72">
        <f t="shared" ref="C16:H16" si="3">+C13-C15</f>
        <v>-2250.8468000000003</v>
      </c>
      <c r="D16" s="72">
        <f t="shared" si="3"/>
        <v>34407.744000000006</v>
      </c>
      <c r="E16" s="72">
        <f t="shared" si="3"/>
        <v>126368.12544000002</v>
      </c>
      <c r="F16" s="72">
        <f t="shared" si="3"/>
        <v>263422.43226624012</v>
      </c>
      <c r="G16" s="72">
        <f t="shared" si="3"/>
        <v>342404.25474278408</v>
      </c>
      <c r="H16" s="72">
        <f t="shared" si="3"/>
        <v>406210.14302848518</v>
      </c>
    </row>
    <row r="17" spans="1:8">
      <c r="A17" s="155" t="s">
        <v>237</v>
      </c>
      <c r="B17" s="144"/>
      <c r="C17" s="227"/>
      <c r="D17" s="227"/>
      <c r="E17" s="227"/>
      <c r="F17" s="227"/>
      <c r="G17" s="227"/>
      <c r="H17" s="227"/>
    </row>
    <row r="18" spans="1:8">
      <c r="A18" s="155" t="s">
        <v>238</v>
      </c>
      <c r="B18" s="144"/>
      <c r="C18" s="226">
        <f>+'Custos Pessoal'!D62</f>
        <v>50132.25</v>
      </c>
      <c r="D18" s="226">
        <f>+'Custos Pessoal'!E62</f>
        <v>103301.68</v>
      </c>
      <c r="E18" s="226">
        <f>+'Custos Pessoal'!F62</f>
        <v>112485.81440000002</v>
      </c>
      <c r="F18" s="226">
        <f>+'Custos Pessoal'!G62</f>
        <v>117614.96326400001</v>
      </c>
      <c r="G18" s="226">
        <f>+'Custos Pessoal'!H62</f>
        <v>122299.56179456002</v>
      </c>
      <c r="H18" s="226">
        <f>+'Custos Pessoal'!I62</f>
        <v>127171.54426634243</v>
      </c>
    </row>
    <row r="19" spans="1:8">
      <c r="A19" s="155" t="s">
        <v>239</v>
      </c>
      <c r="B19" s="144"/>
      <c r="C19" s="228">
        <f t="shared" ref="C19:H19" si="4">+C18/C9</f>
        <v>1671.6322107369124</v>
      </c>
      <c r="D19" s="228">
        <f t="shared" si="4"/>
        <v>1.4352239635434032</v>
      </c>
      <c r="E19" s="228">
        <f t="shared" si="4"/>
        <v>0.52655792421972347</v>
      </c>
      <c r="F19" s="228">
        <f t="shared" si="4"/>
        <v>0.27862753509232657</v>
      </c>
      <c r="G19" s="228">
        <f t="shared" si="4"/>
        <v>0.225029325739275</v>
      </c>
      <c r="H19" s="228">
        <f t="shared" si="4"/>
        <v>0.19829974497823674</v>
      </c>
    </row>
    <row r="20" spans="1:8">
      <c r="A20" s="155" t="s">
        <v>240</v>
      </c>
      <c r="B20" s="144"/>
      <c r="C20" s="227"/>
      <c r="D20" s="227"/>
      <c r="E20" s="227"/>
      <c r="F20" s="227"/>
      <c r="G20" s="227"/>
      <c r="H20" s="227"/>
    </row>
    <row r="21" spans="1:8">
      <c r="A21" s="155" t="s">
        <v>241</v>
      </c>
      <c r="B21" s="144"/>
      <c r="C21" s="227"/>
      <c r="D21" s="227"/>
      <c r="E21" s="227"/>
      <c r="F21" s="227"/>
      <c r="G21" s="227"/>
      <c r="H21" s="227"/>
    </row>
    <row r="22" spans="1:8">
      <c r="A22" s="387" t="s">
        <v>242</v>
      </c>
      <c r="B22" s="387"/>
      <c r="C22" s="72">
        <f t="shared" ref="C22:H22" si="5">+C16-C17-C18-C20+C21</f>
        <v>-52383.096799999999</v>
      </c>
      <c r="D22" s="72">
        <f t="shared" si="5"/>
        <v>-68893.935999999987</v>
      </c>
      <c r="E22" s="72">
        <f t="shared" si="5"/>
        <v>13882.311040000001</v>
      </c>
      <c r="F22" s="72">
        <f t="shared" si="5"/>
        <v>145807.4690022401</v>
      </c>
      <c r="G22" s="72">
        <f t="shared" si="5"/>
        <v>220104.69294822405</v>
      </c>
      <c r="H22" s="72">
        <f t="shared" si="5"/>
        <v>279038.59876214276</v>
      </c>
    </row>
    <row r="23" spans="1:8">
      <c r="A23" s="155" t="s">
        <v>243</v>
      </c>
      <c r="B23" s="144"/>
      <c r="C23" s="226">
        <f>+Investimentos!C66</f>
        <v>1875</v>
      </c>
      <c r="D23" s="226">
        <f>+Investimentos!D66</f>
        <v>2045</v>
      </c>
      <c r="E23" s="226">
        <f>+Investimentos!E66</f>
        <v>2045</v>
      </c>
      <c r="F23" s="226">
        <f>+Investimentos!F66</f>
        <v>2045</v>
      </c>
      <c r="G23" s="226">
        <f>+Investimentos!G66</f>
        <v>220</v>
      </c>
      <c r="H23" s="226">
        <f>+Investimentos!H66</f>
        <v>70</v>
      </c>
    </row>
    <row r="24" spans="1:8">
      <c r="A24" s="155" t="s">
        <v>244</v>
      </c>
      <c r="B24" s="144"/>
      <c r="C24" s="226"/>
      <c r="D24" s="226"/>
      <c r="E24" s="226"/>
      <c r="F24" s="226"/>
      <c r="G24" s="226"/>
      <c r="H24" s="226"/>
    </row>
    <row r="25" spans="1:8">
      <c r="A25" s="387" t="s">
        <v>245</v>
      </c>
      <c r="B25" s="387"/>
      <c r="C25" s="72">
        <f t="shared" ref="C25:H25" si="6">+C22-C23-C24</f>
        <v>-54258.096799999999</v>
      </c>
      <c r="D25" s="72">
        <f t="shared" si="6"/>
        <v>-70938.935999999987</v>
      </c>
      <c r="E25" s="72">
        <f t="shared" si="6"/>
        <v>11837.311040000001</v>
      </c>
      <c r="F25" s="72">
        <f t="shared" si="6"/>
        <v>143762.4690022401</v>
      </c>
      <c r="G25" s="72">
        <f t="shared" si="6"/>
        <v>219884.69294822405</v>
      </c>
      <c r="H25" s="72">
        <f t="shared" si="6"/>
        <v>278968.59876214276</v>
      </c>
    </row>
    <row r="26" spans="1:8">
      <c r="A26" s="155" t="s">
        <v>246</v>
      </c>
      <c r="B26" s="144"/>
      <c r="C26" s="226">
        <f>Financiamento!C78+IF(PlanoFinanceiro!C28&lt;0,-PlanoFinanceiro!C28*Pressupostos!$B$22,0)</f>
        <v>3099.6320868510643</v>
      </c>
      <c r="D26" s="226">
        <f>Financiamento!D78+IF(PlanoFinanceiro!D28&lt;0,-PlanoFinanceiro!D28*Pressupostos!$B$22,0)</f>
        <v>5215.5022863947479</v>
      </c>
      <c r="E26" s="226">
        <f>Financiamento!E78+IF(PlanoFinanceiro!E28&lt;0,-PlanoFinanceiro!E28*Pressupostos!$B$22,0)</f>
        <v>4926.480630258241</v>
      </c>
      <c r="F26" s="226">
        <f>Financiamento!F78+IF(PlanoFinanceiro!F28&lt;0,-PlanoFinanceiro!F28*Pressupostos!$B$22,0)</f>
        <v>0</v>
      </c>
      <c r="G26" s="226">
        <f>Financiamento!G78+IF(PlanoFinanceiro!G28&lt;0,-PlanoFinanceiro!G28*Pressupostos!$B$22,0)</f>
        <v>0</v>
      </c>
      <c r="H26" s="226">
        <f>Financiamento!H78+IF(PlanoFinanceiro!H28&lt;0,-PlanoFinanceiro!H28*Pressupostos!$B$22,0)</f>
        <v>0</v>
      </c>
    </row>
    <row r="27" spans="1:8">
      <c r="A27" s="155" t="s">
        <v>247</v>
      </c>
      <c r="B27" s="144"/>
      <c r="C27" s="226">
        <f>+IF(PlanoFinanceiro!C28&gt;0,PlanoFinanceiro!C28*Pressupostos!$B$22,0)</f>
        <v>0</v>
      </c>
      <c r="D27" s="226">
        <f>+IF(PlanoFinanceiro!D28&gt;0,PlanoFinanceiro!D28*Pressupostos!$B$22,0)</f>
        <v>0</v>
      </c>
      <c r="E27" s="226">
        <f>+IF(PlanoFinanceiro!E28&gt;0,PlanoFinanceiro!E28*Pressupostos!$B$22,0)</f>
        <v>0</v>
      </c>
      <c r="F27" s="226">
        <f>+IF(PlanoFinanceiro!F28&gt;0,PlanoFinanceiro!F28*Pressupostos!$B$22,0)</f>
        <v>3592.6674480328893</v>
      </c>
      <c r="G27" s="226">
        <f>+IF(PlanoFinanceiro!G28&gt;0,PlanoFinanceiro!G28*Pressupostos!$B$22,0)</f>
        <v>17332.077873406102</v>
      </c>
      <c r="H27" s="226">
        <f>+IF(PlanoFinanceiro!H28&gt;0,PlanoFinanceiro!H28*Pressupostos!$B$22,0)</f>
        <v>32874.877897427941</v>
      </c>
    </row>
    <row r="28" spans="1:8">
      <c r="A28" s="387" t="s">
        <v>248</v>
      </c>
      <c r="B28" s="387"/>
      <c r="C28" s="72">
        <f t="shared" ref="C28:H28" si="7">+C27-C26</f>
        <v>-3099.6320868510643</v>
      </c>
      <c r="D28" s="72">
        <f t="shared" si="7"/>
        <v>-5215.5022863947479</v>
      </c>
      <c r="E28" s="72">
        <f t="shared" si="7"/>
        <v>-4926.480630258241</v>
      </c>
      <c r="F28" s="72">
        <f t="shared" si="7"/>
        <v>3592.6674480328893</v>
      </c>
      <c r="G28" s="72">
        <f t="shared" si="7"/>
        <v>17332.077873406102</v>
      </c>
      <c r="H28" s="72">
        <f t="shared" si="7"/>
        <v>32874.877897427941</v>
      </c>
    </row>
    <row r="29" spans="1:8">
      <c r="A29" s="155" t="s">
        <v>249</v>
      </c>
      <c r="B29" s="144"/>
      <c r="C29" s="227"/>
      <c r="D29" s="227"/>
      <c r="E29" s="227"/>
      <c r="F29" s="227"/>
      <c r="G29" s="227"/>
      <c r="H29" s="227"/>
    </row>
    <row r="30" spans="1:8">
      <c r="A30" s="155" t="s">
        <v>250</v>
      </c>
      <c r="B30" s="144"/>
      <c r="C30" s="227"/>
      <c r="D30" s="227"/>
      <c r="E30" s="227"/>
      <c r="F30" s="227"/>
      <c r="G30" s="227"/>
      <c r="H30" s="227"/>
    </row>
    <row r="31" spans="1:8">
      <c r="A31" s="387" t="s">
        <v>251</v>
      </c>
      <c r="B31" s="387"/>
      <c r="C31" s="72">
        <f t="shared" ref="C31:H31" si="8">+C25+C28-C29+C30</f>
        <v>-57357.728886851066</v>
      </c>
      <c r="D31" s="72">
        <f t="shared" si="8"/>
        <v>-76154.438286394739</v>
      </c>
      <c r="E31" s="72">
        <f t="shared" si="8"/>
        <v>6910.8304097417595</v>
      </c>
      <c r="F31" s="72">
        <f t="shared" si="8"/>
        <v>147355.13645027298</v>
      </c>
      <c r="G31" s="72">
        <f t="shared" si="8"/>
        <v>237216.77082163014</v>
      </c>
      <c r="H31" s="72">
        <f t="shared" si="8"/>
        <v>311843.4766595707</v>
      </c>
    </row>
    <row r="32" spans="1:8">
      <c r="A32" s="155" t="s">
        <v>252</v>
      </c>
      <c r="B32" s="144"/>
      <c r="C32" s="226">
        <f>IF(C31&gt;0,C31*Pressupostos!$B$18,0)</f>
        <v>0</v>
      </c>
      <c r="D32" s="226">
        <f>IF(D31+D34&lt;0,0,(D31+D34)*Pressupostos!$B$18)</f>
        <v>0</v>
      </c>
      <c r="E32" s="226">
        <f>IF(E31+E34&lt;0,0,(E31+E34)*Pressupostos!$B$18)</f>
        <v>0</v>
      </c>
      <c r="F32" s="226">
        <f>IF(F31+F34&lt;0,0,(F31+F34)*Pressupostos!$B$18)</f>
        <v>4358.2979342214767</v>
      </c>
      <c r="G32" s="226">
        <f>IF(G31+G34&lt;0,0,(G31+G34)*Pressupostos!$B$18)</f>
        <v>49815.521872542326</v>
      </c>
      <c r="H32" s="226">
        <f>IF(H31+H34&lt;0,0,(H31+H34)*Pressupostos!$B$18)</f>
        <v>65487.130098509842</v>
      </c>
    </row>
    <row r="33" spans="1:8">
      <c r="A33" s="387" t="s">
        <v>253</v>
      </c>
      <c r="B33" s="387"/>
      <c r="C33" s="72">
        <f t="shared" ref="C33:H33" si="9">+C31-C32</f>
        <v>-57357.728886851066</v>
      </c>
      <c r="D33" s="72">
        <f t="shared" si="9"/>
        <v>-76154.438286394739</v>
      </c>
      <c r="E33" s="72">
        <f t="shared" si="9"/>
        <v>6910.8304097417595</v>
      </c>
      <c r="F33" s="72">
        <f t="shared" si="9"/>
        <v>142996.8385160515</v>
      </c>
      <c r="G33" s="72">
        <f t="shared" si="9"/>
        <v>187401.24894908781</v>
      </c>
      <c r="H33" s="72">
        <f t="shared" si="9"/>
        <v>246356.34656106087</v>
      </c>
    </row>
    <row r="34" spans="1:8">
      <c r="A34" s="229"/>
      <c r="C34" s="230"/>
      <c r="D34" s="231">
        <f>IF(C33&lt;0,C33,0)</f>
        <v>-57357.728886851066</v>
      </c>
      <c r="E34" s="231">
        <f>IF(D33+D34&lt;0,D33+D34,0)</f>
        <v>-133512.16717324581</v>
      </c>
      <c r="F34" s="231">
        <f>IF(E33+E34&lt;0,E33+E34,0)</f>
        <v>-126601.33676350405</v>
      </c>
      <c r="G34" s="232">
        <f>IF(F33+F34&lt;0,F33+F34,0)</f>
        <v>0</v>
      </c>
      <c r="H34" s="232">
        <f>IF(G33+G34&lt;0,G33+G34,0)</f>
        <v>0</v>
      </c>
    </row>
    <row r="35" spans="1:8">
      <c r="A35" s="387" t="s">
        <v>254</v>
      </c>
      <c r="B35" s="387"/>
      <c r="C35" s="233">
        <f t="shared" ref="C35:H35" si="10">(+C15+C17+C18+C23)/C9</f>
        <v>1748.3157719239746</v>
      </c>
      <c r="D35" s="233">
        <f t="shared" si="10"/>
        <v>1.5014034678226074</v>
      </c>
      <c r="E35" s="233">
        <f t="shared" si="10"/>
        <v>0.55267304585206156</v>
      </c>
      <c r="F35" s="233">
        <f t="shared" si="10"/>
        <v>0.29393658723627369</v>
      </c>
      <c r="G35" s="233">
        <f t="shared" si="10"/>
        <v>0.23478104312651674</v>
      </c>
      <c r="H35" s="233">
        <f t="shared" si="10"/>
        <v>0.20712212781979314</v>
      </c>
    </row>
    <row r="36" spans="1:8">
      <c r="A36" s="387" t="s">
        <v>255</v>
      </c>
      <c r="B36" s="387"/>
      <c r="C36" s="233">
        <f t="shared" ref="C36:H36" si="11">+C33/C9</f>
        <v>-1912.5618168339804</v>
      </c>
      <c r="D36" s="233">
        <f t="shared" si="11"/>
        <v>-1.0580532161608696</v>
      </c>
      <c r="E36" s="233">
        <f t="shared" si="11"/>
        <v>3.2350323768364532E-2</v>
      </c>
      <c r="F36" s="233">
        <f t="shared" si="11"/>
        <v>0.33875669843377942</v>
      </c>
      <c r="G36" s="233">
        <f t="shared" si="11"/>
        <v>0.34481543576215035</v>
      </c>
      <c r="H36" s="233">
        <f t="shared" si="11"/>
        <v>0.38414569059973186</v>
      </c>
    </row>
    <row r="37" spans="1:8">
      <c r="C37" s="94"/>
      <c r="D37" s="94"/>
      <c r="E37" s="94"/>
      <c r="F37" s="94"/>
      <c r="G37" s="94"/>
    </row>
    <row r="38" spans="1:8">
      <c r="C38" s="234"/>
      <c r="D38" s="234">
        <f>+IF(D33&gt;0,D33*Pressupostos!C19,0)</f>
        <v>0</v>
      </c>
      <c r="E38" s="234"/>
      <c r="F38" s="234">
        <f>+IF(F33&gt;0,F33*Pressupostos!E19,0)</f>
        <v>0</v>
      </c>
      <c r="G38" s="234">
        <f>+IF(G33&gt;0,G33*Pressupostos!F19,0)</f>
        <v>0</v>
      </c>
      <c r="H38" s="234">
        <f>+IF(H33&gt;0,H33*Pressupostos!G19,0)</f>
        <v>0</v>
      </c>
    </row>
  </sheetData>
  <sheetProtection selectLockedCells="1" selectUnlockedCells="1"/>
  <mergeCells count="11">
    <mergeCell ref="A28:B28"/>
    <mergeCell ref="A31:B31"/>
    <mergeCell ref="A33:B33"/>
    <mergeCell ref="A35:B35"/>
    <mergeCell ref="A36:B36"/>
    <mergeCell ref="A3:H3"/>
    <mergeCell ref="A9:B9"/>
    <mergeCell ref="A13:B13"/>
    <mergeCell ref="A16:B16"/>
    <mergeCell ref="A22:B22"/>
    <mergeCell ref="A25:B25"/>
  </mergeCells>
  <printOptions horizontalCentered="1"/>
  <pageMargins left="3.9583333333333331E-2" right="3.9583333333333331E-2" top="0.39374999999999999" bottom="0.39374999999999999" header="0.51180555555555551" footer="0.51180555555555551"/>
  <pageSetup paperSize="9" scale="90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showGridLines="0" workbookViewId="0">
      <selection activeCell="H22" sqref="H22"/>
    </sheetView>
  </sheetViews>
  <sheetFormatPr defaultColWidth="8.85546875" defaultRowHeight="10.5"/>
  <cols>
    <col min="1" max="1" width="30.85546875" style="235" customWidth="1"/>
    <col min="2" max="2" width="7.5703125" style="235" customWidth="1"/>
    <col min="3" max="13" width="11.42578125" style="235" customWidth="1"/>
    <col min="14" max="16384" width="8.85546875" style="235"/>
  </cols>
  <sheetData>
    <row r="1" spans="1:8" ht="13.5">
      <c r="A1" s="175" t="s">
        <v>16</v>
      </c>
      <c r="B1" s="176" t="str">
        <f>+Pressupostos!B1</f>
        <v>Herbawatter</v>
      </c>
      <c r="C1" s="177"/>
      <c r="D1" s="177"/>
      <c r="E1" s="177"/>
      <c r="F1" s="177"/>
      <c r="G1" s="177"/>
      <c r="H1" s="177"/>
    </row>
    <row r="2" spans="1:8" ht="12.75">
      <c r="A2" s="16"/>
      <c r="B2" s="16"/>
      <c r="C2" s="16"/>
      <c r="D2" s="16"/>
      <c r="E2" s="16"/>
      <c r="F2" s="16"/>
      <c r="G2" s="16"/>
      <c r="H2" s="54" t="str">
        <f>+Pressupostos!B6</f>
        <v>(valores em euros)</v>
      </c>
    </row>
    <row r="3" spans="1:8" ht="13.5" customHeight="1">
      <c r="A3" s="365" t="s">
        <v>256</v>
      </c>
      <c r="B3" s="365"/>
      <c r="C3" s="365"/>
      <c r="D3" s="365"/>
      <c r="E3" s="365"/>
      <c r="F3" s="365"/>
      <c r="G3" s="365"/>
      <c r="H3" s="365"/>
    </row>
    <row r="4" spans="1:8" ht="12.75" customHeight="1">
      <c r="A4" s="16"/>
      <c r="B4" s="172"/>
      <c r="C4" s="172"/>
      <c r="D4" s="16"/>
      <c r="E4" s="16"/>
      <c r="F4" s="16"/>
      <c r="G4" s="16"/>
      <c r="H4" s="16"/>
    </row>
    <row r="5" spans="1:8" ht="12.75">
      <c r="A5" s="16"/>
      <c r="B5" s="154"/>
      <c r="C5" s="172"/>
      <c r="D5" s="16"/>
      <c r="E5" s="16"/>
      <c r="F5" s="16"/>
      <c r="G5" s="16"/>
      <c r="H5" s="16"/>
    </row>
    <row r="6" spans="1:8" ht="12.75">
      <c r="A6" s="155"/>
      <c r="B6" s="144"/>
      <c r="C6" s="57">
        <f>+VN!C5</f>
        <v>2016</v>
      </c>
      <c r="D6" s="57">
        <f>+VN!D5</f>
        <v>2017</v>
      </c>
      <c r="E6" s="57">
        <f>+VN!E5</f>
        <v>2018</v>
      </c>
      <c r="F6" s="57">
        <f>+VN!F5</f>
        <v>2019</v>
      </c>
      <c r="G6" s="57">
        <f>+VN!G5</f>
        <v>2020</v>
      </c>
      <c r="H6" s="57">
        <f>+VN!H5</f>
        <v>2021</v>
      </c>
    </row>
    <row r="7" spans="1:8" ht="12.75">
      <c r="A7" s="82" t="s">
        <v>257</v>
      </c>
      <c r="B7" s="144"/>
      <c r="C7" s="57"/>
      <c r="D7" s="57"/>
      <c r="E7" s="57"/>
      <c r="F7" s="57"/>
      <c r="G7" s="57"/>
      <c r="H7" s="57"/>
    </row>
    <row r="8" spans="1:8" ht="12.75">
      <c r="A8" s="236" t="s">
        <v>258</v>
      </c>
      <c r="B8" s="237"/>
      <c r="C8" s="181">
        <f>+DR!C25*(1-Pressupostos!$B$18)</f>
        <v>-42863.896472</v>
      </c>
      <c r="D8" s="181">
        <f>+DR!D25*(1-Pressupostos!$B$18)</f>
        <v>-56041.759439999994</v>
      </c>
      <c r="E8" s="181">
        <f>+DR!E25*(1-Pressupostos!$B$18)</f>
        <v>9351.4757216000016</v>
      </c>
      <c r="F8" s="181">
        <f>+DR!F25*(1-Pressupostos!$B$18)</f>
        <v>113572.35051176969</v>
      </c>
      <c r="G8" s="181">
        <f>+DR!G25*(1-Pressupostos!$B$18)</f>
        <v>173708.90742909702</v>
      </c>
      <c r="H8" s="181">
        <f>+DR!H25*(1-Pressupostos!$B$18)</f>
        <v>220385.1930220928</v>
      </c>
    </row>
    <row r="9" spans="1:8" ht="12.75">
      <c r="A9" s="65" t="s">
        <v>259</v>
      </c>
      <c r="B9" s="237"/>
      <c r="C9" s="181">
        <f>+DR!C23</f>
        <v>1875</v>
      </c>
      <c r="D9" s="181">
        <f>+DR!D23</f>
        <v>2045</v>
      </c>
      <c r="E9" s="181">
        <f>+DR!E23</f>
        <v>2045</v>
      </c>
      <c r="F9" s="181">
        <f>+DR!F23</f>
        <v>2045</v>
      </c>
      <c r="G9" s="181">
        <f>+DR!G23</f>
        <v>220</v>
      </c>
      <c r="H9" s="181">
        <f>+DR!H23</f>
        <v>70</v>
      </c>
    </row>
    <row r="10" spans="1:8" ht="12.75">
      <c r="A10" s="65" t="s">
        <v>260</v>
      </c>
      <c r="B10" s="237"/>
      <c r="C10" s="181">
        <f>+DR!C24</f>
        <v>0</v>
      </c>
      <c r="D10" s="181">
        <f>+DR!D24</f>
        <v>0</v>
      </c>
      <c r="E10" s="181">
        <f>+DR!E24</f>
        <v>0</v>
      </c>
      <c r="F10" s="181">
        <f>+DR!F24</f>
        <v>0</v>
      </c>
      <c r="G10" s="181">
        <f>+DR!G24</f>
        <v>0</v>
      </c>
      <c r="H10" s="181">
        <f>+DR!H24</f>
        <v>0</v>
      </c>
    </row>
    <row r="11" spans="1:8" ht="12.75">
      <c r="A11" s="65"/>
      <c r="B11" s="140"/>
      <c r="C11" s="188">
        <f t="shared" ref="C11:H11" si="0">SUM(C8:C10)</f>
        <v>-40988.896472</v>
      </c>
      <c r="D11" s="188">
        <f t="shared" si="0"/>
        <v>-53996.759439999994</v>
      </c>
      <c r="E11" s="188">
        <f t="shared" si="0"/>
        <v>11396.475721600002</v>
      </c>
      <c r="F11" s="188">
        <f t="shared" si="0"/>
        <v>115617.35051176969</v>
      </c>
      <c r="G11" s="188">
        <f t="shared" si="0"/>
        <v>173928.90742909702</v>
      </c>
      <c r="H11" s="188">
        <f t="shared" si="0"/>
        <v>220455.1930220928</v>
      </c>
    </row>
    <row r="12" spans="1:8" ht="12.75">
      <c r="A12" s="82" t="s">
        <v>261</v>
      </c>
      <c r="B12" s="238"/>
      <c r="C12" s="239"/>
      <c r="D12" s="239"/>
      <c r="E12" s="239"/>
      <c r="F12" s="239"/>
      <c r="G12" s="239"/>
      <c r="H12" s="239"/>
    </row>
    <row r="13" spans="1:8" ht="12.75">
      <c r="A13" s="236" t="s">
        <v>262</v>
      </c>
      <c r="B13" s="240"/>
      <c r="C13" s="181">
        <f>-FundoManeio!C22</f>
        <v>-3627.8058939999992</v>
      </c>
      <c r="D13" s="181">
        <f>-FundoManeio!D22</f>
        <v>9594.9349606666638</v>
      </c>
      <c r="E13" s="181">
        <f>-FundoManeio!E22</f>
        <v>-4138.8028074666545</v>
      </c>
      <c r="F13" s="181">
        <f>-FundoManeio!F22</f>
        <v>-7414.3351454208023</v>
      </c>
      <c r="G13" s="181">
        <f>-FundoManeio!G22</f>
        <v>-4088.2991311884834</v>
      </c>
      <c r="H13" s="181">
        <f>-FundoManeio!H22</f>
        <v>-3051.2877199976647</v>
      </c>
    </row>
    <row r="15" spans="1:8" ht="12.75">
      <c r="A15" s="192" t="s">
        <v>263</v>
      </c>
      <c r="B15" s="241"/>
      <c r="C15" s="188">
        <f t="shared" ref="C15:H15" si="1">+SUM(C11:C13)</f>
        <v>-44616.702365999998</v>
      </c>
      <c r="D15" s="188">
        <f t="shared" si="1"/>
        <v>-44401.824479333329</v>
      </c>
      <c r="E15" s="188">
        <f t="shared" si="1"/>
        <v>7257.6729141333471</v>
      </c>
      <c r="F15" s="188">
        <f t="shared" si="1"/>
        <v>108203.01536634889</v>
      </c>
      <c r="G15" s="188">
        <f t="shared" si="1"/>
        <v>169840.60829790853</v>
      </c>
      <c r="H15" s="188">
        <f t="shared" si="1"/>
        <v>217403.90530209514</v>
      </c>
    </row>
    <row r="16" spans="1:8" ht="12.75">
      <c r="A16" s="242"/>
      <c r="B16" s="243"/>
      <c r="C16" s="244"/>
      <c r="D16" s="244"/>
      <c r="E16" s="244"/>
      <c r="F16" s="244"/>
      <c r="G16" s="244"/>
      <c r="H16" s="244"/>
    </row>
    <row r="17" spans="1:9" ht="12.75">
      <c r="A17" s="82" t="s">
        <v>264</v>
      </c>
      <c r="B17" s="238"/>
      <c r="C17" s="239"/>
      <c r="D17" s="239"/>
      <c r="E17" s="239"/>
      <c r="F17" s="239"/>
      <c r="G17" s="239"/>
      <c r="H17" s="239"/>
    </row>
    <row r="18" spans="1:9" ht="12.75">
      <c r="A18" s="65" t="s">
        <v>265</v>
      </c>
      <c r="B18" s="237"/>
      <c r="C18" s="181">
        <f>-Investimentos!C24</f>
        <v>-7550</v>
      </c>
      <c r="D18" s="181">
        <f>-Investimentos!D24</f>
        <v>-750</v>
      </c>
      <c r="E18" s="181">
        <f>-Investimentos!E24</f>
        <v>0</v>
      </c>
      <c r="F18" s="181">
        <f>-Investimentos!F24</f>
        <v>0</v>
      </c>
      <c r="G18" s="181">
        <f>-Investimentos!G24</f>
        <v>0</v>
      </c>
      <c r="H18" s="181">
        <f>-Investimentos!H24</f>
        <v>0</v>
      </c>
    </row>
    <row r="19" spans="1:9" ht="12.75">
      <c r="A19" s="26"/>
      <c r="B19" s="243"/>
      <c r="C19" s="244"/>
      <c r="D19" s="244"/>
      <c r="E19" s="244"/>
      <c r="F19" s="244"/>
      <c r="G19" s="244"/>
      <c r="H19" s="244"/>
    </row>
    <row r="20" spans="1:9" ht="12.75">
      <c r="A20" s="192" t="s">
        <v>266</v>
      </c>
      <c r="B20" s="241"/>
      <c r="C20" s="188">
        <f t="shared" ref="C20:H20" si="2">+C11+C13+C18</f>
        <v>-52166.702365999998</v>
      </c>
      <c r="D20" s="188">
        <f t="shared" si="2"/>
        <v>-45151.824479333329</v>
      </c>
      <c r="E20" s="188">
        <f t="shared" si="2"/>
        <v>7257.6729141333471</v>
      </c>
      <c r="F20" s="188">
        <f t="shared" si="2"/>
        <v>108203.01536634889</v>
      </c>
      <c r="G20" s="188">
        <f t="shared" si="2"/>
        <v>169840.60829790853</v>
      </c>
      <c r="H20" s="188">
        <f t="shared" si="2"/>
        <v>217403.90530209514</v>
      </c>
    </row>
    <row r="21" spans="1:9" ht="12.75">
      <c r="A21" s="242"/>
      <c r="B21" s="243"/>
      <c r="C21" s="244"/>
      <c r="D21" s="244"/>
      <c r="E21" s="244"/>
      <c r="F21" s="244"/>
      <c r="G21" s="244"/>
      <c r="H21" s="244"/>
    </row>
    <row r="22" spans="1:9" ht="12.75">
      <c r="A22" s="192" t="s">
        <v>267</v>
      </c>
      <c r="B22" s="241"/>
      <c r="C22" s="188">
        <f>+SUM(C20)</f>
        <v>-52166.702365999998</v>
      </c>
      <c r="D22" s="188">
        <f>+SUM($C$20:D20)</f>
        <v>-97318.526845333326</v>
      </c>
      <c r="E22" s="188">
        <f>+SUM($C$20:E20)</f>
        <v>-90060.853931199978</v>
      </c>
      <c r="F22" s="188">
        <f>+SUM($C$20:F20)</f>
        <v>18142.161435148912</v>
      </c>
      <c r="G22" s="188">
        <f>+SUM($C$20:G20)</f>
        <v>187982.76973305744</v>
      </c>
      <c r="H22" s="188">
        <f>+SUM($C$20:H20)</f>
        <v>405386.67503515258</v>
      </c>
    </row>
    <row r="23" spans="1:9" ht="12.75">
      <c r="A23" s="26"/>
      <c r="B23" s="243"/>
      <c r="C23" s="244"/>
      <c r="D23" s="244"/>
      <c r="E23" s="244"/>
      <c r="F23" s="244"/>
      <c r="G23" s="244"/>
      <c r="H23" s="244"/>
    </row>
    <row r="24" spans="1:9" s="248" customFormat="1" ht="12.75">
      <c r="A24" s="245"/>
      <c r="B24" s="246"/>
      <c r="C24" s="74"/>
      <c r="D24" s="74"/>
      <c r="E24" s="74"/>
      <c r="F24" s="74"/>
      <c r="G24" s="74"/>
      <c r="H24" s="74"/>
      <c r="I24" s="247"/>
    </row>
    <row r="25" spans="1:9" ht="12.75">
      <c r="A25" s="249"/>
      <c r="B25" s="246"/>
      <c r="C25" s="250"/>
      <c r="D25" s="250"/>
      <c r="E25" s="250"/>
      <c r="F25" s="250"/>
      <c r="G25" s="250"/>
      <c r="H25" s="250"/>
      <c r="I25" s="251"/>
    </row>
    <row r="26" spans="1:9" ht="12.75">
      <c r="A26" s="249"/>
      <c r="B26" s="246"/>
      <c r="C26" s="250"/>
      <c r="D26" s="250"/>
      <c r="E26" s="250"/>
      <c r="F26" s="250"/>
      <c r="G26" s="250"/>
      <c r="H26" s="250"/>
      <c r="I26" s="251"/>
    </row>
    <row r="27" spans="1:9" ht="12.75">
      <c r="A27" s="249"/>
      <c r="B27" s="246"/>
      <c r="C27" s="250"/>
      <c r="D27" s="250"/>
      <c r="E27" s="250"/>
      <c r="F27" s="250"/>
      <c r="G27" s="250"/>
      <c r="H27" s="250"/>
      <c r="I27" s="251"/>
    </row>
    <row r="28" spans="1:9" ht="12.75">
      <c r="A28" s="249"/>
      <c r="B28" s="246"/>
      <c r="C28" s="250"/>
      <c r="D28" s="250"/>
      <c r="E28" s="250"/>
      <c r="F28" s="250"/>
      <c r="G28" s="250"/>
      <c r="H28" s="250"/>
      <c r="I28" s="251"/>
    </row>
    <row r="29" spans="1:9" ht="12.75">
      <c r="A29" s="249"/>
      <c r="B29" s="246"/>
      <c r="C29" s="250"/>
      <c r="D29" s="250"/>
      <c r="E29" s="250"/>
      <c r="F29" s="250"/>
      <c r="G29" s="250"/>
      <c r="H29" s="250"/>
      <c r="I29" s="251"/>
    </row>
    <row r="30" spans="1:9" ht="12.75">
      <c r="A30" s="249"/>
      <c r="B30" s="246"/>
      <c r="C30" s="250"/>
      <c r="D30" s="250"/>
      <c r="E30" s="250"/>
      <c r="F30" s="250"/>
      <c r="G30" s="250"/>
      <c r="H30" s="250"/>
      <c r="I30" s="251"/>
    </row>
    <row r="31" spans="1:9" ht="12.75">
      <c r="A31" s="249"/>
      <c r="B31" s="246"/>
      <c r="C31" s="250"/>
      <c r="D31" s="250"/>
      <c r="E31" s="250"/>
      <c r="F31" s="250"/>
      <c r="G31" s="250"/>
      <c r="H31" s="250"/>
      <c r="I31" s="251"/>
    </row>
    <row r="32" spans="1:9" ht="12.75">
      <c r="A32" s="249"/>
      <c r="B32" s="246"/>
      <c r="C32" s="250"/>
      <c r="D32" s="250"/>
      <c r="E32" s="250"/>
      <c r="F32" s="250"/>
      <c r="G32" s="250"/>
      <c r="H32" s="250"/>
      <c r="I32" s="251"/>
    </row>
    <row r="33" spans="1:9" ht="12.75">
      <c r="A33" s="249"/>
      <c r="B33" s="246"/>
      <c r="C33" s="250"/>
      <c r="D33" s="250"/>
      <c r="E33" s="250"/>
      <c r="F33" s="250"/>
      <c r="G33" s="250"/>
      <c r="H33" s="250"/>
      <c r="I33" s="251"/>
    </row>
    <row r="34" spans="1:9" ht="12.75">
      <c r="A34" s="249"/>
      <c r="B34" s="246"/>
      <c r="C34" s="250"/>
      <c r="D34" s="250"/>
      <c r="E34" s="250"/>
      <c r="F34" s="250"/>
      <c r="G34" s="250"/>
      <c r="H34" s="250"/>
      <c r="I34" s="251"/>
    </row>
    <row r="35" spans="1:9" ht="12.75">
      <c r="A35" s="245"/>
      <c r="B35" s="246"/>
      <c r="C35" s="74"/>
      <c r="D35" s="74"/>
      <c r="E35" s="74"/>
      <c r="F35" s="74"/>
      <c r="G35" s="74"/>
      <c r="H35" s="74"/>
      <c r="I35" s="251"/>
    </row>
    <row r="36" spans="1:9" ht="12.75">
      <c r="A36" s="252"/>
      <c r="B36" s="246"/>
      <c r="C36" s="253"/>
      <c r="D36" s="26"/>
      <c r="E36" s="26"/>
      <c r="F36" s="26"/>
      <c r="G36" s="26"/>
      <c r="H36" s="26"/>
      <c r="I36" s="251"/>
    </row>
    <row r="37" spans="1:9" ht="12.75">
      <c r="A37" s="91"/>
      <c r="B37" s="91"/>
      <c r="C37" s="26"/>
      <c r="D37" s="26"/>
      <c r="E37" s="26"/>
      <c r="F37" s="26"/>
      <c r="G37" s="26"/>
      <c r="H37" s="26"/>
      <c r="I37" s="251"/>
    </row>
    <row r="38" spans="1:9">
      <c r="A38" s="251"/>
      <c r="B38" s="251"/>
      <c r="C38" s="254"/>
      <c r="D38" s="254"/>
      <c r="E38" s="254"/>
      <c r="F38" s="254"/>
      <c r="G38" s="254"/>
      <c r="H38" s="254"/>
      <c r="I38" s="251"/>
    </row>
    <row r="39" spans="1:9">
      <c r="A39" s="251"/>
      <c r="B39" s="251"/>
      <c r="C39" s="251"/>
      <c r="D39" s="251"/>
      <c r="E39" s="251"/>
      <c r="F39" s="251"/>
      <c r="G39" s="251"/>
      <c r="H39" s="251"/>
      <c r="I39" s="251"/>
    </row>
    <row r="40" spans="1:9">
      <c r="A40" s="251"/>
      <c r="B40" s="251"/>
      <c r="C40" s="251"/>
      <c r="D40" s="251"/>
      <c r="E40" s="251"/>
      <c r="F40" s="251"/>
      <c r="G40" s="251"/>
      <c r="H40" s="251"/>
      <c r="I40" s="251"/>
    </row>
    <row r="41" spans="1:9">
      <c r="A41" s="251"/>
      <c r="B41" s="251"/>
      <c r="C41" s="251"/>
      <c r="D41" s="251"/>
      <c r="E41" s="251"/>
      <c r="F41" s="251"/>
      <c r="G41" s="251"/>
      <c r="H41" s="251"/>
      <c r="I41" s="251"/>
    </row>
  </sheetData>
  <sheetProtection selectLockedCells="1" selectUnlockedCells="1"/>
  <mergeCells count="1">
    <mergeCell ref="A3:H3"/>
  </mergeCells>
  <printOptions horizontalCentered="1"/>
  <pageMargins left="0.39374999999999999" right="0.39374999999999999" top="0.39374999999999999" bottom="0.39374999999999999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topLeftCell="A21" workbookViewId="0">
      <selection activeCell="F29" sqref="F29"/>
    </sheetView>
  </sheetViews>
  <sheetFormatPr defaultColWidth="8.85546875" defaultRowHeight="12.75"/>
  <cols>
    <col min="1" max="1" width="30.5703125" style="16" customWidth="1"/>
    <col min="2" max="2" width="8.85546875" style="16"/>
    <col min="3" max="3" width="13.5703125" style="16" customWidth="1"/>
    <col min="4" max="4" width="12.140625" style="16" customWidth="1"/>
    <col min="5" max="8" width="11.85546875" style="16" customWidth="1"/>
    <col min="9" max="16384" width="8.85546875" style="16"/>
  </cols>
  <sheetData>
    <row r="1" spans="1:11" ht="13.5">
      <c r="A1" s="17" t="s">
        <v>16</v>
      </c>
      <c r="B1" s="50" t="str">
        <f>+Pressupostos!B1</f>
        <v>Herbawatter</v>
      </c>
      <c r="C1" s="51"/>
      <c r="D1" s="51"/>
      <c r="E1" s="51"/>
      <c r="F1" s="51"/>
      <c r="G1" s="51"/>
      <c r="H1" s="51"/>
    </row>
    <row r="2" spans="1:11">
      <c r="H2" s="54" t="str">
        <f>+Pressupostos!B6</f>
        <v>(valores em euros)</v>
      </c>
      <c r="K2" s="91"/>
    </row>
    <row r="3" spans="1:11">
      <c r="A3" s="365" t="s">
        <v>268</v>
      </c>
      <c r="B3" s="365"/>
      <c r="C3" s="365"/>
      <c r="D3" s="365"/>
      <c r="E3" s="365"/>
      <c r="F3" s="365"/>
      <c r="G3" s="365"/>
      <c r="H3" s="365"/>
    </row>
    <row r="6" spans="1:11">
      <c r="A6" s="59"/>
      <c r="B6" s="107"/>
      <c r="C6" s="57">
        <f>+VN!C5</f>
        <v>2016</v>
      </c>
      <c r="D6" s="57">
        <f>+VN!D5</f>
        <v>2017</v>
      </c>
      <c r="E6" s="57">
        <f>+VN!E5</f>
        <v>2018</v>
      </c>
      <c r="F6" s="57">
        <f>+VN!F5</f>
        <v>2019</v>
      </c>
      <c r="G6" s="57">
        <f>+VN!G5</f>
        <v>2020</v>
      </c>
      <c r="H6" s="57">
        <f>+VN!H5</f>
        <v>2021</v>
      </c>
    </row>
    <row r="7" spans="1:11" ht="12.75" customHeight="1">
      <c r="A7" s="388" t="s">
        <v>269</v>
      </c>
      <c r="B7" s="388"/>
      <c r="C7" s="181"/>
      <c r="D7" s="181"/>
      <c r="E7" s="181"/>
      <c r="F7" s="181"/>
      <c r="G7" s="181"/>
      <c r="H7" s="181"/>
    </row>
    <row r="8" spans="1:11">
      <c r="A8" s="138" t="s">
        <v>270</v>
      </c>
      <c r="B8" s="111"/>
      <c r="C8" s="255">
        <f>+DR!C25+DR!C23+DR!C24</f>
        <v>-52383.096799999999</v>
      </c>
      <c r="D8" s="255">
        <f>+DR!D25+DR!D23+DR!D24</f>
        <v>-68893.935999999987</v>
      </c>
      <c r="E8" s="255">
        <f>+DR!E25+DR!E23+DR!E24</f>
        <v>13882.311040000001</v>
      </c>
      <c r="F8" s="255">
        <f>+DR!F25+DR!F23+DR!F24</f>
        <v>145807.4690022401</v>
      </c>
      <c r="G8" s="255">
        <f>+DR!G25+DR!G23+DR!G24</f>
        <v>220104.69294822405</v>
      </c>
      <c r="H8" s="255">
        <f>+DR!H25+DR!H23+DR!H24</f>
        <v>279038.59876214276</v>
      </c>
    </row>
    <row r="9" spans="1:11">
      <c r="A9" s="138" t="s">
        <v>271</v>
      </c>
      <c r="B9" s="111"/>
      <c r="C9" s="255">
        <f>+Financiamento!C14</f>
        <v>15000</v>
      </c>
      <c r="D9" s="255">
        <f>+Financiamento!D14</f>
        <v>30000</v>
      </c>
      <c r="E9" s="255">
        <f>+Financiamento!E14</f>
        <v>0</v>
      </c>
      <c r="F9" s="255">
        <f>+Financiamento!F14</f>
        <v>0</v>
      </c>
      <c r="G9" s="255">
        <f>+Financiamento!G14</f>
        <v>0</v>
      </c>
      <c r="H9" s="255">
        <f>+Financiamento!H14</f>
        <v>0</v>
      </c>
    </row>
    <row r="10" spans="1:11">
      <c r="A10" s="138" t="s">
        <v>272</v>
      </c>
      <c r="B10" s="111"/>
      <c r="C10" s="255">
        <f>+Financiamento!C16</f>
        <v>0</v>
      </c>
      <c r="D10" s="255">
        <f>+Financiamento!D16</f>
        <v>0</v>
      </c>
      <c r="E10" s="255">
        <f>+Financiamento!E16</f>
        <v>0</v>
      </c>
      <c r="F10" s="255">
        <f>+Financiamento!F16</f>
        <v>0</v>
      </c>
      <c r="G10" s="255">
        <f>+Financiamento!G16</f>
        <v>0</v>
      </c>
      <c r="H10" s="255">
        <f>+Financiamento!H16</f>
        <v>0</v>
      </c>
    </row>
    <row r="11" spans="1:11">
      <c r="A11" s="138" t="s">
        <v>273</v>
      </c>
      <c r="B11" s="111"/>
      <c r="C11" s="255"/>
      <c r="D11" s="255"/>
      <c r="E11" s="255"/>
      <c r="F11" s="255"/>
      <c r="G11" s="255"/>
      <c r="H11" s="255"/>
    </row>
    <row r="12" spans="1:11">
      <c r="A12" s="138" t="s">
        <v>274</v>
      </c>
      <c r="B12" s="111"/>
      <c r="C12" s="255">
        <f>+IF(FundoManeio!C22&lt;0,-FundoManeio!C22,0)</f>
        <v>0</v>
      </c>
      <c r="D12" s="255">
        <f>+IF(FundoManeio!D22&lt;0,-FundoManeio!D22,0)</f>
        <v>9594.9349606666638</v>
      </c>
      <c r="E12" s="255">
        <f>+IF(FundoManeio!E22&lt;0,-FundoManeio!E22,0)</f>
        <v>0</v>
      </c>
      <c r="F12" s="255">
        <f>+IF(FundoManeio!F22&lt;0,-FundoManeio!F22,0)</f>
        <v>0</v>
      </c>
      <c r="G12" s="255">
        <f>+IF(FundoManeio!G22&lt;0,-FundoManeio!G22,0)</f>
        <v>0</v>
      </c>
      <c r="H12" s="255">
        <f>+IF(FundoManeio!H22&lt;0,-FundoManeio!H22,0)</f>
        <v>0</v>
      </c>
    </row>
    <row r="13" spans="1:11">
      <c r="A13" s="256" t="s">
        <v>275</v>
      </c>
      <c r="B13" s="165"/>
      <c r="C13" s="255">
        <f>+Financiamento!C15</f>
        <v>0</v>
      </c>
      <c r="D13" s="255">
        <f>+Financiamento!D15</f>
        <v>0</v>
      </c>
      <c r="E13" s="255">
        <f>+Financiamento!E15</f>
        <v>0</v>
      </c>
      <c r="F13" s="255">
        <f>+Financiamento!F15</f>
        <v>0</v>
      </c>
      <c r="G13" s="255">
        <f>+Financiamento!G15</f>
        <v>0</v>
      </c>
      <c r="H13" s="255">
        <f>+Financiamento!H15</f>
        <v>0</v>
      </c>
    </row>
    <row r="14" spans="1:11">
      <c r="A14" s="138" t="s">
        <v>247</v>
      </c>
      <c r="B14" s="111"/>
      <c r="C14" s="255">
        <f>+DR!C27</f>
        <v>0</v>
      </c>
      <c r="D14" s="255">
        <f>+DR!D27</f>
        <v>0</v>
      </c>
      <c r="E14" s="255">
        <f>+DR!E27</f>
        <v>0</v>
      </c>
      <c r="F14" s="255">
        <f>+DR!F27</f>
        <v>3592.6674480328893</v>
      </c>
      <c r="G14" s="255">
        <f>+DR!G27</f>
        <v>17332.077873406102</v>
      </c>
      <c r="H14" s="255">
        <f>+DR!H27</f>
        <v>32874.877897427941</v>
      </c>
    </row>
    <row r="15" spans="1:11">
      <c r="A15" s="389"/>
      <c r="B15" s="389"/>
      <c r="C15" s="257"/>
      <c r="D15" s="257"/>
      <c r="E15" s="257"/>
      <c r="F15" s="257"/>
      <c r="G15" s="257"/>
      <c r="H15" s="257"/>
    </row>
    <row r="16" spans="1:11" ht="12.75" customHeight="1">
      <c r="A16" s="390" t="s">
        <v>276</v>
      </c>
      <c r="B16" s="390"/>
      <c r="C16" s="258">
        <f t="shared" ref="C16:H16" si="0">+SUM(C8:C15)</f>
        <v>-37383.096799999999</v>
      </c>
      <c r="D16" s="258">
        <f t="shared" si="0"/>
        <v>-29299.001039333321</v>
      </c>
      <c r="E16" s="258">
        <f t="shared" si="0"/>
        <v>13882.311040000001</v>
      </c>
      <c r="F16" s="258">
        <f t="shared" si="0"/>
        <v>149400.13645027298</v>
      </c>
      <c r="G16" s="258">
        <f t="shared" si="0"/>
        <v>237436.77082163014</v>
      </c>
      <c r="H16" s="258">
        <f t="shared" si="0"/>
        <v>311913.4766595707</v>
      </c>
    </row>
    <row r="17" spans="1:8" ht="14.25" customHeight="1">
      <c r="A17" s="388" t="s">
        <v>277</v>
      </c>
      <c r="B17" s="388"/>
      <c r="C17" s="259"/>
      <c r="D17" s="259"/>
      <c r="E17" s="259"/>
      <c r="F17" s="259"/>
      <c r="G17" s="259"/>
      <c r="H17" s="259"/>
    </row>
    <row r="18" spans="1:8">
      <c r="A18" s="138" t="s">
        <v>278</v>
      </c>
      <c r="B18" s="107"/>
      <c r="C18" s="255">
        <f>+Investimentos!C24</f>
        <v>7550</v>
      </c>
      <c r="D18" s="255">
        <f>+Investimentos!D24</f>
        <v>750</v>
      </c>
      <c r="E18" s="255">
        <f>+Investimentos!E24</f>
        <v>0</v>
      </c>
      <c r="F18" s="255">
        <f>+Investimentos!F24</f>
        <v>0</v>
      </c>
      <c r="G18" s="255">
        <f>+Investimentos!G24</f>
        <v>0</v>
      </c>
      <c r="H18" s="255">
        <f>+Investimentos!H24</f>
        <v>0</v>
      </c>
    </row>
    <row r="19" spans="1:8">
      <c r="A19" s="138" t="s">
        <v>279</v>
      </c>
      <c r="B19" s="107"/>
      <c r="C19" s="255">
        <f>+IF(FundoManeio!C22&gt;0,FundoManeio!C22,0)</f>
        <v>3627.8058939999992</v>
      </c>
      <c r="D19" s="255">
        <f>+IF(FundoManeio!D22&gt;0,FundoManeio!D22,0)</f>
        <v>0</v>
      </c>
      <c r="E19" s="255">
        <f>+IF(FundoManeio!E22&gt;0,FundoManeio!E22,0)</f>
        <v>4138.8028074666545</v>
      </c>
      <c r="F19" s="255">
        <f>+IF(FundoManeio!F22&gt;0,FundoManeio!F22,0)</f>
        <v>7414.3351454208023</v>
      </c>
      <c r="G19" s="255">
        <f>+IF(FundoManeio!G22&gt;0,FundoManeio!G22,0)</f>
        <v>4088.2991311884834</v>
      </c>
      <c r="H19" s="255">
        <f>+IF(FundoManeio!H22&gt;0,FundoManeio!H22,0)</f>
        <v>3051.2877199976647</v>
      </c>
    </row>
    <row r="20" spans="1:8">
      <c r="A20" s="138" t="s">
        <v>280</v>
      </c>
      <c r="B20" s="107"/>
      <c r="C20" s="255"/>
      <c r="D20" s="255">
        <f>+DR!C32</f>
        <v>0</v>
      </c>
      <c r="E20" s="255">
        <f>+DR!D32</f>
        <v>0</v>
      </c>
      <c r="F20" s="255">
        <f>+DR!E32</f>
        <v>0</v>
      </c>
      <c r="G20" s="255">
        <f>+DR!F32</f>
        <v>4358.2979342214767</v>
      </c>
      <c r="H20" s="255">
        <f>+DR!G32</f>
        <v>49815.521872542326</v>
      </c>
    </row>
    <row r="21" spans="1:8">
      <c r="A21" s="138" t="s">
        <v>281</v>
      </c>
      <c r="B21" s="107"/>
      <c r="C21" s="255">
        <f>IF(DR!B34&lt;0,0,DR!B33*Pressupostos!$B$19)</f>
        <v>0</v>
      </c>
      <c r="D21" s="255"/>
      <c r="E21" s="255">
        <f>IF(DR!D34&lt;0,0,DR!D33*Pressupostos!$B$19)</f>
        <v>0</v>
      </c>
      <c r="F21" s="255">
        <f>IF(DR!E34&lt;0,0,DR!E33*Pressupostos!$B$19)</f>
        <v>0</v>
      </c>
      <c r="G21" s="255">
        <f>IF(DR!F34&lt;0,0,DR!F33*Pressupostos!$B$19)</f>
        <v>0</v>
      </c>
      <c r="H21" s="255">
        <f>IF(DR!G34&lt;0,0,DR!G33*Pressupostos!$B$19)</f>
        <v>0</v>
      </c>
    </row>
    <row r="22" spans="1:8">
      <c r="A22" s="138" t="s">
        <v>282</v>
      </c>
      <c r="B22" s="107"/>
      <c r="C22" s="255">
        <f>+Financiamento!C79</f>
        <v>0</v>
      </c>
      <c r="D22" s="255">
        <f>+Financiamento!D79</f>
        <v>0</v>
      </c>
      <c r="E22" s="255">
        <f>+Financiamento!E79</f>
        <v>0</v>
      </c>
      <c r="F22" s="255">
        <f>+Financiamento!F79</f>
        <v>0</v>
      </c>
      <c r="G22" s="255">
        <f>+Financiamento!G79</f>
        <v>0</v>
      </c>
      <c r="H22" s="255">
        <f>+Financiamento!H79</f>
        <v>0</v>
      </c>
    </row>
    <row r="23" spans="1:8">
      <c r="A23" s="138" t="s">
        <v>283</v>
      </c>
      <c r="B23" s="107"/>
      <c r="C23" s="255">
        <f>+DR!C26</f>
        <v>3099.6320868510643</v>
      </c>
      <c r="D23" s="255">
        <f>+DR!D26</f>
        <v>5215.5022863947479</v>
      </c>
      <c r="E23" s="255">
        <f>+DR!E26</f>
        <v>4926.480630258241</v>
      </c>
      <c r="F23" s="255">
        <f>+DR!F26</f>
        <v>0</v>
      </c>
      <c r="G23" s="255">
        <f>+DR!G26</f>
        <v>0</v>
      </c>
      <c r="H23" s="255">
        <f>+DR!H26</f>
        <v>0</v>
      </c>
    </row>
    <row r="24" spans="1:8">
      <c r="A24" s="389"/>
      <c r="B24" s="389"/>
      <c r="C24" s="257"/>
      <c r="D24" s="257"/>
      <c r="E24" s="257"/>
      <c r="F24" s="257"/>
      <c r="G24" s="257"/>
      <c r="H24" s="257"/>
    </row>
    <row r="25" spans="1:8" ht="12.75" customHeight="1">
      <c r="A25" s="390" t="s">
        <v>284</v>
      </c>
      <c r="B25" s="390"/>
      <c r="C25" s="258">
        <f t="shared" ref="C25:H25" si="1">+SUM(C18:C24)</f>
        <v>14277.437980851064</v>
      </c>
      <c r="D25" s="258">
        <f t="shared" si="1"/>
        <v>5965.5022863947479</v>
      </c>
      <c r="E25" s="258">
        <f t="shared" si="1"/>
        <v>9065.2834377248946</v>
      </c>
      <c r="F25" s="258">
        <f t="shared" si="1"/>
        <v>7414.3351454208023</v>
      </c>
      <c r="G25" s="258">
        <f t="shared" si="1"/>
        <v>8446.5970654099601</v>
      </c>
      <c r="H25" s="258">
        <f t="shared" si="1"/>
        <v>52866.80959253999</v>
      </c>
    </row>
    <row r="26" spans="1:8" ht="12.75" customHeight="1">
      <c r="A26" s="391" t="s">
        <v>285</v>
      </c>
      <c r="B26" s="391"/>
      <c r="C26" s="258">
        <f t="shared" ref="C26:H26" si="2">+C16-C25</f>
        <v>-51660.534780851063</v>
      </c>
      <c r="D26" s="258">
        <f t="shared" si="2"/>
        <v>-35264.503325728067</v>
      </c>
      <c r="E26" s="258">
        <f t="shared" si="2"/>
        <v>4817.0276022751059</v>
      </c>
      <c r="F26" s="258">
        <f t="shared" si="2"/>
        <v>141985.80130485218</v>
      </c>
      <c r="G26" s="258">
        <f t="shared" si="2"/>
        <v>228990.17375622017</v>
      </c>
      <c r="H26" s="258">
        <f t="shared" si="2"/>
        <v>259046.66706703071</v>
      </c>
    </row>
    <row r="27" spans="1:8" ht="12.75" customHeight="1">
      <c r="A27" s="391" t="s">
        <v>286</v>
      </c>
      <c r="B27" s="391"/>
      <c r="C27" s="258">
        <f>+C26</f>
        <v>-51660.534780851063</v>
      </c>
      <c r="D27" s="258">
        <f>+C27+D26</f>
        <v>-86925.03810657913</v>
      </c>
      <c r="E27" s="258">
        <f>+D27+E26</f>
        <v>-82108.010504304024</v>
      </c>
      <c r="F27" s="258">
        <f>+E27+F26</f>
        <v>59877.790800548159</v>
      </c>
      <c r="G27" s="258">
        <f>+F27+G26</f>
        <v>288867.9645567683</v>
      </c>
      <c r="H27" s="258">
        <f>+G27+H26</f>
        <v>547914.63162379898</v>
      </c>
    </row>
    <row r="28" spans="1:8" ht="12.75" customHeight="1">
      <c r="A28" s="391" t="s">
        <v>287</v>
      </c>
      <c r="B28" s="391"/>
      <c r="C28" s="260">
        <v>-51660.534780851071</v>
      </c>
      <c r="D28" s="260">
        <v>-86925.03810657913</v>
      </c>
      <c r="E28" s="260">
        <v>-82108.010504304024</v>
      </c>
      <c r="F28" s="260">
        <v>59877.790800548159</v>
      </c>
      <c r="G28" s="260">
        <v>288867.96455676836</v>
      </c>
      <c r="H28" s="260">
        <v>547914.63162379898</v>
      </c>
    </row>
    <row r="29" spans="1:8" ht="12.75" customHeight="1">
      <c r="A29" s="391" t="s">
        <v>288</v>
      </c>
      <c r="B29" s="391"/>
      <c r="C29" s="260">
        <f t="shared" ref="C29:H29" si="3">+C27-C28</f>
        <v>0</v>
      </c>
      <c r="D29" s="260">
        <f>+D27-D28</f>
        <v>0</v>
      </c>
      <c r="E29" s="260">
        <f>+E27-E28</f>
        <v>0</v>
      </c>
      <c r="F29" s="260">
        <f t="shared" si="3"/>
        <v>0</v>
      </c>
      <c r="G29" s="260">
        <f t="shared" si="3"/>
        <v>0</v>
      </c>
      <c r="H29" s="260">
        <f t="shared" si="3"/>
        <v>0</v>
      </c>
    </row>
  </sheetData>
  <sheetProtection selectLockedCells="1" selectUnlockedCells="1"/>
  <mergeCells count="11">
    <mergeCell ref="A25:B25"/>
    <mergeCell ref="A26:B26"/>
    <mergeCell ref="A27:B27"/>
    <mergeCell ref="A28:B28"/>
    <mergeCell ref="A29:B29"/>
    <mergeCell ref="A3:H3"/>
    <mergeCell ref="A7:B7"/>
    <mergeCell ref="A15:B15"/>
    <mergeCell ref="A16:B16"/>
    <mergeCell ref="A17:B17"/>
    <mergeCell ref="A24:B24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showGridLines="0" topLeftCell="A51" workbookViewId="0">
      <selection activeCell="I25" sqref="I25"/>
    </sheetView>
  </sheetViews>
  <sheetFormatPr defaultColWidth="8.85546875" defaultRowHeight="12.75"/>
  <cols>
    <col min="1" max="1" width="26.42578125" style="16" customWidth="1"/>
    <col min="2" max="2" width="7.5703125" style="16" customWidth="1"/>
    <col min="3" max="12" width="11.42578125" style="16" customWidth="1"/>
    <col min="13" max="16384" width="8.85546875" style="16"/>
  </cols>
  <sheetData>
    <row r="1" spans="1:10">
      <c r="A1" s="261" t="s">
        <v>16</v>
      </c>
      <c r="B1" s="177" t="str">
        <f>+Pressupostos!B1</f>
        <v>Herbawatter</v>
      </c>
      <c r="C1" s="262"/>
      <c r="D1" s="262"/>
      <c r="E1" s="262"/>
      <c r="F1" s="262"/>
      <c r="G1" s="262"/>
      <c r="H1" s="262"/>
    </row>
    <row r="2" spans="1:10" s="265" customFormat="1">
      <c r="A2" s="263"/>
      <c r="B2" s="263"/>
      <c r="C2" s="263"/>
      <c r="D2" s="263"/>
      <c r="E2" s="263"/>
      <c r="F2" s="263"/>
      <c r="G2" s="263"/>
      <c r="H2" s="264" t="str">
        <f>+Pressupostos!B6</f>
        <v>(valores em euros)</v>
      </c>
    </row>
    <row r="3" spans="1:10">
      <c r="A3" s="365" t="s">
        <v>289</v>
      </c>
      <c r="B3" s="365"/>
      <c r="C3" s="365"/>
      <c r="D3" s="365"/>
      <c r="E3" s="365"/>
      <c r="F3" s="365"/>
      <c r="G3" s="365"/>
      <c r="H3" s="365"/>
    </row>
    <row r="4" spans="1:10">
      <c r="C4" s="172"/>
    </row>
    <row r="5" spans="1:10">
      <c r="C5" s="172"/>
    </row>
    <row r="6" spans="1:10">
      <c r="A6" s="59"/>
      <c r="B6" s="107"/>
      <c r="C6" s="57">
        <f>+VN!C5</f>
        <v>2016</v>
      </c>
      <c r="D6" s="57">
        <f>+VN!D5</f>
        <v>2017</v>
      </c>
      <c r="E6" s="57">
        <f>+VN!E5</f>
        <v>2018</v>
      </c>
      <c r="F6" s="57">
        <f>+VN!F5</f>
        <v>2019</v>
      </c>
      <c r="G6" s="57">
        <f>+VN!G5</f>
        <v>2020</v>
      </c>
      <c r="H6" s="57">
        <f>+VN!H5</f>
        <v>2021</v>
      </c>
    </row>
    <row r="7" spans="1:10">
      <c r="A7" s="377" t="s">
        <v>290</v>
      </c>
      <c r="B7" s="377"/>
      <c r="C7" s="266"/>
      <c r="D7" s="266"/>
      <c r="E7" s="266"/>
      <c r="F7" s="266"/>
      <c r="G7" s="266"/>
      <c r="H7" s="266"/>
    </row>
    <row r="8" spans="1:10">
      <c r="A8" s="63" t="s">
        <v>291</v>
      </c>
      <c r="B8" s="144"/>
      <c r="C8" s="266"/>
      <c r="D8" s="266"/>
      <c r="E8" s="266"/>
      <c r="F8" s="266"/>
      <c r="G8" s="266"/>
      <c r="H8" s="266"/>
    </row>
    <row r="9" spans="1:10">
      <c r="A9" s="65" t="s">
        <v>160</v>
      </c>
      <c r="B9" s="144"/>
      <c r="C9" s="181">
        <f>+Investimentos!C13</f>
        <v>0</v>
      </c>
      <c r="D9" s="181">
        <f>+C9+Investimentos!D13</f>
        <v>0</v>
      </c>
      <c r="E9" s="181">
        <f>+D9+Investimentos!E13</f>
        <v>0</v>
      </c>
      <c r="F9" s="181">
        <f>+E9+Investimentos!F13</f>
        <v>0</v>
      </c>
      <c r="G9" s="181">
        <f>+F9+Investimentos!G13</f>
        <v>0</v>
      </c>
      <c r="H9" s="181">
        <f>+G9+Investimentos!H13</f>
        <v>0</v>
      </c>
    </row>
    <row r="10" spans="1:10">
      <c r="A10" s="65" t="s">
        <v>165</v>
      </c>
      <c r="B10" s="144"/>
      <c r="C10" s="181">
        <f>+Investimentos!C23</f>
        <v>7550</v>
      </c>
      <c r="D10" s="181">
        <f>+C10+Investimentos!D23</f>
        <v>8300</v>
      </c>
      <c r="E10" s="181">
        <f>+D10+Investimentos!E23</f>
        <v>8300</v>
      </c>
      <c r="F10" s="181">
        <f>+E10+Investimentos!F23</f>
        <v>8300</v>
      </c>
      <c r="G10" s="181">
        <f>+F10+Investimentos!G23</f>
        <v>8300</v>
      </c>
      <c r="H10" s="181">
        <f>+G10+Investimentos!H23</f>
        <v>8300</v>
      </c>
      <c r="I10" s="224"/>
      <c r="J10" s="224"/>
    </row>
    <row r="11" spans="1:10">
      <c r="A11" s="65" t="s">
        <v>292</v>
      </c>
      <c r="B11" s="144"/>
      <c r="C11" s="181">
        <f>+DR!C23</f>
        <v>1875</v>
      </c>
      <c r="D11" s="181">
        <f>+C11+DR!D23</f>
        <v>3920</v>
      </c>
      <c r="E11" s="181">
        <f>+D11+DR!E23</f>
        <v>5965</v>
      </c>
      <c r="F11" s="181">
        <f>+E11+DR!F23</f>
        <v>8010</v>
      </c>
      <c r="G11" s="181">
        <f>+F11+DR!G23</f>
        <v>8230</v>
      </c>
      <c r="H11" s="181">
        <f>+G11+DR!H23</f>
        <v>8300</v>
      </c>
      <c r="I11" s="224"/>
      <c r="J11" s="224"/>
    </row>
    <row r="12" spans="1:10">
      <c r="A12" s="63" t="s">
        <v>190</v>
      </c>
      <c r="B12" s="144"/>
      <c r="C12" s="181"/>
      <c r="D12" s="181"/>
      <c r="E12" s="181"/>
      <c r="F12" s="181"/>
      <c r="G12" s="181"/>
      <c r="H12" s="181"/>
      <c r="I12" s="224"/>
      <c r="J12" s="224"/>
    </row>
    <row r="13" spans="1:10">
      <c r="A13" s="65" t="s">
        <v>293</v>
      </c>
      <c r="B13" s="144"/>
      <c r="C13" s="181"/>
      <c r="D13" s="181"/>
      <c r="E13" s="181"/>
      <c r="F13" s="181"/>
      <c r="G13" s="181"/>
      <c r="H13" s="181"/>
      <c r="I13" s="224"/>
      <c r="J13" s="224"/>
    </row>
    <row r="14" spans="1:10">
      <c r="A14" s="65" t="s">
        <v>294</v>
      </c>
      <c r="B14" s="144"/>
      <c r="C14" s="181"/>
      <c r="D14" s="181"/>
      <c r="E14" s="181"/>
      <c r="F14" s="181"/>
      <c r="G14" s="181"/>
      <c r="H14" s="181"/>
      <c r="I14" s="224"/>
      <c r="J14" s="224"/>
    </row>
    <row r="15" spans="1:10">
      <c r="A15" s="65" t="s">
        <v>295</v>
      </c>
      <c r="B15" s="144"/>
      <c r="C15" s="181">
        <f>+FundoManeio!C10</f>
        <v>0.39986666666666659</v>
      </c>
      <c r="D15" s="181">
        <f>+FundoManeio!D10</f>
        <v>959.67999999999984</v>
      </c>
      <c r="E15" s="181">
        <f>+FundoManeio!E10</f>
        <v>2848.3302399999998</v>
      </c>
      <c r="F15" s="181">
        <f>+FundoManeio!F10</f>
        <v>5628.3005542399997</v>
      </c>
      <c r="G15" s="181">
        <f>+FundoManeio!G10</f>
        <v>7246.4369635840003</v>
      </c>
      <c r="H15" s="181">
        <f>+FundoManeio!H10</f>
        <v>8550.79561702912</v>
      </c>
      <c r="I15" s="224"/>
      <c r="J15" s="224"/>
    </row>
    <row r="16" spans="1:10">
      <c r="A16" s="63" t="s">
        <v>296</v>
      </c>
      <c r="B16" s="144"/>
      <c r="C16" s="181"/>
      <c r="D16" s="181"/>
      <c r="E16" s="181"/>
      <c r="F16" s="181"/>
      <c r="G16" s="181"/>
      <c r="H16" s="181"/>
      <c r="I16" s="224"/>
      <c r="J16" s="224"/>
    </row>
    <row r="17" spans="1:10">
      <c r="A17" s="65" t="s">
        <v>297</v>
      </c>
      <c r="B17" s="144"/>
      <c r="C17" s="181">
        <f>+FundoManeio!C9</f>
        <v>3.0739749999999995</v>
      </c>
      <c r="D17" s="181">
        <f>+FundoManeio!D9</f>
        <v>7377.54</v>
      </c>
      <c r="E17" s="181">
        <f>+FundoManeio!E9</f>
        <v>21896.53872</v>
      </c>
      <c r="F17" s="181">
        <f>+FundoManeio!F9</f>
        <v>43267.560510720003</v>
      </c>
      <c r="G17" s="181">
        <f>+FundoManeio!G9</f>
        <v>55706.984157552011</v>
      </c>
      <c r="H17" s="181">
        <f>+FundoManeio!H9</f>
        <v>65734.241305911375</v>
      </c>
      <c r="I17" s="224"/>
      <c r="J17" s="224"/>
    </row>
    <row r="18" spans="1:10">
      <c r="A18" s="65" t="s">
        <v>298</v>
      </c>
      <c r="B18" s="144"/>
      <c r="C18" s="181"/>
      <c r="D18" s="181"/>
      <c r="E18" s="181"/>
      <c r="F18" s="181"/>
      <c r="G18" s="181"/>
      <c r="H18" s="181"/>
      <c r="I18" s="224"/>
      <c r="J18" s="224"/>
    </row>
    <row r="19" spans="1:10">
      <c r="A19" s="65" t="s">
        <v>299</v>
      </c>
      <c r="B19" s="144"/>
      <c r="C19" s="181"/>
      <c r="D19" s="181"/>
      <c r="E19" s="181"/>
      <c r="F19" s="181"/>
      <c r="G19" s="181"/>
      <c r="H19" s="181"/>
      <c r="I19" s="224"/>
      <c r="J19" s="224"/>
    </row>
    <row r="20" spans="1:10">
      <c r="A20" s="63" t="s">
        <v>300</v>
      </c>
      <c r="B20" s="144"/>
      <c r="C20" s="181">
        <f>+FundoManeio!C8</f>
        <v>15000</v>
      </c>
      <c r="D20" s="181">
        <f>+FundoManeio!D8</f>
        <v>15000</v>
      </c>
      <c r="E20" s="181">
        <f>+FundoManeio!E8</f>
        <v>15000</v>
      </c>
      <c r="F20" s="181">
        <f>+FundoManeio!F8</f>
        <v>15000</v>
      </c>
      <c r="G20" s="181">
        <f>+FundoManeio!G8</f>
        <v>15000</v>
      </c>
      <c r="H20" s="181">
        <f>+FundoManeio!H8</f>
        <v>15000</v>
      </c>
      <c r="I20" s="224"/>
      <c r="J20" s="224"/>
    </row>
    <row r="21" spans="1:10">
      <c r="A21" s="63" t="s">
        <v>301</v>
      </c>
      <c r="B21" s="144"/>
      <c r="C21" s="181">
        <f>+IF(PlanoFinanceiro!C28&gt;0,PlanoFinanceiro!C28,0)</f>
        <v>0</v>
      </c>
      <c r="D21" s="181">
        <f>+IF(PlanoFinanceiro!D28&gt;0,PlanoFinanceiro!D28,0)</f>
        <v>0</v>
      </c>
      <c r="E21" s="181">
        <f>+IF(PlanoFinanceiro!E28&gt;0,PlanoFinanceiro!E28,0)</f>
        <v>0</v>
      </c>
      <c r="F21" s="181">
        <f>+IF(PlanoFinanceiro!F28&gt;0,PlanoFinanceiro!F28,0)</f>
        <v>59877.790800548159</v>
      </c>
      <c r="G21" s="181">
        <f>+IF(PlanoFinanceiro!G28&gt;0,PlanoFinanceiro!G28,0)</f>
        <v>288867.96455676836</v>
      </c>
      <c r="H21" s="181">
        <f>+IF(PlanoFinanceiro!H28&gt;0,PlanoFinanceiro!H28,0)</f>
        <v>547914.63162379898</v>
      </c>
      <c r="I21" s="224"/>
      <c r="J21" s="224"/>
    </row>
    <row r="22" spans="1:10">
      <c r="A22" s="63" t="s">
        <v>302</v>
      </c>
      <c r="B22" s="144"/>
      <c r="C22" s="181"/>
      <c r="D22" s="181"/>
      <c r="E22" s="181"/>
      <c r="F22" s="181"/>
      <c r="G22" s="181"/>
      <c r="H22" s="181"/>
      <c r="I22" s="224"/>
      <c r="J22" s="224"/>
    </row>
    <row r="23" spans="1:10">
      <c r="A23" s="376" t="s">
        <v>303</v>
      </c>
      <c r="B23" s="376"/>
      <c r="C23" s="170">
        <f t="shared" ref="C23:H23" si="0">C9+C10-C11+C13+C14+C15+C17+C18+C20+C22+C21+C19</f>
        <v>20678.473841666666</v>
      </c>
      <c r="D23" s="170">
        <f t="shared" si="0"/>
        <v>27717.22</v>
      </c>
      <c r="E23" s="170">
        <f t="shared" si="0"/>
        <v>42079.86896</v>
      </c>
      <c r="F23" s="170">
        <f t="shared" si="0"/>
        <v>124063.65186550816</v>
      </c>
      <c r="G23" s="170">
        <f t="shared" si="0"/>
        <v>366891.38567790436</v>
      </c>
      <c r="H23" s="170">
        <f t="shared" si="0"/>
        <v>637199.6685467395</v>
      </c>
      <c r="I23" s="224"/>
      <c r="J23" s="224"/>
    </row>
    <row r="24" spans="1:10">
      <c r="A24" s="42"/>
      <c r="C24" s="136"/>
      <c r="D24" s="267"/>
      <c r="E24" s="267"/>
      <c r="F24" s="267"/>
      <c r="G24" s="267"/>
      <c r="I24" s="224"/>
      <c r="J24" s="224"/>
    </row>
    <row r="25" spans="1:10">
      <c r="A25" s="369" t="s">
        <v>304</v>
      </c>
      <c r="B25" s="369"/>
      <c r="C25" s="266"/>
      <c r="D25" s="266"/>
      <c r="E25" s="266"/>
      <c r="F25" s="266"/>
      <c r="G25" s="266"/>
      <c r="H25" s="266"/>
      <c r="I25" s="224"/>
      <c r="J25" s="224"/>
    </row>
    <row r="26" spans="1:10">
      <c r="A26" s="155" t="s">
        <v>305</v>
      </c>
      <c r="B26" s="144"/>
      <c r="C26" s="181">
        <f>+PlanoFinanceiro!C9</f>
        <v>15000</v>
      </c>
      <c r="D26" s="181">
        <f>+C26+PlanoFinanceiro!D9</f>
        <v>45000</v>
      </c>
      <c r="E26" s="181">
        <f>+D26+PlanoFinanceiro!E9</f>
        <v>45000</v>
      </c>
      <c r="F26" s="181">
        <f>+E26+PlanoFinanceiro!F9</f>
        <v>45000</v>
      </c>
      <c r="G26" s="181">
        <f>+F26+PlanoFinanceiro!G9</f>
        <v>45000</v>
      </c>
      <c r="H26" s="181">
        <f>+G26+PlanoFinanceiro!H9</f>
        <v>45000</v>
      </c>
      <c r="I26" s="224"/>
      <c r="J26" s="224"/>
    </row>
    <row r="27" spans="1:10">
      <c r="A27" s="155" t="s">
        <v>306</v>
      </c>
      <c r="B27" s="144"/>
      <c r="C27" s="181">
        <f>+PlanoFinanceiro!C13</f>
        <v>0</v>
      </c>
      <c r="D27" s="181">
        <f>+C27+PlanoFinanceiro!D13</f>
        <v>0</v>
      </c>
      <c r="E27" s="181">
        <f>+D27+PlanoFinanceiro!E13</f>
        <v>0</v>
      </c>
      <c r="F27" s="181">
        <f>+E27+PlanoFinanceiro!F13</f>
        <v>0</v>
      </c>
      <c r="G27" s="181">
        <f>+F27+PlanoFinanceiro!G13</f>
        <v>0</v>
      </c>
      <c r="H27" s="181">
        <f>+G27+PlanoFinanceiro!H13</f>
        <v>0</v>
      </c>
      <c r="I27" s="224"/>
      <c r="J27" s="224"/>
    </row>
    <row r="28" spans="1:10">
      <c r="A28" s="155" t="s">
        <v>307</v>
      </c>
      <c r="B28" s="144"/>
      <c r="C28" s="181"/>
      <c r="D28" s="181"/>
      <c r="E28" s="181"/>
      <c r="F28" s="181"/>
      <c r="G28" s="181"/>
      <c r="H28" s="181"/>
      <c r="I28" s="224"/>
      <c r="J28" s="224"/>
    </row>
    <row r="29" spans="1:10">
      <c r="A29" s="155" t="s">
        <v>308</v>
      </c>
      <c r="B29" s="144"/>
      <c r="C29" s="181"/>
      <c r="D29" s="181"/>
      <c r="E29" s="181"/>
      <c r="F29" s="181"/>
      <c r="G29" s="181"/>
      <c r="H29" s="181"/>
      <c r="I29" s="224"/>
      <c r="J29" s="224"/>
    </row>
    <row r="30" spans="1:10">
      <c r="A30" s="155" t="s">
        <v>309</v>
      </c>
      <c r="B30" s="144"/>
      <c r="C30" s="181"/>
      <c r="D30" s="181">
        <f>+C30+C31-PlanoFinanceiro!D21</f>
        <v>-57357.728886851066</v>
      </c>
      <c r="E30" s="181">
        <f>+D30+D31-PlanoFinanceiro!E21</f>
        <v>-133512.16717324581</v>
      </c>
      <c r="F30" s="181">
        <f>+E30+E31-PlanoFinanceiro!F21</f>
        <v>-126601.33676350405</v>
      </c>
      <c r="G30" s="181">
        <f>+F30+F31-PlanoFinanceiro!G21</f>
        <v>16395.501752547454</v>
      </c>
      <c r="H30" s="181">
        <f>+G30+G31-PlanoFinanceiro!H21</f>
        <v>203796.75070163526</v>
      </c>
      <c r="I30" s="224"/>
      <c r="J30" s="224"/>
    </row>
    <row r="31" spans="1:10">
      <c r="A31" s="155" t="s">
        <v>310</v>
      </c>
      <c r="B31" s="144"/>
      <c r="C31" s="181">
        <f>+DR!C33</f>
        <v>-57357.728886851066</v>
      </c>
      <c r="D31" s="181">
        <f>+DR!D33</f>
        <v>-76154.438286394739</v>
      </c>
      <c r="E31" s="181">
        <f>+DR!E33</f>
        <v>6910.8304097417595</v>
      </c>
      <c r="F31" s="181">
        <f>+DR!F33</f>
        <v>142996.8385160515</v>
      </c>
      <c r="G31" s="181">
        <f>+DR!G33</f>
        <v>187401.24894908781</v>
      </c>
      <c r="H31" s="181">
        <f>+DR!H33</f>
        <v>246356.34656106087</v>
      </c>
      <c r="I31" s="224"/>
      <c r="J31" s="224"/>
    </row>
    <row r="32" spans="1:10">
      <c r="A32" s="376" t="s">
        <v>311</v>
      </c>
      <c r="B32" s="376"/>
      <c r="C32" s="170">
        <f t="shared" ref="C32:H32" si="1">SUM(C26:C31)</f>
        <v>-42357.728886851066</v>
      </c>
      <c r="D32" s="170">
        <f t="shared" si="1"/>
        <v>-88512.167173245805</v>
      </c>
      <c r="E32" s="170">
        <f t="shared" si="1"/>
        <v>-81601.336763504049</v>
      </c>
      <c r="F32" s="170">
        <f t="shared" si="1"/>
        <v>61395.501752547454</v>
      </c>
      <c r="G32" s="170">
        <f t="shared" si="1"/>
        <v>248796.75070163526</v>
      </c>
      <c r="H32" s="170">
        <f t="shared" si="1"/>
        <v>495153.09726269613</v>
      </c>
      <c r="I32" s="224"/>
      <c r="J32" s="224"/>
    </row>
    <row r="33" spans="1:10">
      <c r="C33" s="244"/>
      <c r="D33" s="244"/>
      <c r="E33" s="244"/>
      <c r="F33" s="244"/>
      <c r="G33" s="244"/>
      <c r="H33" s="244"/>
      <c r="I33" s="224"/>
      <c r="J33" s="224"/>
    </row>
    <row r="34" spans="1:10">
      <c r="A34" s="377" t="s">
        <v>312</v>
      </c>
      <c r="B34" s="377"/>
      <c r="C34" s="57"/>
      <c r="D34" s="57"/>
      <c r="E34" s="57"/>
      <c r="F34" s="57"/>
      <c r="G34" s="57"/>
      <c r="H34" s="57"/>
      <c r="I34" s="224"/>
      <c r="J34" s="224"/>
    </row>
    <row r="35" spans="1:10">
      <c r="A35" s="63" t="s">
        <v>313</v>
      </c>
      <c r="B35" s="144"/>
      <c r="C35" s="268"/>
      <c r="D35" s="117"/>
      <c r="E35" s="117"/>
      <c r="F35" s="117"/>
      <c r="G35" s="117"/>
      <c r="H35" s="117"/>
      <c r="I35" s="224"/>
      <c r="J35" s="224"/>
    </row>
    <row r="36" spans="1:10">
      <c r="A36" s="63" t="s">
        <v>314</v>
      </c>
      <c r="B36" s="144"/>
      <c r="C36" s="266"/>
      <c r="D36" s="266"/>
      <c r="E36" s="266"/>
      <c r="F36" s="266"/>
      <c r="G36" s="266"/>
      <c r="H36" s="266"/>
      <c r="I36" s="224"/>
      <c r="J36" s="224"/>
    </row>
    <row r="37" spans="1:10">
      <c r="A37" s="65" t="s">
        <v>315</v>
      </c>
      <c r="B37" s="144"/>
      <c r="C37" s="181">
        <f>+Financiamento!C76</f>
        <v>0</v>
      </c>
      <c r="D37" s="181">
        <f>+Financiamento!D76</f>
        <v>0</v>
      </c>
      <c r="E37" s="181">
        <f>+Financiamento!E76</f>
        <v>0</v>
      </c>
      <c r="F37" s="181">
        <f>+Financiamento!F76</f>
        <v>0</v>
      </c>
      <c r="G37" s="181">
        <f>+Financiamento!G76</f>
        <v>0</v>
      </c>
      <c r="H37" s="181">
        <f>+Financiamento!H76</f>
        <v>0</v>
      </c>
      <c r="I37" s="224"/>
      <c r="J37" s="224"/>
    </row>
    <row r="38" spans="1:10">
      <c r="A38" s="65" t="s">
        <v>316</v>
      </c>
      <c r="B38" s="144"/>
      <c r="C38" s="185"/>
      <c r="D38" s="186"/>
      <c r="E38" s="186"/>
      <c r="F38" s="186"/>
      <c r="G38" s="186"/>
      <c r="H38" s="186"/>
      <c r="I38" s="224"/>
      <c r="J38" s="224"/>
    </row>
    <row r="39" spans="1:10">
      <c r="A39" s="65" t="s">
        <v>306</v>
      </c>
      <c r="B39" s="144"/>
      <c r="C39" s="185"/>
      <c r="D39" s="186"/>
      <c r="E39" s="186"/>
      <c r="F39" s="186"/>
      <c r="G39" s="186"/>
      <c r="H39" s="186"/>
      <c r="I39" s="224"/>
      <c r="J39" s="224"/>
    </row>
    <row r="40" spans="1:10">
      <c r="A40" s="65" t="s">
        <v>317</v>
      </c>
      <c r="B40" s="144"/>
      <c r="C40" s="185"/>
      <c r="D40" s="186"/>
      <c r="E40" s="186"/>
      <c r="F40" s="186"/>
      <c r="G40" s="186"/>
      <c r="H40" s="186"/>
      <c r="I40" s="224"/>
      <c r="J40" s="224"/>
    </row>
    <row r="41" spans="1:10">
      <c r="A41" s="63" t="s">
        <v>318</v>
      </c>
      <c r="B41" s="144"/>
      <c r="C41" s="269"/>
      <c r="D41" s="269"/>
      <c r="E41" s="269"/>
      <c r="F41" s="269"/>
      <c r="G41" s="269"/>
      <c r="H41" s="269"/>
      <c r="I41" s="224"/>
      <c r="J41" s="224"/>
    </row>
    <row r="42" spans="1:10">
      <c r="A42" s="65" t="s">
        <v>315</v>
      </c>
      <c r="B42" s="144"/>
      <c r="C42" s="269">
        <f>+IF(PlanoFinanceiro!C28&lt;0,-PlanoFinanceiro!C28,0)</f>
        <v>51660.534780851071</v>
      </c>
      <c r="D42" s="269">
        <f>+IF(PlanoFinanceiro!D28&lt;0,-PlanoFinanceiro!D28,0)</f>
        <v>86925.03810657913</v>
      </c>
      <c r="E42" s="269">
        <f>+IF(PlanoFinanceiro!E28&lt;0,-PlanoFinanceiro!E28,0)</f>
        <v>82108.010504304024</v>
      </c>
      <c r="F42" s="269">
        <f>+IF(PlanoFinanceiro!F28&lt;0,-PlanoFinanceiro!F28,0)</f>
        <v>0</v>
      </c>
      <c r="G42" s="269">
        <f>+IF(PlanoFinanceiro!G28&lt;0,-PlanoFinanceiro!G28,0)</f>
        <v>0</v>
      </c>
      <c r="H42" s="269">
        <f>+IF(PlanoFinanceiro!H28&lt;0,-PlanoFinanceiro!H28,0)</f>
        <v>0</v>
      </c>
      <c r="I42" s="224"/>
      <c r="J42" s="224"/>
    </row>
    <row r="43" spans="1:10">
      <c r="A43" s="65" t="s">
        <v>319</v>
      </c>
      <c r="B43" s="144"/>
      <c r="C43" s="269">
        <f>+FundoManeio!C15</f>
        <v>230.216172</v>
      </c>
      <c r="D43" s="269">
        <f>+FundoManeio!D15</f>
        <v>3827.9007999999994</v>
      </c>
      <c r="E43" s="269">
        <f>+FundoManeio!E15</f>
        <v>8914.106790400001</v>
      </c>
      <c r="F43" s="269">
        <f>+FundoManeio!F15</f>
        <v>16229.637363430398</v>
      </c>
      <c r="G43" s="269">
        <f>+FundoManeio!G15</f>
        <v>20567.855630416638</v>
      </c>
      <c r="H43" s="269">
        <f>+FundoManeio!H15</f>
        <v>24050.739987891633</v>
      </c>
      <c r="I43" s="224"/>
      <c r="J43" s="224"/>
    </row>
    <row r="44" spans="1:10">
      <c r="A44" s="65" t="s">
        <v>298</v>
      </c>
      <c r="B44" s="144"/>
      <c r="C44" s="269">
        <f>+FundoManeio!C16+DR!C32</f>
        <v>11145.451775666666</v>
      </c>
      <c r="D44" s="269">
        <f>+FundoManeio!D16+DR!D32</f>
        <v>25476.448266666666</v>
      </c>
      <c r="E44" s="269">
        <f>+FundoManeio!E16+DR!E32</f>
        <v>32659.088428800009</v>
      </c>
      <c r="F44" s="269">
        <f>+FundoManeio!F16+DR!F32</f>
        <v>46438.512749530288</v>
      </c>
      <c r="G44" s="269">
        <f>+FundoManeio!G16+DR!G32</f>
        <v>97526.77934585241</v>
      </c>
      <c r="H44" s="269">
        <f>+FundoManeio!H16+DR!H32</f>
        <v>117995.83129615177</v>
      </c>
      <c r="I44" s="224"/>
      <c r="J44" s="224"/>
    </row>
    <row r="45" spans="1:10">
      <c r="A45" s="65" t="s">
        <v>317</v>
      </c>
      <c r="B45" s="144"/>
      <c r="C45" s="185"/>
      <c r="D45" s="186"/>
      <c r="E45" s="186"/>
      <c r="F45" s="186"/>
      <c r="G45" s="186"/>
      <c r="H45" s="186"/>
      <c r="I45" s="224"/>
      <c r="J45" s="224"/>
    </row>
    <row r="46" spans="1:10">
      <c r="A46" s="63" t="s">
        <v>302</v>
      </c>
      <c r="B46" s="144"/>
      <c r="C46" s="185"/>
      <c r="D46" s="186"/>
      <c r="E46" s="186"/>
      <c r="F46" s="186"/>
      <c r="G46" s="186"/>
      <c r="H46" s="186"/>
      <c r="I46" s="224"/>
      <c r="J46" s="224"/>
    </row>
    <row r="47" spans="1:10">
      <c r="A47" s="376" t="s">
        <v>320</v>
      </c>
      <c r="B47" s="376"/>
      <c r="C47" s="72">
        <f t="shared" ref="C47:H47" si="2">SUM(C35:C46)</f>
        <v>63036.202728517739</v>
      </c>
      <c r="D47" s="72">
        <f t="shared" si="2"/>
        <v>116229.38717324581</v>
      </c>
      <c r="E47" s="72">
        <f t="shared" si="2"/>
        <v>123681.20572350403</v>
      </c>
      <c r="F47" s="72">
        <f t="shared" si="2"/>
        <v>62668.150112960684</v>
      </c>
      <c r="G47" s="72">
        <f t="shared" si="2"/>
        <v>118094.63497626905</v>
      </c>
      <c r="H47" s="72">
        <f t="shared" si="2"/>
        <v>142046.5712840434</v>
      </c>
      <c r="I47" s="224"/>
      <c r="J47" s="224"/>
    </row>
    <row r="48" spans="1:10">
      <c r="A48" s="153"/>
      <c r="B48" s="153"/>
      <c r="C48" s="244"/>
      <c r="I48" s="224"/>
      <c r="J48" s="224"/>
    </row>
    <row r="49" spans="1:10">
      <c r="A49" s="376" t="s">
        <v>321</v>
      </c>
      <c r="B49" s="376"/>
      <c r="C49" s="72">
        <f t="shared" ref="C49:H49" si="3">+C47+C32</f>
        <v>20678.473841666673</v>
      </c>
      <c r="D49" s="72">
        <f t="shared" si="3"/>
        <v>27717.22</v>
      </c>
      <c r="E49" s="72">
        <f t="shared" si="3"/>
        <v>42079.868959999978</v>
      </c>
      <c r="F49" s="72">
        <f t="shared" si="3"/>
        <v>124063.65186550815</v>
      </c>
      <c r="G49" s="72">
        <f t="shared" si="3"/>
        <v>366891.3856779043</v>
      </c>
      <c r="H49" s="72">
        <f t="shared" si="3"/>
        <v>637199.6685467395</v>
      </c>
      <c r="I49" s="224"/>
      <c r="J49" s="224"/>
    </row>
    <row r="50" spans="1:10">
      <c r="E50" s="270"/>
      <c r="F50" s="270"/>
      <c r="G50" s="270"/>
      <c r="H50" s="270"/>
    </row>
    <row r="51" spans="1:10">
      <c r="C51" s="271">
        <f>+C23-C49</f>
        <v>0</v>
      </c>
      <c r="D51" s="272">
        <f>+D23-D49</f>
        <v>0</v>
      </c>
      <c r="E51" s="273"/>
      <c r="F51" s="273"/>
      <c r="G51" s="273"/>
      <c r="H51" s="273"/>
    </row>
    <row r="52" spans="1:10">
      <c r="C52" s="274"/>
      <c r="D52" s="272">
        <f>+D51-C51</f>
        <v>0</v>
      </c>
      <c r="E52" s="272">
        <f>+E51-D51</f>
        <v>0</v>
      </c>
      <c r="F52" s="272">
        <f>+F51-E51</f>
        <v>0</v>
      </c>
      <c r="G52" s="272">
        <f>+G51-F51</f>
        <v>0</v>
      </c>
      <c r="H52" s="272">
        <f>+H51-G51</f>
        <v>0</v>
      </c>
    </row>
  </sheetData>
  <sheetProtection selectLockedCells="1" selectUnlockedCells="1"/>
  <mergeCells count="8">
    <mergeCell ref="A47:B47"/>
    <mergeCell ref="A49:B49"/>
    <mergeCell ref="A3:H3"/>
    <mergeCell ref="A7:B7"/>
    <mergeCell ref="A23:B23"/>
    <mergeCell ref="A25:B25"/>
    <mergeCell ref="A32:B32"/>
    <mergeCell ref="A34:B34"/>
  </mergeCells>
  <printOptions horizontalCentered="1"/>
  <pageMargins left="0.39374999999999999" right="0.39374999999999999" top="0.39374999999999999" bottom="0.39374999999999999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showGridLines="0" topLeftCell="A55" workbookViewId="0">
      <selection activeCell="C49" sqref="C49"/>
    </sheetView>
  </sheetViews>
  <sheetFormatPr defaultColWidth="8.85546875" defaultRowHeight="12.75"/>
  <cols>
    <col min="1" max="1" width="42.85546875" style="16" customWidth="1"/>
    <col min="2" max="11" width="11.42578125" style="16" customWidth="1"/>
    <col min="12" max="16384" width="8.85546875" style="16"/>
  </cols>
  <sheetData>
    <row r="1" spans="1:7" ht="13.5">
      <c r="A1" s="17" t="str">
        <f>+VN!A1</f>
        <v>Empresa:</v>
      </c>
      <c r="B1" s="50" t="str">
        <f>+Pressupostos!B1</f>
        <v>Herbawatter</v>
      </c>
      <c r="C1" s="275"/>
      <c r="D1" s="275"/>
      <c r="E1" s="275"/>
      <c r="F1" s="275"/>
      <c r="G1" s="275"/>
    </row>
    <row r="3" spans="1:7">
      <c r="A3" s="365" t="s">
        <v>322</v>
      </c>
      <c r="B3" s="365"/>
      <c r="C3" s="365"/>
      <c r="D3" s="365"/>
      <c r="E3" s="365"/>
      <c r="F3" s="365"/>
      <c r="G3" s="365"/>
    </row>
    <row r="5" spans="1:7">
      <c r="A5" s="276" t="s">
        <v>323</v>
      </c>
      <c r="B5" s="277">
        <f>+VN!C5</f>
        <v>2016</v>
      </c>
      <c r="C5" s="277">
        <f>+VN!D5</f>
        <v>2017</v>
      </c>
      <c r="D5" s="277">
        <f>+VN!E5</f>
        <v>2018</v>
      </c>
      <c r="E5" s="277">
        <f>+VN!F5</f>
        <v>2019</v>
      </c>
      <c r="F5" s="277">
        <f>+VN!G5</f>
        <v>2020</v>
      </c>
      <c r="G5" s="278">
        <f>+VN!H5</f>
        <v>2021</v>
      </c>
    </row>
    <row r="6" spans="1:7">
      <c r="A6" s="279" t="s">
        <v>324</v>
      </c>
      <c r="B6" s="208"/>
      <c r="C6" s="208"/>
      <c r="D6" s="208">
        <f>+(DR!E9/DR!D9)-1</f>
        <v>1.968</v>
      </c>
      <c r="E6" s="208">
        <f>+(DR!F9/DR!E9)-1</f>
        <v>0.9760000000000002</v>
      </c>
      <c r="F6" s="208">
        <f>+(DR!G9/DR!F9)-1</f>
        <v>0.28750000000000009</v>
      </c>
      <c r="G6" s="280">
        <f>+(DR!H9/DR!G9)-1</f>
        <v>0.17999999999999994</v>
      </c>
    </row>
    <row r="7" spans="1:7">
      <c r="A7" s="279" t="s">
        <v>325</v>
      </c>
      <c r="B7" s="208"/>
      <c r="C7" s="208">
        <f>(DR!D9/(DR!D10+DR!D11+DR!D12+DR!D15+DR!D17+DR!D18+DR!D20))-1</f>
        <v>-0.48906060410221242</v>
      </c>
      <c r="D7" s="208">
        <f>(DR!E9/(DR!E10+DR!E11+DR!E12+DR!E15+DR!E17+DR!E18+DR!E20))-1</f>
        <v>6.9501052762057647E-2</v>
      </c>
      <c r="E7" s="208">
        <f>(DR!F9/(DR!F10+DR!F11+DR!F12+DR!F15+DR!F17+DR!F18+DR!F20))-1</f>
        <v>0.52768554262467693</v>
      </c>
      <c r="F7" s="208">
        <f>(DR!G9/(DR!G10+DR!G11+DR!G12+DR!G15+DR!G17+DR!G18+DR!G20))-1</f>
        <v>0.68064196995253501</v>
      </c>
      <c r="G7" s="280">
        <f>(DR!H9/(DR!H10+DR!H11+DR!H12+DR!H15+DR!H17+DR!H18+DR!H20))-1</f>
        <v>0.77024808198164174</v>
      </c>
    </row>
    <row r="8" spans="1:7">
      <c r="A8" s="279" t="s">
        <v>326</v>
      </c>
      <c r="B8" s="208"/>
      <c r="C8" s="208">
        <f>+DR!D25/DR!D9</f>
        <v>-0.9855915305101699</v>
      </c>
      <c r="D8" s="208">
        <f>+DR!E25/DR!E9</f>
        <v>5.5411697579936046E-2</v>
      </c>
      <c r="E8" s="208">
        <f>+DR!F25/DR!F9</f>
        <v>0.34057046199955493</v>
      </c>
      <c r="F8" s="208">
        <f>+DR!G25/DR!G9</f>
        <v>0.40458447657927182</v>
      </c>
      <c r="G8" s="280">
        <f>+DR!H25/DR!H9</f>
        <v>0.43499827190594198</v>
      </c>
    </row>
    <row r="9" spans="1:7">
      <c r="A9" s="279" t="s">
        <v>327</v>
      </c>
      <c r="B9" s="208"/>
      <c r="C9" s="208">
        <f>+DR!D33/DR!D9</f>
        <v>-1.0580532161608696</v>
      </c>
      <c r="D9" s="208">
        <f>+DR!E33/DR!E9</f>
        <v>3.2350323768364532E-2</v>
      </c>
      <c r="E9" s="208">
        <f>+DR!F33/DR!F9</f>
        <v>0.33875669843377942</v>
      </c>
      <c r="F9" s="208">
        <f>+DR!G33/DR!G9</f>
        <v>0.34481543576215035</v>
      </c>
      <c r="G9" s="280">
        <f>+DR!H33/DR!H9</f>
        <v>0.38414569059973186</v>
      </c>
    </row>
    <row r="10" spans="1:7">
      <c r="A10" s="281" t="s">
        <v>328</v>
      </c>
      <c r="B10" s="282"/>
      <c r="C10" s="282">
        <f>+DR!D18/DR!D9</f>
        <v>1.4352239635434032</v>
      </c>
      <c r="D10" s="282">
        <f>+DR!E18/DR!E9</f>
        <v>0.52655792421972347</v>
      </c>
      <c r="E10" s="282">
        <f>+DR!F18/DR!F9</f>
        <v>0.27862753509232657</v>
      </c>
      <c r="F10" s="282">
        <f>+DR!G18/DR!G9</f>
        <v>0.225029325739275</v>
      </c>
      <c r="G10" s="283">
        <f>+DR!H18/DR!H9</f>
        <v>0.19829974497823674</v>
      </c>
    </row>
    <row r="12" spans="1:7">
      <c r="A12" s="276" t="s">
        <v>329</v>
      </c>
      <c r="B12" s="277">
        <f t="shared" ref="B12:G12" si="0">+B5</f>
        <v>2016</v>
      </c>
      <c r="C12" s="277">
        <f t="shared" si="0"/>
        <v>2017</v>
      </c>
      <c r="D12" s="277">
        <f t="shared" si="0"/>
        <v>2018</v>
      </c>
      <c r="E12" s="277">
        <f t="shared" si="0"/>
        <v>2019</v>
      </c>
      <c r="F12" s="277">
        <f t="shared" si="0"/>
        <v>2020</v>
      </c>
      <c r="G12" s="278">
        <f t="shared" si="0"/>
        <v>2021</v>
      </c>
    </row>
    <row r="13" spans="1:7">
      <c r="A13" s="279" t="s">
        <v>330</v>
      </c>
      <c r="B13" s="208"/>
      <c r="C13" s="208">
        <f>+DR!D33/Balanço!D23</f>
        <v>-2.747549656365059</v>
      </c>
      <c r="D13" s="208">
        <f>+DR!E33/Balanço!E23</f>
        <v>0.164231272115201</v>
      </c>
      <c r="E13" s="208">
        <f>+DR!F33/Balanço!F23</f>
        <v>1.1526086518158272</v>
      </c>
      <c r="F13" s="208">
        <f>+DR!G33/Balanço!G23</f>
        <v>0.51078127278138996</v>
      </c>
      <c r="G13" s="280">
        <f>+DR!H33/Balanço!H23</f>
        <v>0.38662346941097048</v>
      </c>
    </row>
    <row r="14" spans="1:7">
      <c r="A14" s="279" t="s">
        <v>331</v>
      </c>
      <c r="B14" s="208"/>
      <c r="C14" s="208">
        <f>+DR!D25/Balanço!D23</f>
        <v>-2.5593813520980815</v>
      </c>
      <c r="D14" s="208">
        <f>+DR!E25/Balanço!E23</f>
        <v>0.28130579615759338</v>
      </c>
      <c r="E14" s="208">
        <f>+DR!F25/Balanço!F23</f>
        <v>1.1587799233742253</v>
      </c>
      <c r="F14" s="208">
        <f>+DR!G25/Balanço!G23</f>
        <v>0.59931822204531626</v>
      </c>
      <c r="G14" s="280">
        <f>+DR!H25/Balanço!H23</f>
        <v>0.4378040550435095</v>
      </c>
    </row>
    <row r="15" spans="1:7">
      <c r="A15" s="279" t="s">
        <v>332</v>
      </c>
      <c r="B15" s="208"/>
      <c r="C15" s="208">
        <f>+DR!D9/Balanço!D23</f>
        <v>2.596797225695795</v>
      </c>
      <c r="D15" s="208">
        <f>+DR!E9/Balanço!E23</f>
        <v>5.0766500295679631</v>
      </c>
      <c r="E15" s="208">
        <f>+DR!F9/Balanço!F23</f>
        <v>3.4024674852035162</v>
      </c>
      <c r="F15" s="208">
        <f>+DR!G9/Balanço!G23</f>
        <v>1.4813178872123374</v>
      </c>
      <c r="G15" s="280">
        <f>+DR!H9/Balanço!H23</f>
        <v>1.0064501018021843</v>
      </c>
    </row>
    <row r="16" spans="1:7">
      <c r="A16" s="279" t="s">
        <v>333</v>
      </c>
      <c r="B16" s="208"/>
      <c r="C16" s="208">
        <f>+DR!D9/(Balanço!D9+Balanço!D10-Balanço!D11)</f>
        <v>16.432876712328767</v>
      </c>
      <c r="D16" s="208">
        <f>+DR!E9/(Balanço!E9+Balanço!E10-Balanço!E11)</f>
        <v>91.488123340471091</v>
      </c>
      <c r="E16" s="208">
        <f>+DR!F9/(Balanço!F9+Balanço!F10-Balanço!F11)</f>
        <v>1455.5949709241381</v>
      </c>
      <c r="F16" s="208">
        <f>+DR!G9/(Balanço!G9+Balanço!G10-Balanço!G11)</f>
        <v>7764.0396038400013</v>
      </c>
      <c r="G16" s="280" t="e">
        <f>+DR!H9/(Balanço!H9+Balanço!H10-Balanço!H11)</f>
        <v>#DIV/0!</v>
      </c>
    </row>
    <row r="17" spans="1:9">
      <c r="A17" s="284" t="s">
        <v>334</v>
      </c>
      <c r="B17" s="285"/>
      <c r="C17" s="285">
        <f>+DR!D33/Balanço!D32</f>
        <v>0.86038384008084279</v>
      </c>
      <c r="D17" s="285">
        <f>+DR!E33/Balanço!E32</f>
        <v>-8.469016175274971E-2</v>
      </c>
      <c r="E17" s="285">
        <f>+DR!F33/Balanço!F32</f>
        <v>2.3291093717646536</v>
      </c>
      <c r="F17" s="285">
        <f>+DR!G33/Balanço!G32</f>
        <v>0.75323029107331541</v>
      </c>
      <c r="G17" s="286">
        <f>+DR!H33/Balanço!H32</f>
        <v>0.49753570748717374</v>
      </c>
    </row>
    <row r="18" spans="1:9" ht="15.75">
      <c r="A18" s="287" t="s">
        <v>335</v>
      </c>
      <c r="B18" s="288"/>
      <c r="C18" s="288">
        <f>+DR!D9/Balanço!D32</f>
        <v>-0.8131763383345999</v>
      </c>
      <c r="D18" s="288">
        <f>+DR!E9/Balanço!E32</f>
        <v>-2.6179077019182246</v>
      </c>
      <c r="E18" s="288">
        <f>+DR!F9/Balanço!F32</f>
        <v>6.8754636662039355</v>
      </c>
      <c r="F18" s="288">
        <f>+DR!G9/Balanço!G32</f>
        <v>2.1844448158431193</v>
      </c>
      <c r="G18" s="289">
        <f>+DR!H9/Balanço!H32</f>
        <v>1.2951745123325902</v>
      </c>
      <c r="I18" s="290" t="s">
        <v>336</v>
      </c>
    </row>
    <row r="20" spans="1:9">
      <c r="A20" s="276" t="s">
        <v>337</v>
      </c>
      <c r="B20" s="277">
        <f t="shared" ref="B20:G20" si="1">+B5</f>
        <v>2016</v>
      </c>
      <c r="C20" s="277">
        <f t="shared" si="1"/>
        <v>2017</v>
      </c>
      <c r="D20" s="277">
        <f t="shared" si="1"/>
        <v>2018</v>
      </c>
      <c r="E20" s="277">
        <f t="shared" si="1"/>
        <v>2019</v>
      </c>
      <c r="F20" s="277">
        <f t="shared" si="1"/>
        <v>2020</v>
      </c>
      <c r="G20" s="278">
        <f t="shared" si="1"/>
        <v>2021</v>
      </c>
    </row>
    <row r="21" spans="1:9">
      <c r="A21" s="279" t="s">
        <v>338</v>
      </c>
      <c r="B21" s="208"/>
      <c r="C21" s="208">
        <f>+Balanço!D32/Balanço!D23</f>
        <v>-3.1933998854591406</v>
      </c>
      <c r="D21" s="208">
        <f>+Balanço!E32/Balanço!E23</f>
        <v>-1.9392013040979785</v>
      </c>
      <c r="E21" s="208">
        <f>+Balanço!F32/Balanço!F23</f>
        <v>0.49487098621845793</v>
      </c>
      <c r="F21" s="208">
        <f>+Balanço!G32/Balanço!G23</f>
        <v>0.67812099278900784</v>
      </c>
      <c r="G21" s="280">
        <f>+Balanço!H32/Balanço!H23</f>
        <v>0.77707682804040246</v>
      </c>
    </row>
    <row r="22" spans="1:9">
      <c r="A22" s="279" t="s">
        <v>339</v>
      </c>
      <c r="B22" s="208"/>
      <c r="C22" s="208">
        <f>+Balanço!D32/Balanço!D47</f>
        <v>-0.76153001685635602</v>
      </c>
      <c r="D22" s="208">
        <f>+Balanço!E32/Balanço!E47</f>
        <v>-0.65977151731466954</v>
      </c>
      <c r="E22" s="208">
        <f>+Balanço!F32/Balanço!F47</f>
        <v>0.979692262207848</v>
      </c>
      <c r="F22" s="208">
        <f>+Balanço!G32/Balanço!G47</f>
        <v>2.1067574386561305</v>
      </c>
      <c r="G22" s="280">
        <f>+Balanço!H32/Balanço!H47</f>
        <v>3.4858503995324415</v>
      </c>
    </row>
    <row r="23" spans="1:9">
      <c r="A23" s="279" t="s">
        <v>340</v>
      </c>
      <c r="B23" s="208"/>
      <c r="C23" s="208">
        <f>+Balanço!D47/Balanço!D23</f>
        <v>4.193399885459141</v>
      </c>
      <c r="D23" s="208">
        <f>+Balanço!E47/Balanço!E23</f>
        <v>2.9392013040979781</v>
      </c>
      <c r="E23" s="208">
        <f>+Balanço!F47/Balanço!F23</f>
        <v>0.50512901378154185</v>
      </c>
      <c r="F23" s="208">
        <f>+Balanço!G47/Balanço!G23</f>
        <v>0.32187900721099205</v>
      </c>
      <c r="G23" s="280">
        <f>+Balanço!H47/Balanço!H23</f>
        <v>0.2229231719595976</v>
      </c>
    </row>
    <row r="24" spans="1:9" ht="15.75">
      <c r="A24" s="281" t="s">
        <v>77</v>
      </c>
      <c r="B24" s="282"/>
      <c r="C24" s="282">
        <f>+SUM(Balanço!D37:D40)/Balanço!D23</f>
        <v>0</v>
      </c>
      <c r="D24" s="282">
        <f>+SUM(Balanço!E37:E40)/Balanço!E23</f>
        <v>0</v>
      </c>
      <c r="E24" s="282">
        <f>+SUM(Balanço!F37:F40)/Balanço!F23</f>
        <v>0</v>
      </c>
      <c r="F24" s="282">
        <f>+SUM(Balanço!G37:G40)/Balanço!G23</f>
        <v>0</v>
      </c>
      <c r="G24" s="283">
        <f>+SUM(Balanço!H37:H40)/Balanço!H23</f>
        <v>0</v>
      </c>
      <c r="I24" s="291" t="s">
        <v>341</v>
      </c>
    </row>
    <row r="26" spans="1:9">
      <c r="A26" s="276" t="s">
        <v>342</v>
      </c>
      <c r="B26" s="277">
        <f t="shared" ref="B26:G26" si="2">+B5</f>
        <v>2016</v>
      </c>
      <c r="C26" s="277">
        <f t="shared" si="2"/>
        <v>2017</v>
      </c>
      <c r="D26" s="277">
        <f t="shared" si="2"/>
        <v>2018</v>
      </c>
      <c r="E26" s="277">
        <f t="shared" si="2"/>
        <v>2019</v>
      </c>
      <c r="F26" s="277">
        <f t="shared" si="2"/>
        <v>2020</v>
      </c>
      <c r="G26" s="278">
        <f t="shared" si="2"/>
        <v>2021</v>
      </c>
    </row>
    <row r="27" spans="1:9">
      <c r="A27" s="279" t="s">
        <v>343</v>
      </c>
      <c r="B27" s="181"/>
      <c r="C27" s="208">
        <f>(Balanço!D15+Balanço!D17+Balanço!D18+Balanço!D20+Balanço!D21+Balanço!D22)/SUM(Balanço!D42:D46)</f>
        <v>0.20078588184599724</v>
      </c>
      <c r="D27" s="208">
        <f>(Balanço!E15+Balanço!E17+Balanço!E18+Balanço!E20+Balanço!E21+Balanço!E22)/SUM(Balanço!E42:E46)</f>
        <v>0.32134930062738704</v>
      </c>
      <c r="E27" s="208">
        <f>(Balanço!F15+Balanço!F17+Balanço!F18+Balanço!F20+Balanço!F21+Balanço!F22)/SUM(Balanço!F42:F46)</f>
        <v>1.9750647121768155</v>
      </c>
      <c r="F27" s="208">
        <f>(Balanço!G15+Balanço!G17+Balanço!G18+Balanço!G20+Balanço!G21+Balanço!G22)/SUM(Balanço!G42:G46)</f>
        <v>3.1061646936934655</v>
      </c>
      <c r="G27" s="280">
        <f>(Balanço!H15+Balanço!H17+Balanço!H18+Balanço!H20+Balanço!H21+Balanço!H22)/SUM(Balanço!H42:H46)</f>
        <v>4.485850399532441</v>
      </c>
    </row>
    <row r="28" spans="1:9">
      <c r="A28" s="281" t="s">
        <v>344</v>
      </c>
      <c r="B28" s="292"/>
      <c r="C28" s="282">
        <f>(Balanço!D17+Balanço!D18+Balanço!D20+Balanço!D21+Balanço!D22)/SUM(Balanço!D42:D46)</f>
        <v>0.19252910597080874</v>
      </c>
      <c r="D28" s="282">
        <f>(Balanço!E17+Balanço!E18+Balanço!E20+Balanço!E21+Balanço!E22)/SUM(Balanço!E42:E46)</f>
        <v>0.29831968813826243</v>
      </c>
      <c r="E28" s="282">
        <f>(Balanço!F17+Balanço!F18+Balanço!F20+Balanço!F21+Balanço!F22)/SUM(Balanço!F42:F46)</f>
        <v>1.8852535314718664</v>
      </c>
      <c r="F28" s="282">
        <f>(Balanço!G17+Balanço!G18+Balanço!G20+Balanço!G21+Balanço!G22)/SUM(Balanço!G42:G46)</f>
        <v>3.044803422158648</v>
      </c>
      <c r="G28" s="283">
        <f>(Balanço!H17+Balanço!H18+Balanço!H20+Balanço!H21+Balanço!H22)/SUM(Balanço!H42:H46)</f>
        <v>4.4256532716487236</v>
      </c>
    </row>
    <row r="30" spans="1:9">
      <c r="A30" s="276" t="s">
        <v>345</v>
      </c>
      <c r="B30" s="277">
        <f t="shared" ref="B30:G30" si="3">+B5</f>
        <v>2016</v>
      </c>
      <c r="C30" s="277">
        <f t="shared" si="3"/>
        <v>2017</v>
      </c>
      <c r="D30" s="277">
        <f t="shared" si="3"/>
        <v>2018</v>
      </c>
      <c r="E30" s="277">
        <f t="shared" si="3"/>
        <v>2019</v>
      </c>
      <c r="F30" s="277">
        <f t="shared" si="3"/>
        <v>2020</v>
      </c>
      <c r="G30" s="278">
        <f t="shared" si="3"/>
        <v>2021</v>
      </c>
    </row>
    <row r="31" spans="1:9">
      <c r="A31" s="293" t="s">
        <v>346</v>
      </c>
      <c r="B31" s="294"/>
      <c r="C31" s="294">
        <f>+Balanço!D32+SUM(Balanço!D37:D40)</f>
        <v>-88512.167173245805</v>
      </c>
      <c r="D31" s="294">
        <f>+Balanço!E32+SUM(Balanço!E37:E40)</f>
        <v>-81601.336763504049</v>
      </c>
      <c r="E31" s="294">
        <f>+Balanço!F32+SUM(Balanço!F37:F40)</f>
        <v>61395.501752547454</v>
      </c>
      <c r="F31" s="294">
        <f>+Balanço!G32+SUM(Balanço!G37:G40)</f>
        <v>248796.75070163526</v>
      </c>
      <c r="G31" s="295">
        <f>+Balanço!H32+SUM(Balanço!H37:H40)</f>
        <v>495153.09726269613</v>
      </c>
    </row>
    <row r="32" spans="1:9">
      <c r="A32" s="296" t="s">
        <v>347</v>
      </c>
      <c r="B32" s="181"/>
      <c r="C32" s="181">
        <f>+Balanço!D9+Balanço!D10-Balanço!D11</f>
        <v>4380</v>
      </c>
      <c r="D32" s="181">
        <f>+Balanço!E9+Balanço!E10-Balanço!E11</f>
        <v>2335</v>
      </c>
      <c r="E32" s="181">
        <f>+Balanço!F9+Balanço!F10-Balanço!F11</f>
        <v>290</v>
      </c>
      <c r="F32" s="181">
        <f>+Balanço!G9+Balanço!G10-Balanço!G11</f>
        <v>70</v>
      </c>
      <c r="G32" s="297">
        <f>+Balanço!H9+Balanço!H10-Balanço!H11</f>
        <v>0</v>
      </c>
    </row>
    <row r="33" spans="1:9" ht="15.75">
      <c r="A33" s="298" t="s">
        <v>348</v>
      </c>
      <c r="B33" s="183"/>
      <c r="C33" s="183">
        <f>C31-C32</f>
        <v>-92892.167173245805</v>
      </c>
      <c r="D33" s="183">
        <f>D31-D32</f>
        <v>-83936.336763504049</v>
      </c>
      <c r="E33" s="183">
        <f>E31-E32</f>
        <v>61105.501752547454</v>
      </c>
      <c r="F33" s="183">
        <f>F31-F32</f>
        <v>248726.75070163526</v>
      </c>
      <c r="G33" s="299">
        <f>G31-G32</f>
        <v>495153.09726269613</v>
      </c>
      <c r="I33" s="290" t="s">
        <v>349</v>
      </c>
    </row>
    <row r="34" spans="1:9">
      <c r="A34" s="296" t="s">
        <v>350</v>
      </c>
      <c r="B34" s="181"/>
      <c r="C34" s="181">
        <f>+Balanço!D15+Balanço!D17+Balanço!D18</f>
        <v>8337.2199999999993</v>
      </c>
      <c r="D34" s="181">
        <f>+Balanço!E15+Balanço!E17+Balanço!E18</f>
        <v>24744.86896</v>
      </c>
      <c r="E34" s="181">
        <f>+Balanço!F15+Balanço!F17+Balanço!F18</f>
        <v>48895.861064960001</v>
      </c>
      <c r="F34" s="181">
        <f>+Balanço!G15+Balanço!G17+Balanço!G18</f>
        <v>62953.421121136009</v>
      </c>
      <c r="G34" s="297">
        <f>+Balanço!H15+Balanço!H17+Balanço!H18</f>
        <v>74285.03692294049</v>
      </c>
    </row>
    <row r="35" spans="1:9">
      <c r="A35" s="296" t="s">
        <v>351</v>
      </c>
      <c r="B35" s="181"/>
      <c r="C35" s="181">
        <f>+Balanço!D43+Balanço!D45</f>
        <v>3827.9007999999994</v>
      </c>
      <c r="D35" s="181">
        <f>+Balanço!E43+Balanço!E45</f>
        <v>8914.106790400001</v>
      </c>
      <c r="E35" s="181">
        <f>+Balanço!F43+Balanço!F45</f>
        <v>16229.637363430398</v>
      </c>
      <c r="F35" s="181">
        <f>+Balanço!G43+Balanço!G45</f>
        <v>20567.855630416638</v>
      </c>
      <c r="G35" s="297">
        <f>+Balanço!H43+Balanço!H45</f>
        <v>24050.739987891633</v>
      </c>
    </row>
    <row r="36" spans="1:9">
      <c r="A36" s="298" t="s">
        <v>352</v>
      </c>
      <c r="B36" s="183"/>
      <c r="C36" s="183">
        <f>+C34-C35</f>
        <v>4509.3191999999999</v>
      </c>
      <c r="D36" s="183">
        <f>+D34-D35</f>
        <v>15830.762169599999</v>
      </c>
      <c r="E36" s="183">
        <f>+E34-E35</f>
        <v>32666.223701529605</v>
      </c>
      <c r="F36" s="183">
        <f>+F34-F35</f>
        <v>42385.565490719368</v>
      </c>
      <c r="G36" s="299">
        <f>+G34-G35</f>
        <v>50234.296935048857</v>
      </c>
    </row>
    <row r="37" spans="1:9">
      <c r="A37" s="296" t="s">
        <v>353</v>
      </c>
      <c r="B37" s="181"/>
      <c r="C37" s="181">
        <f>+Balanço!D20+Balanço!D21</f>
        <v>15000</v>
      </c>
      <c r="D37" s="181">
        <f>+Balanço!E20+Balanço!E21</f>
        <v>15000</v>
      </c>
      <c r="E37" s="181">
        <f>+Balanço!F20+Balanço!F21</f>
        <v>74877.790800548159</v>
      </c>
      <c r="F37" s="181">
        <f>+Balanço!G20+Balanço!G21</f>
        <v>303867.96455676836</v>
      </c>
      <c r="G37" s="297">
        <f>+Balanço!H20+Balanço!H21</f>
        <v>562914.63162379898</v>
      </c>
    </row>
    <row r="38" spans="1:9">
      <c r="A38" s="296" t="s">
        <v>354</v>
      </c>
      <c r="B38" s="181"/>
      <c r="C38" s="181">
        <f>+Balanço!D42+Balanço!D44</f>
        <v>112401.4863732458</v>
      </c>
      <c r="D38" s="181">
        <f>+Balanço!E42+Balanço!E44</f>
        <v>114767.09893310403</v>
      </c>
      <c r="E38" s="181">
        <f>+Balanço!F42+Balanço!F44</f>
        <v>46438.512749530288</v>
      </c>
      <c r="F38" s="181">
        <f>+Balanço!G42+Balanço!G44</f>
        <v>97526.77934585241</v>
      </c>
      <c r="G38" s="297">
        <f>+Balanço!H42+Balanço!H44</f>
        <v>117995.83129615177</v>
      </c>
    </row>
    <row r="39" spans="1:9">
      <c r="A39" s="298" t="s">
        <v>355</v>
      </c>
      <c r="B39" s="183"/>
      <c r="C39" s="183">
        <f>+C37-C38</f>
        <v>-97401.486373245803</v>
      </c>
      <c r="D39" s="183">
        <f>+D37-D38</f>
        <v>-99767.098933104033</v>
      </c>
      <c r="E39" s="183">
        <f>+E37-E38</f>
        <v>28439.278051017871</v>
      </c>
      <c r="F39" s="183">
        <f>+F37-F38</f>
        <v>206341.18521091595</v>
      </c>
      <c r="G39" s="299">
        <f>+G37-G38</f>
        <v>444918.80032764724</v>
      </c>
    </row>
    <row r="40" spans="1:9">
      <c r="A40" s="300"/>
      <c r="B40" s="197"/>
      <c r="C40" s="301"/>
      <c r="D40" s="301"/>
      <c r="E40" s="301"/>
      <c r="F40" s="301"/>
      <c r="G40" s="302"/>
    </row>
    <row r="41" spans="1:9">
      <c r="A41" s="298" t="s">
        <v>356</v>
      </c>
      <c r="B41" s="181"/>
      <c r="C41" s="183">
        <f>+C33-C36</f>
        <v>-97401.486373245803</v>
      </c>
      <c r="D41" s="183">
        <f>+D33-D36</f>
        <v>-99767.098933104047</v>
      </c>
      <c r="E41" s="183">
        <f>+E33-E36</f>
        <v>28439.278051017849</v>
      </c>
      <c r="F41" s="183">
        <f>+F33-F36</f>
        <v>206341.18521091589</v>
      </c>
      <c r="G41" s="299">
        <f>+G33-G36</f>
        <v>444918.80032764724</v>
      </c>
    </row>
    <row r="42" spans="1:9">
      <c r="A42" s="300"/>
      <c r="B42" s="197"/>
      <c r="C42" s="137"/>
      <c r="D42" s="137"/>
      <c r="E42" s="137"/>
      <c r="F42" s="137"/>
      <c r="G42" s="303"/>
    </row>
    <row r="43" spans="1:9">
      <c r="A43" s="298" t="s">
        <v>357</v>
      </c>
      <c r="B43" s="181"/>
      <c r="C43" s="181"/>
      <c r="D43" s="181">
        <f>D33-C33</f>
        <v>8955.8304097417567</v>
      </c>
      <c r="E43" s="181">
        <f>E33-D33</f>
        <v>145041.8385160515</v>
      </c>
      <c r="F43" s="181">
        <f>F33-E33</f>
        <v>187621.24894908781</v>
      </c>
      <c r="G43" s="297">
        <f>G33-F33</f>
        <v>246426.34656106087</v>
      </c>
    </row>
    <row r="44" spans="1:9">
      <c r="A44" s="298" t="s">
        <v>358</v>
      </c>
      <c r="B44" s="181"/>
      <c r="C44" s="181"/>
      <c r="D44" s="181">
        <f>D36-C36</f>
        <v>11321.442969599999</v>
      </c>
      <c r="E44" s="181">
        <f>E36-D36</f>
        <v>16835.461531929606</v>
      </c>
      <c r="F44" s="181">
        <f>F36-E36</f>
        <v>9719.3417891897625</v>
      </c>
      <c r="G44" s="297">
        <f>G36-F36</f>
        <v>7848.731444329489</v>
      </c>
    </row>
    <row r="45" spans="1:9">
      <c r="A45" s="304" t="s">
        <v>359</v>
      </c>
      <c r="B45" s="292"/>
      <c r="C45" s="292"/>
      <c r="D45" s="292">
        <f>D39-C39</f>
        <v>-2365.6125598582294</v>
      </c>
      <c r="E45" s="292">
        <f>E39-D39</f>
        <v>128206.3769841219</v>
      </c>
      <c r="F45" s="292">
        <f>F39-E39</f>
        <v>177901.90715989808</v>
      </c>
      <c r="G45" s="305">
        <f>G39-F39</f>
        <v>238577.61511673129</v>
      </c>
    </row>
    <row r="47" spans="1:9">
      <c r="A47" s="276" t="s">
        <v>360</v>
      </c>
      <c r="B47" s="277">
        <f t="shared" ref="B47:G47" si="4">+B5</f>
        <v>2016</v>
      </c>
      <c r="C47" s="277">
        <f t="shared" si="4"/>
        <v>2017</v>
      </c>
      <c r="D47" s="277">
        <f t="shared" si="4"/>
        <v>2018</v>
      </c>
      <c r="E47" s="277">
        <f t="shared" si="4"/>
        <v>2019</v>
      </c>
      <c r="F47" s="277">
        <f t="shared" si="4"/>
        <v>2020</v>
      </c>
      <c r="G47" s="278">
        <f t="shared" si="4"/>
        <v>2021</v>
      </c>
    </row>
    <row r="48" spans="1:9">
      <c r="A48" s="279" t="s">
        <v>80</v>
      </c>
      <c r="B48" s="208"/>
      <c r="C48" s="255">
        <f>+DR!D13</f>
        <v>37126.080000000009</v>
      </c>
      <c r="D48" s="255">
        <f>+DR!E13</f>
        <v>129901.96224000002</v>
      </c>
      <c r="E48" s="255">
        <f>+DR!F13</f>
        <v>267839.7282662401</v>
      </c>
      <c r="F48" s="255">
        <f>+DR!G13</f>
        <v>347484.14514278405</v>
      </c>
      <c r="G48" s="306">
        <f>+DR!H13</f>
        <v>411798.02246848517</v>
      </c>
    </row>
    <row r="49" spans="1:8">
      <c r="A49" s="279" t="s">
        <v>361</v>
      </c>
      <c r="B49" s="208"/>
      <c r="C49" s="208">
        <f>+C48/DR!D25</f>
        <v>-0.52335264797318104</v>
      </c>
      <c r="D49" s="208">
        <f>+D48/DR!E25</f>
        <v>10.973941784670719</v>
      </c>
      <c r="E49" s="208">
        <f>+E48/DR!F25</f>
        <v>1.8630712878342861</v>
      </c>
      <c r="F49" s="208">
        <f>+F48/DR!G25</f>
        <v>1.5803016594002097</v>
      </c>
      <c r="G49" s="280">
        <f>+G48/DR!H25</f>
        <v>1.4761447141210216</v>
      </c>
    </row>
    <row r="50" spans="1:8">
      <c r="A50" s="279" t="s">
        <v>362</v>
      </c>
      <c r="B50" s="208"/>
      <c r="C50" s="255">
        <f>(DR!D15+DR!D18+DR!D23+DR!D24)/(Indicadores!C48/DR!D9)</f>
        <v>209504.68219688148</v>
      </c>
      <c r="D50" s="255">
        <f>(DR!E15+DR!E18+DR!E23+DR!E24)/(Indicadores!D48/DR!E9)</f>
        <v>194158.21968110808</v>
      </c>
      <c r="E50" s="255">
        <f>(DR!F15+DR!F18+DR!F23+DR!F24)/(Indicadores!E48/DR!F9)</f>
        <v>195549.06350281375</v>
      </c>
      <c r="F50" s="255">
        <f>(DR!G15+DR!G18+DR!G23+DR!G24)/(Indicadores!F48/DR!G9)</f>
        <v>199571.99483212107</v>
      </c>
      <c r="G50" s="306">
        <f>(DR!H15+DR!H18+DR!H23+DR!H24)/(Indicadores!G48/DR!H9)</f>
        <v>206860.61953969544</v>
      </c>
      <c r="H50" s="16" t="s">
        <v>363</v>
      </c>
    </row>
    <row r="51" spans="1:8">
      <c r="A51" s="281" t="s">
        <v>364</v>
      </c>
      <c r="B51" s="282"/>
      <c r="C51" s="282">
        <f>+(DR!D9/Indicadores!C50)-1</f>
        <v>-0.65644681901495283</v>
      </c>
      <c r="D51" s="282">
        <f>+(DR!E9/Indicadores!D50)-1</f>
        <v>0.10026126295793425</v>
      </c>
      <c r="E51" s="282">
        <f>+(DR!F9/Indicadores!E50)-1</f>
        <v>1.1586528414232276</v>
      </c>
      <c r="F51" s="282">
        <f>+(DR!G9/Indicadores!F50)-1</f>
        <v>1.7232416688823249</v>
      </c>
      <c r="G51" s="283">
        <f>+(DR!H9/Indicadores!G50)-1</f>
        <v>2.1002018301222392</v>
      </c>
      <c r="H51" s="16" t="s">
        <v>365</v>
      </c>
    </row>
    <row r="53" spans="1:8">
      <c r="H53" s="16" t="s">
        <v>366</v>
      </c>
    </row>
  </sheetData>
  <sheetProtection selectLockedCells="1" selectUnlockedCells="1"/>
  <mergeCells count="1">
    <mergeCell ref="A3:G3"/>
  </mergeCells>
  <printOptions horizontalCentered="1"/>
  <pageMargins left="0.39374999999999999" right="0.39374999999999999" top="0.39374999999999999" bottom="0.39374999999999999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0"/>
  <sheetViews>
    <sheetView showGridLines="0" topLeftCell="A17" workbookViewId="0">
      <selection activeCell="H31" sqref="H31"/>
    </sheetView>
  </sheetViews>
  <sheetFormatPr defaultColWidth="8.85546875" defaultRowHeight="12.75"/>
  <cols>
    <col min="1" max="1" width="31.42578125" style="16" customWidth="1"/>
    <col min="2" max="9" width="11.42578125" style="16" customWidth="1"/>
    <col min="10" max="10" width="8.85546875" style="16"/>
    <col min="11" max="11" width="11.85546875" style="16" customWidth="1"/>
    <col min="12" max="13" width="8.85546875" style="16"/>
    <col min="14" max="14" width="14.85546875" style="16" customWidth="1"/>
    <col min="15" max="15" width="13.140625" style="16" customWidth="1"/>
    <col min="16" max="16384" width="8.85546875" style="16"/>
  </cols>
  <sheetData>
    <row r="1" spans="1:15" ht="13.5">
      <c r="A1" s="17" t="str">
        <f>+VN!A1</f>
        <v>Empresa:</v>
      </c>
      <c r="B1" s="50" t="str">
        <f>+Pressupostos!B1</f>
        <v>Herbawatter</v>
      </c>
      <c r="C1" s="275"/>
      <c r="D1" s="275"/>
      <c r="E1" s="275"/>
      <c r="F1" s="275"/>
      <c r="G1" s="275"/>
      <c r="H1" s="275"/>
      <c r="I1" s="275"/>
      <c r="J1" s="263"/>
    </row>
    <row r="3" spans="1:15">
      <c r="A3" s="365" t="s">
        <v>367</v>
      </c>
      <c r="B3" s="365"/>
      <c r="C3" s="365"/>
      <c r="D3" s="365"/>
      <c r="E3" s="365"/>
      <c r="F3" s="365"/>
      <c r="G3" s="365"/>
      <c r="H3" s="365"/>
      <c r="I3" s="365"/>
    </row>
    <row r="5" spans="1:15">
      <c r="K5" s="26"/>
      <c r="L5" s="26"/>
      <c r="M5" s="26"/>
      <c r="N5" s="26"/>
      <c r="O5" s="26"/>
    </row>
    <row r="6" spans="1:15">
      <c r="A6" s="382" t="s">
        <v>368</v>
      </c>
      <c r="B6" s="382"/>
      <c r="C6" s="57">
        <f>+VN!C5</f>
        <v>2016</v>
      </c>
      <c r="D6" s="57">
        <f>+VN!D5</f>
        <v>2017</v>
      </c>
      <c r="E6" s="57">
        <f>+VN!E5</f>
        <v>2018</v>
      </c>
      <c r="F6" s="57">
        <f>+VN!F5</f>
        <v>2019</v>
      </c>
      <c r="G6" s="57">
        <f>+VN!G5</f>
        <v>2020</v>
      </c>
      <c r="H6" s="57">
        <f>+VN!H5</f>
        <v>2021</v>
      </c>
      <c r="I6" s="57">
        <f>+H6+1</f>
        <v>2022</v>
      </c>
      <c r="K6" s="73"/>
      <c r="L6" s="73" t="s">
        <v>96</v>
      </c>
      <c r="M6" s="73" t="s">
        <v>369</v>
      </c>
      <c r="N6" s="73"/>
      <c r="O6" s="26"/>
    </row>
    <row r="7" spans="1:15">
      <c r="A7" s="197"/>
      <c r="B7" s="197"/>
      <c r="C7" s="307"/>
      <c r="D7" s="307"/>
      <c r="E7" s="307"/>
      <c r="F7" s="307"/>
      <c r="G7" s="307"/>
      <c r="H7" s="307"/>
      <c r="I7" s="307"/>
      <c r="K7" s="73" t="s">
        <v>211</v>
      </c>
      <c r="L7" s="308">
        <f>+C13</f>
        <v>-52166.702365999998</v>
      </c>
      <c r="M7" s="308">
        <f>+L7</f>
        <v>-52166.702365999998</v>
      </c>
      <c r="N7" s="309" t="b">
        <f t="shared" ref="N7:N12" si="0">IF(M7&gt;0,M7/L7*12)</f>
        <v>0</v>
      </c>
      <c r="O7" s="26"/>
    </row>
    <row r="8" spans="1:15">
      <c r="A8" s="82" t="s">
        <v>370</v>
      </c>
      <c r="B8" s="107"/>
      <c r="C8" s="310">
        <f>+'Cash Flow'!C20</f>
        <v>-52166.702365999998</v>
      </c>
      <c r="D8" s="310">
        <f>+'Cash Flow'!D20</f>
        <v>-45151.824479333329</v>
      </c>
      <c r="E8" s="310">
        <f>+'Cash Flow'!E20</f>
        <v>7257.6729141333471</v>
      </c>
      <c r="F8" s="310">
        <f>+'Cash Flow'!F20</f>
        <v>108203.01536634889</v>
      </c>
      <c r="G8" s="310">
        <f>+'Cash Flow'!G20</f>
        <v>169840.60829790853</v>
      </c>
      <c r="H8" s="310">
        <f>+'Cash Flow'!H20</f>
        <v>217403.90530209514</v>
      </c>
      <c r="I8" s="310">
        <f>(H8*(1+Pressupostos!B27))/(Avaliação!I10-Pressupostos!B27)</f>
        <v>1944098.6845310309</v>
      </c>
      <c r="K8" s="73" t="s">
        <v>219</v>
      </c>
      <c r="L8" s="308">
        <f>+D13</f>
        <v>-39957.366795870206</v>
      </c>
      <c r="M8" s="308">
        <f t="shared" ref="M8:M12" si="1">+M7+L8</f>
        <v>-92124.069161870197</v>
      </c>
      <c r="N8" s="311" t="b">
        <f t="shared" si="0"/>
        <v>0</v>
      </c>
      <c r="O8" s="26"/>
    </row>
    <row r="9" spans="1:15">
      <c r="A9" s="312"/>
      <c r="B9" s="73"/>
      <c r="C9" s="313"/>
      <c r="D9" s="313"/>
      <c r="E9" s="313"/>
      <c r="F9" s="313"/>
      <c r="G9" s="313"/>
      <c r="H9" s="313"/>
      <c r="I9" s="313"/>
      <c r="K9" s="73" t="s">
        <v>220</v>
      </c>
      <c r="L9" s="308">
        <f>+E13</f>
        <v>5674.7829943791849</v>
      </c>
      <c r="M9" s="308">
        <f t="shared" si="1"/>
        <v>-86449.286167491009</v>
      </c>
      <c r="N9" s="311" t="b">
        <f t="shared" si="0"/>
        <v>0</v>
      </c>
      <c r="O9" s="26"/>
    </row>
    <row r="10" spans="1:15">
      <c r="A10" s="155" t="s">
        <v>371</v>
      </c>
      <c r="B10" s="314"/>
      <c r="C10" s="315">
        <f>+E31</f>
        <v>0.13</v>
      </c>
      <c r="D10" s="315">
        <f>+E36</f>
        <v>0.13</v>
      </c>
      <c r="E10" s="315">
        <f>+E41</f>
        <v>0.1318</v>
      </c>
      <c r="F10" s="315">
        <f>+E46</f>
        <v>0.13307200000000002</v>
      </c>
      <c r="G10" s="315">
        <f>+E51</f>
        <v>0.13406416000000002</v>
      </c>
      <c r="H10" s="315">
        <f>+E56</f>
        <v>0.13406416000000002</v>
      </c>
      <c r="I10" s="315">
        <f>+H10</f>
        <v>0.13406416000000002</v>
      </c>
      <c r="K10" s="73" t="s">
        <v>222</v>
      </c>
      <c r="L10" s="308">
        <f>+F13</f>
        <v>74667.863187783107</v>
      </c>
      <c r="M10" s="308">
        <f t="shared" si="1"/>
        <v>-11781.422979707902</v>
      </c>
      <c r="N10" s="316" t="b">
        <f t="shared" si="0"/>
        <v>0</v>
      </c>
      <c r="O10" s="26"/>
    </row>
    <row r="11" spans="1:15">
      <c r="A11" s="317" t="s">
        <v>372</v>
      </c>
      <c r="B11" s="318"/>
      <c r="C11" s="319">
        <v>1</v>
      </c>
      <c r="D11" s="320">
        <f t="shared" ref="D11:I11" si="2">+C11*(1+D10)</f>
        <v>1.1299999999999999</v>
      </c>
      <c r="E11" s="320">
        <f t="shared" si="2"/>
        <v>1.2789339999999998</v>
      </c>
      <c r="F11" s="320">
        <f t="shared" si="2"/>
        <v>1.4491243052479998</v>
      </c>
      <c r="G11" s="320">
        <f t="shared" si="2"/>
        <v>1.6433999379666566</v>
      </c>
      <c r="H11" s="320">
        <f t="shared" si="2"/>
        <v>1.8637209701942088</v>
      </c>
      <c r="I11" s="320">
        <f t="shared" si="2"/>
        <v>2.1135791565376807</v>
      </c>
      <c r="K11" s="73" t="s">
        <v>223</v>
      </c>
      <c r="L11" s="308">
        <f>+G13</f>
        <v>103347.0942612111</v>
      </c>
      <c r="M11" s="308">
        <f t="shared" si="1"/>
        <v>91565.671281503193</v>
      </c>
      <c r="N11" s="316">
        <f t="shared" si="0"/>
        <v>10.632016925418702</v>
      </c>
      <c r="O11" s="26"/>
    </row>
    <row r="12" spans="1:15">
      <c r="B12" s="321"/>
      <c r="C12" s="321"/>
      <c r="D12" s="321"/>
      <c r="E12" s="321"/>
      <c r="F12" s="321"/>
      <c r="G12" s="321"/>
      <c r="H12" s="321"/>
      <c r="I12" s="321"/>
      <c r="K12" s="73" t="s">
        <v>224</v>
      </c>
      <c r="L12" s="308">
        <f>+H13</f>
        <v>116650.45829228428</v>
      </c>
      <c r="M12" s="308">
        <f t="shared" si="1"/>
        <v>208216.12957378748</v>
      </c>
      <c r="N12" s="316">
        <f t="shared" si="0"/>
        <v>21.419491971689204</v>
      </c>
      <c r="O12" s="26"/>
    </row>
    <row r="13" spans="1:15">
      <c r="A13" s="82" t="s">
        <v>373</v>
      </c>
      <c r="B13" s="107"/>
      <c r="C13" s="310">
        <f t="shared" ref="C13:I13" si="3">+C8/C11</f>
        <v>-52166.702365999998</v>
      </c>
      <c r="D13" s="310">
        <f t="shared" si="3"/>
        <v>-39957.366795870206</v>
      </c>
      <c r="E13" s="310">
        <f t="shared" si="3"/>
        <v>5674.7829943791849</v>
      </c>
      <c r="F13" s="310">
        <f t="shared" si="3"/>
        <v>74667.863187783107</v>
      </c>
      <c r="G13" s="310">
        <f t="shared" si="3"/>
        <v>103347.0942612111</v>
      </c>
      <c r="H13" s="310">
        <f t="shared" si="3"/>
        <v>116650.45829228428</v>
      </c>
      <c r="I13" s="310">
        <f t="shared" si="3"/>
        <v>919813.5203583854</v>
      </c>
      <c r="K13" s="26"/>
      <c r="L13" s="26"/>
      <c r="M13" s="26"/>
      <c r="N13" s="26"/>
      <c r="O13" s="26"/>
    </row>
    <row r="14" spans="1:15">
      <c r="B14" s="197"/>
      <c r="C14" s="322"/>
      <c r="G14" s="307"/>
      <c r="H14" s="307"/>
      <c r="I14" s="307"/>
      <c r="K14" s="26"/>
      <c r="L14" s="26"/>
      <c r="M14" s="26"/>
      <c r="N14" s="26"/>
      <c r="O14" s="26"/>
    </row>
    <row r="15" spans="1:15">
      <c r="A15" s="82"/>
      <c r="B15" s="107"/>
      <c r="C15" s="310">
        <f>+C13</f>
        <v>-52166.702365999998</v>
      </c>
      <c r="D15" s="310">
        <f>+SUM($C$13:D13)</f>
        <v>-92124.069161870197</v>
      </c>
      <c r="E15" s="310">
        <f>+SUM($C$13:E13)</f>
        <v>-86449.286167491009</v>
      </c>
      <c r="F15" s="310">
        <f>+SUM($C$13:F13)</f>
        <v>-11781.422979707902</v>
      </c>
      <c r="G15" s="310">
        <f>+SUM($C$13:G13)</f>
        <v>91565.671281503193</v>
      </c>
      <c r="H15" s="310">
        <f>+SUM($C$13:H13)</f>
        <v>208216.12957378748</v>
      </c>
      <c r="I15" s="310">
        <f>+SUM($C$13:I13)</f>
        <v>1128029.6499321728</v>
      </c>
      <c r="K15" s="26"/>
      <c r="L15" s="26"/>
      <c r="M15" s="26"/>
      <c r="N15" s="26"/>
      <c r="O15" s="26"/>
    </row>
    <row r="16" spans="1:15">
      <c r="B16" s="197"/>
      <c r="C16" s="322"/>
      <c r="G16" s="307"/>
      <c r="H16" s="307"/>
      <c r="I16" s="307"/>
      <c r="K16" s="26"/>
      <c r="L16" s="26"/>
      <c r="M16" s="26"/>
      <c r="N16" s="26"/>
      <c r="O16" s="26"/>
    </row>
    <row r="17" spans="1:15">
      <c r="A17" s="82" t="s">
        <v>374</v>
      </c>
      <c r="B17" s="107"/>
      <c r="C17" s="310">
        <f>+I15</f>
        <v>1128029.6499321728</v>
      </c>
      <c r="D17" s="322"/>
      <c r="E17" s="307"/>
      <c r="F17" s="323"/>
      <c r="G17" s="324"/>
      <c r="H17" s="322"/>
      <c r="I17" s="322"/>
      <c r="K17" s="26"/>
      <c r="L17" s="26"/>
      <c r="M17" s="26"/>
      <c r="N17" s="26"/>
      <c r="O17" s="26"/>
    </row>
    <row r="18" spans="1:15">
      <c r="B18" s="325"/>
      <c r="C18" s="307"/>
      <c r="D18" s="307"/>
      <c r="E18" s="307"/>
      <c r="F18" s="307"/>
      <c r="G18" s="307"/>
      <c r="H18" s="307"/>
      <c r="I18" s="307"/>
      <c r="K18" s="26"/>
      <c r="L18" s="26"/>
      <c r="M18" s="26"/>
      <c r="N18" s="26"/>
      <c r="O18" s="26"/>
    </row>
    <row r="19" spans="1:15">
      <c r="A19" s="82"/>
      <c r="B19" s="107"/>
      <c r="C19" s="208" t="e">
        <f>+IRR(C13,0.1)</f>
        <v>#NUM!</v>
      </c>
      <c r="D19" s="208" t="e">
        <f>+IRR($C$13:D13,0.1)</f>
        <v>#NUM!</v>
      </c>
      <c r="E19" s="208" t="e">
        <f>+IRR($C$13:E13,0.1)</f>
        <v>#NUM!</v>
      </c>
      <c r="F19" s="208">
        <f>+IRR($C$13:F13,0.1)</f>
        <v>-5.3457901699247579E-2</v>
      </c>
      <c r="G19" s="208">
        <f>+IRR($C$13:G13,0.1)</f>
        <v>0.25029026435240942</v>
      </c>
      <c r="H19" s="208">
        <f>+IRR($C$13:H13,0.1)</f>
        <v>0.38996293373875046</v>
      </c>
      <c r="I19" s="208">
        <f>+IRR($C$13:I13,0.1)</f>
        <v>0.70092314521139532</v>
      </c>
    </row>
    <row r="20" spans="1:15">
      <c r="B20" s="325"/>
      <c r="C20" s="307"/>
      <c r="D20" s="307"/>
      <c r="E20" s="307"/>
      <c r="F20" s="307"/>
      <c r="G20" s="307"/>
      <c r="H20" s="307"/>
      <c r="I20" s="307"/>
    </row>
    <row r="21" spans="1:15">
      <c r="A21" s="82" t="s">
        <v>375</v>
      </c>
      <c r="B21" s="107"/>
      <c r="C21" s="326">
        <f>+I19</f>
        <v>0.70092314521139532</v>
      </c>
      <c r="D21" s="327"/>
      <c r="E21" s="327"/>
      <c r="F21" s="327"/>
      <c r="G21" s="327"/>
      <c r="H21" s="307"/>
      <c r="I21" s="307"/>
    </row>
    <row r="23" spans="1:15">
      <c r="A23" s="82" t="s">
        <v>376</v>
      </c>
      <c r="B23" s="107"/>
      <c r="C23" s="310">
        <f>COUNTIF(N7:N12,"false")</f>
        <v>0</v>
      </c>
      <c r="D23" s="328" t="s">
        <v>377</v>
      </c>
    </row>
    <row r="25" spans="1:15">
      <c r="B25" s="329"/>
    </row>
    <row r="26" spans="1:15">
      <c r="A26" s="42" t="s">
        <v>371</v>
      </c>
      <c r="B26" s="330"/>
      <c r="C26" s="26"/>
    </row>
    <row r="27" spans="1:15">
      <c r="B27" s="73" t="s">
        <v>378</v>
      </c>
      <c r="C27" s="73"/>
    </row>
    <row r="28" spans="1:15">
      <c r="A28" s="331" t="s">
        <v>211</v>
      </c>
      <c r="B28" s="332" t="s">
        <v>211</v>
      </c>
      <c r="C28" s="332"/>
      <c r="D28" s="331" t="s">
        <v>379</v>
      </c>
      <c r="E28" s="16" t="s">
        <v>380</v>
      </c>
    </row>
    <row r="29" spans="1:15" ht="13.5" customHeight="1">
      <c r="A29" s="16" t="s">
        <v>381</v>
      </c>
      <c r="B29" s="333">
        <f>+SUM(Balanço!C37:C40)</f>
        <v>0</v>
      </c>
      <c r="C29" s="21">
        <f>+B29/B31</f>
        <v>0</v>
      </c>
      <c r="D29" s="334">
        <f>+Pressupostos!B22</f>
        <v>0.06</v>
      </c>
      <c r="E29" s="335">
        <f>D29*(1-Pressupostos!$B$18)*C29</f>
        <v>0</v>
      </c>
    </row>
    <row r="30" spans="1:15">
      <c r="A30" s="16" t="s">
        <v>382</v>
      </c>
      <c r="B30" s="224">
        <f>+Balanço!C32</f>
        <v>-42357.728886851066</v>
      </c>
      <c r="C30" s="21">
        <f>+B30/B31</f>
        <v>1</v>
      </c>
      <c r="D30" s="334">
        <f>C64+(Pressupostos!$B$26*Pressupostos!$B$25)</f>
        <v>0.13</v>
      </c>
      <c r="E30" s="335">
        <f>+C30*D30</f>
        <v>0.13</v>
      </c>
    </row>
    <row r="31" spans="1:15">
      <c r="B31" s="336">
        <f>SUM(B29:B30)</f>
        <v>-42357.728886851066</v>
      </c>
      <c r="C31" s="337">
        <f>SUM(C29:C30)</f>
        <v>1</v>
      </c>
      <c r="E31" s="338">
        <f>SUM(E29:E30)</f>
        <v>0.13</v>
      </c>
    </row>
    <row r="33" spans="1:5">
      <c r="A33" s="331" t="s">
        <v>219</v>
      </c>
      <c r="B33" s="332" t="s">
        <v>219</v>
      </c>
      <c r="C33" s="332"/>
      <c r="D33" s="331" t="s">
        <v>379</v>
      </c>
      <c r="E33" s="16" t="s">
        <v>380</v>
      </c>
    </row>
    <row r="34" spans="1:5">
      <c r="A34" s="16" t="s">
        <v>381</v>
      </c>
      <c r="B34" s="333">
        <f>SUM(Balanço!D37:D40)</f>
        <v>0</v>
      </c>
      <c r="C34" s="21">
        <f>+B34/B36</f>
        <v>0</v>
      </c>
      <c r="D34" s="334">
        <f>+Pressupostos!B22</f>
        <v>0.06</v>
      </c>
      <c r="E34" s="335">
        <f>D34*(1-Pressupostos!$B$18)*C34</f>
        <v>0</v>
      </c>
    </row>
    <row r="35" spans="1:5">
      <c r="A35" s="16" t="s">
        <v>382</v>
      </c>
      <c r="B35" s="224">
        <f>+Balanço!D32</f>
        <v>-88512.167173245805</v>
      </c>
      <c r="C35" s="21">
        <f>+B35/B36</f>
        <v>1</v>
      </c>
      <c r="D35" s="334">
        <f>D64+(Pressupostos!$B$26*Pressupostos!$B$25)</f>
        <v>0.13</v>
      </c>
      <c r="E35" s="335">
        <f>+C35*D35</f>
        <v>0.13</v>
      </c>
    </row>
    <row r="36" spans="1:5">
      <c r="B36" s="336">
        <f>SUM(B34:B35)</f>
        <v>-88512.167173245805</v>
      </c>
      <c r="C36" s="337">
        <f>SUM(C34:C35)</f>
        <v>1</v>
      </c>
      <c r="E36" s="338">
        <f>SUM(E34:E35)</f>
        <v>0.13</v>
      </c>
    </row>
    <row r="38" spans="1:5">
      <c r="A38" s="331" t="s">
        <v>220</v>
      </c>
      <c r="B38" s="332" t="s">
        <v>219</v>
      </c>
      <c r="C38" s="332"/>
      <c r="D38" s="331" t="s">
        <v>379</v>
      </c>
      <c r="E38" s="16" t="s">
        <v>380</v>
      </c>
    </row>
    <row r="39" spans="1:5">
      <c r="A39" s="16" t="s">
        <v>381</v>
      </c>
      <c r="B39" s="333">
        <f>+SUM(Balanço!E37:E40)</f>
        <v>0</v>
      </c>
      <c r="C39" s="21">
        <f>+B39/B41</f>
        <v>0</v>
      </c>
      <c r="D39" s="334">
        <f>+D34</f>
        <v>0.06</v>
      </c>
      <c r="E39" s="335">
        <f>D39*(1-Pressupostos!$B$18)*C39</f>
        <v>0</v>
      </c>
    </row>
    <row r="40" spans="1:5">
      <c r="A40" s="16" t="s">
        <v>382</v>
      </c>
      <c r="B40" s="224">
        <f>+Balanço!E32</f>
        <v>-81601.336763504049</v>
      </c>
      <c r="C40" s="21">
        <f>+B40/B41</f>
        <v>1</v>
      </c>
      <c r="D40" s="334">
        <f>E64+(Pressupostos!$B$26*Pressupostos!$B$25)</f>
        <v>0.1318</v>
      </c>
      <c r="E40" s="335">
        <f>+C40*D40</f>
        <v>0.1318</v>
      </c>
    </row>
    <row r="41" spans="1:5">
      <c r="B41" s="336">
        <f>SUM(B39:B40)</f>
        <v>-81601.336763504049</v>
      </c>
      <c r="C41" s="337">
        <f>SUM(C39:C40)</f>
        <v>1</v>
      </c>
      <c r="E41" s="338">
        <f>SUM(E39:E40)</f>
        <v>0.1318</v>
      </c>
    </row>
    <row r="43" spans="1:5">
      <c r="A43" s="331" t="s">
        <v>222</v>
      </c>
      <c r="B43" s="332" t="s">
        <v>219</v>
      </c>
      <c r="C43" s="332"/>
      <c r="D43" s="331" t="s">
        <v>379</v>
      </c>
      <c r="E43" s="16" t="s">
        <v>380</v>
      </c>
    </row>
    <row r="44" spans="1:5">
      <c r="A44" s="16" t="s">
        <v>381</v>
      </c>
      <c r="B44" s="333">
        <f>+SUM(Balanço!F37:F40)</f>
        <v>0</v>
      </c>
      <c r="C44" s="21">
        <f>+B44/B46</f>
        <v>0</v>
      </c>
      <c r="D44" s="334">
        <f>+D39</f>
        <v>0.06</v>
      </c>
      <c r="E44" s="335">
        <f>D44*(1-Pressupostos!$B$18)*C44</f>
        <v>0</v>
      </c>
    </row>
    <row r="45" spans="1:5">
      <c r="A45" s="16" t="s">
        <v>382</v>
      </c>
      <c r="B45" s="224">
        <f>+Balanço!F32</f>
        <v>61395.501752547454</v>
      </c>
      <c r="C45" s="21">
        <f>+B45/B46</f>
        <v>1</v>
      </c>
      <c r="D45" s="334">
        <f>F64+(Pressupostos!$B$26*Pressupostos!$B$25)</f>
        <v>0.13307200000000002</v>
      </c>
      <c r="E45" s="335">
        <f>+C45*D45</f>
        <v>0.13307200000000002</v>
      </c>
    </row>
    <row r="46" spans="1:5">
      <c r="B46" s="336">
        <f>SUM(B44:B45)</f>
        <v>61395.501752547454</v>
      </c>
      <c r="C46" s="337">
        <f>SUM(C44:C45)</f>
        <v>1</v>
      </c>
      <c r="E46" s="338">
        <f>SUM(E44:E45)</f>
        <v>0.13307200000000002</v>
      </c>
    </row>
    <row r="48" spans="1:5">
      <c r="A48" s="331" t="s">
        <v>223</v>
      </c>
      <c r="B48" s="332" t="s">
        <v>219</v>
      </c>
      <c r="C48" s="332"/>
      <c r="D48" s="331" t="s">
        <v>379</v>
      </c>
      <c r="E48" s="16" t="s">
        <v>380</v>
      </c>
    </row>
    <row r="49" spans="1:14">
      <c r="A49" s="16" t="s">
        <v>381</v>
      </c>
      <c r="B49" s="333">
        <f>+SUM(Balanço!G37:G40)</f>
        <v>0</v>
      </c>
      <c r="C49" s="21">
        <f>+B49/B51</f>
        <v>0</v>
      </c>
      <c r="D49" s="334">
        <f>+D44</f>
        <v>0.06</v>
      </c>
      <c r="E49" s="335">
        <f>D49*(1-Pressupostos!$B$18)*C49</f>
        <v>0</v>
      </c>
    </row>
    <row r="50" spans="1:14">
      <c r="A50" s="16" t="s">
        <v>382</v>
      </c>
      <c r="B50" s="224">
        <f>+Balanço!G32</f>
        <v>248796.75070163526</v>
      </c>
      <c r="C50" s="21">
        <f>+B50/B51</f>
        <v>1</v>
      </c>
      <c r="D50" s="334">
        <f>G64+(Pressupostos!$B$26*Pressupostos!$B$25)</f>
        <v>0.13406416000000002</v>
      </c>
      <c r="E50" s="335">
        <f>+C50*D50</f>
        <v>0.13406416000000002</v>
      </c>
    </row>
    <row r="51" spans="1:14">
      <c r="B51" s="336">
        <f>SUM(B49:B50)</f>
        <v>248796.75070163526</v>
      </c>
      <c r="C51" s="337">
        <f>SUM(C49:C50)</f>
        <v>1</v>
      </c>
      <c r="E51" s="338">
        <f>SUM(E49:E50)</f>
        <v>0.13406416000000002</v>
      </c>
    </row>
    <row r="53" spans="1:14">
      <c r="A53" s="331" t="s">
        <v>224</v>
      </c>
      <c r="B53" s="332" t="s">
        <v>219</v>
      </c>
      <c r="C53" s="332"/>
      <c r="D53" s="331" t="s">
        <v>379</v>
      </c>
      <c r="E53" s="16" t="s">
        <v>380</v>
      </c>
    </row>
    <row r="54" spans="1:14">
      <c r="A54" s="16" t="s">
        <v>381</v>
      </c>
      <c r="B54" s="333">
        <f>+SUM(Balanço!H37:H40)</f>
        <v>0</v>
      </c>
      <c r="C54" s="21">
        <f>+B54/B56</f>
        <v>0</v>
      </c>
      <c r="D54" s="334">
        <f>+D49</f>
        <v>0.06</v>
      </c>
      <c r="E54" s="335">
        <f>D54*(1-Pressupostos!$B$18)*C54</f>
        <v>0</v>
      </c>
    </row>
    <row r="55" spans="1:14">
      <c r="A55" s="16" t="s">
        <v>382</v>
      </c>
      <c r="B55" s="224">
        <f>+Balanço!H32</f>
        <v>495153.09726269613</v>
      </c>
      <c r="C55" s="21">
        <f>+B55/B56</f>
        <v>1</v>
      </c>
      <c r="D55" s="334">
        <f>G64+(Pressupostos!$B$26*Pressupostos!$B$25)</f>
        <v>0.13406416000000002</v>
      </c>
      <c r="E55" s="335">
        <f>+C55*D55</f>
        <v>0.13406416000000002</v>
      </c>
    </row>
    <row r="56" spans="1:14">
      <c r="B56" s="336">
        <f>SUM(B54:B55)</f>
        <v>495153.09726269613</v>
      </c>
      <c r="C56" s="337">
        <f>SUM(C54:C55)</f>
        <v>1</v>
      </c>
      <c r="E56" s="338">
        <f>SUM(E54:E55)</f>
        <v>0.13406416000000002</v>
      </c>
    </row>
    <row r="58" spans="1:14">
      <c r="A58" s="339"/>
      <c r="B58" s="332"/>
      <c r="C58" s="332"/>
      <c r="D58" s="339"/>
      <c r="E58" s="197"/>
    </row>
    <row r="60" spans="1:14">
      <c r="A60" s="382" t="s">
        <v>383</v>
      </c>
      <c r="B60" s="382"/>
      <c r="C60" s="57">
        <f t="shared" ref="C60:I60" si="4">+C6</f>
        <v>2016</v>
      </c>
      <c r="D60" s="57">
        <f t="shared" si="4"/>
        <v>2017</v>
      </c>
      <c r="E60" s="57">
        <f t="shared" si="4"/>
        <v>2018</v>
      </c>
      <c r="F60" s="57">
        <f t="shared" si="4"/>
        <v>2019</v>
      </c>
      <c r="G60" s="57">
        <f t="shared" si="4"/>
        <v>2020</v>
      </c>
      <c r="H60" s="57">
        <f t="shared" si="4"/>
        <v>2021</v>
      </c>
      <c r="I60" s="57">
        <f t="shared" si="4"/>
        <v>2022</v>
      </c>
    </row>
    <row r="61" spans="1:14">
      <c r="B61" s="197"/>
      <c r="C61" s="307"/>
      <c r="D61" s="307"/>
      <c r="E61" s="307"/>
      <c r="F61" s="307"/>
      <c r="G61" s="307"/>
      <c r="H61" s="307"/>
      <c r="I61" s="307"/>
    </row>
    <row r="62" spans="1:14">
      <c r="A62" s="82" t="s">
        <v>384</v>
      </c>
      <c r="B62" s="107"/>
      <c r="C62" s="310">
        <f>+'Cash Flow'!C20+PlanoFinanceiro!C10-PlanoFinanceiro!C22-DR!C26</f>
        <v>-55266.334452851064</v>
      </c>
      <c r="D62" s="310">
        <f>+'Cash Flow'!D20+PlanoFinanceiro!D10-PlanoFinanceiro!D22-DR!D26</f>
        <v>-50367.326765728074</v>
      </c>
      <c r="E62" s="310">
        <f>+'Cash Flow'!E20+PlanoFinanceiro!E10-PlanoFinanceiro!E22-DR!E26</f>
        <v>2331.1922838751061</v>
      </c>
      <c r="F62" s="310">
        <f>+'Cash Flow'!F20+PlanoFinanceiro!F10-PlanoFinanceiro!F22-DR!F26</f>
        <v>108203.01536634889</v>
      </c>
      <c r="G62" s="310">
        <f>+'Cash Flow'!G20+PlanoFinanceiro!G10-PlanoFinanceiro!G22-DR!G26</f>
        <v>169840.60829790853</v>
      </c>
      <c r="H62" s="310">
        <f>+'Cash Flow'!H20+PlanoFinanceiro!H10-PlanoFinanceiro!H22-DR!H26</f>
        <v>217403.90530209514</v>
      </c>
      <c r="I62" s="310">
        <f>+(H62*(1+Pressupostos!B27))/(I66-Pressupostos!B27)</f>
        <v>1887723.6407535521</v>
      </c>
      <c r="K62" s="26"/>
      <c r="L62" s="26"/>
      <c r="M62" s="26"/>
      <c r="N62" s="26"/>
    </row>
    <row r="63" spans="1:14">
      <c r="B63" s="321"/>
      <c r="C63" s="321"/>
      <c r="D63" s="321"/>
      <c r="E63" s="321"/>
      <c r="F63" s="321"/>
      <c r="G63" s="321"/>
      <c r="H63" s="321"/>
      <c r="I63" s="321"/>
      <c r="K63" s="73"/>
      <c r="L63" s="73" t="s">
        <v>96</v>
      </c>
      <c r="M63" s="73" t="s">
        <v>369</v>
      </c>
      <c r="N63" s="73"/>
    </row>
    <row r="64" spans="1:14">
      <c r="A64" s="155" t="s">
        <v>385</v>
      </c>
      <c r="B64" s="314"/>
      <c r="C64" s="315">
        <f>+Pressupostos!B24</f>
        <v>0.03</v>
      </c>
      <c r="D64" s="315">
        <f>+C64*(1+VN!D6)</f>
        <v>0.03</v>
      </c>
      <c r="E64" s="315">
        <f>+D64*(1+VN!E6)</f>
        <v>3.1800000000000002E-2</v>
      </c>
      <c r="F64" s="315">
        <f>+E64*(1+VN!F6)</f>
        <v>3.3072000000000004E-2</v>
      </c>
      <c r="G64" s="315">
        <f>+F64*(1+VN!G6)</f>
        <v>3.4064160000000003E-2</v>
      </c>
      <c r="H64" s="315">
        <f>+G64*(1+VN!H6)</f>
        <v>3.4064160000000003E-2</v>
      </c>
      <c r="I64" s="315">
        <f>+H64*(1+VN!H6)</f>
        <v>3.4064160000000003E-2</v>
      </c>
      <c r="K64" s="73" t="s">
        <v>211</v>
      </c>
      <c r="L64" s="308">
        <f>+C69</f>
        <v>-55266.334452851064</v>
      </c>
      <c r="M64" s="308">
        <f>+L64</f>
        <v>-55266.334452851064</v>
      </c>
      <c r="N64" s="309" t="b">
        <f>IF(M64&gt;0,M64/L64*12)</f>
        <v>0</v>
      </c>
    </row>
    <row r="65" spans="1:14">
      <c r="A65" s="155" t="s">
        <v>386</v>
      </c>
      <c r="B65" s="314"/>
      <c r="C65" s="315">
        <f>+Pressupostos!B25</f>
        <v>0.1</v>
      </c>
      <c r="D65" s="315">
        <f t="shared" ref="D65:I65" si="5">+C65</f>
        <v>0.1</v>
      </c>
      <c r="E65" s="315">
        <f t="shared" si="5"/>
        <v>0.1</v>
      </c>
      <c r="F65" s="315">
        <f t="shared" si="5"/>
        <v>0.1</v>
      </c>
      <c r="G65" s="315">
        <f t="shared" si="5"/>
        <v>0.1</v>
      </c>
      <c r="H65" s="315">
        <f t="shared" si="5"/>
        <v>0.1</v>
      </c>
      <c r="I65" s="315">
        <f t="shared" si="5"/>
        <v>0.1</v>
      </c>
      <c r="K65" s="73" t="s">
        <v>219</v>
      </c>
      <c r="L65" s="308">
        <f>+D69</f>
        <v>-44454.833862072432</v>
      </c>
      <c r="M65" s="308">
        <f t="shared" ref="M65:M70" si="6">+M64+L65</f>
        <v>-99721.168314923503</v>
      </c>
      <c r="N65" s="340" t="b">
        <f t="shared" ref="N64:N70" si="7">IF(M65&gt;0,M65/L65*12)</f>
        <v>0</v>
      </c>
    </row>
    <row r="66" spans="1:14">
      <c r="A66" s="155" t="s">
        <v>387</v>
      </c>
      <c r="B66" s="314"/>
      <c r="C66" s="315">
        <f t="shared" ref="C66:I66" si="8">+(1+C64)*(1+C65)-1</f>
        <v>0.13300000000000023</v>
      </c>
      <c r="D66" s="315">
        <f t="shared" si="8"/>
        <v>0.13300000000000023</v>
      </c>
      <c r="E66" s="315">
        <f t="shared" si="8"/>
        <v>0.1349800000000001</v>
      </c>
      <c r="F66" s="315">
        <f t="shared" si="8"/>
        <v>0.13637920000000014</v>
      </c>
      <c r="G66" s="315">
        <f t="shared" si="8"/>
        <v>0.13747057600000012</v>
      </c>
      <c r="H66" s="315">
        <f t="shared" si="8"/>
        <v>0.13747057600000012</v>
      </c>
      <c r="I66" s="315">
        <f t="shared" si="8"/>
        <v>0.13747057600000012</v>
      </c>
      <c r="K66" s="73" t="s">
        <v>220</v>
      </c>
      <c r="L66" s="308">
        <f>+E69</f>
        <v>1812.8421001334373</v>
      </c>
      <c r="M66" s="308">
        <f t="shared" si="6"/>
        <v>-97908.326214790068</v>
      </c>
      <c r="N66" s="340" t="b">
        <f t="shared" si="7"/>
        <v>0</v>
      </c>
    </row>
    <row r="67" spans="1:14">
      <c r="A67" s="155" t="s">
        <v>388</v>
      </c>
      <c r="B67" s="314"/>
      <c r="C67" s="319">
        <v>1</v>
      </c>
      <c r="D67" s="320">
        <f t="shared" ref="D67:I67" si="9">+C67*(1+D66)</f>
        <v>1.1330000000000002</v>
      </c>
      <c r="E67" s="320">
        <f t="shared" si="9"/>
        <v>1.2859323400000005</v>
      </c>
      <c r="F67" s="320">
        <f t="shared" si="9"/>
        <v>1.4613067637833288</v>
      </c>
      <c r="G67" s="320">
        <f t="shared" si="9"/>
        <v>1.6621934463133192</v>
      </c>
      <c r="H67" s="320">
        <f t="shared" si="9"/>
        <v>1.8906961368014366</v>
      </c>
      <c r="I67" s="320">
        <f t="shared" si="9"/>
        <v>2.1506112237685051</v>
      </c>
      <c r="K67" s="73" t="s">
        <v>222</v>
      </c>
      <c r="L67" s="308">
        <f>+F69</f>
        <v>74045.380510120187</v>
      </c>
      <c r="M67" s="308">
        <f t="shared" si="6"/>
        <v>-23862.945704669881</v>
      </c>
      <c r="N67" s="316" t="b">
        <f t="shared" si="7"/>
        <v>0</v>
      </c>
    </row>
    <row r="68" spans="1:14">
      <c r="B68" s="321"/>
      <c r="C68" s="341"/>
      <c r="D68" s="342"/>
      <c r="E68" s="342"/>
      <c r="F68" s="342"/>
      <c r="G68" s="342"/>
      <c r="H68" s="342"/>
      <c r="I68" s="342"/>
      <c r="K68" s="73" t="s">
        <v>223</v>
      </c>
      <c r="L68" s="308">
        <f>+G69</f>
        <v>102178.60542923474</v>
      </c>
      <c r="M68" s="308">
        <f t="shared" si="6"/>
        <v>78315.659724564859</v>
      </c>
      <c r="N68" s="316">
        <f t="shared" si="7"/>
        <v>9.1975018913880362</v>
      </c>
    </row>
    <row r="69" spans="1:14">
      <c r="A69" s="82" t="s">
        <v>389</v>
      </c>
      <c r="B69" s="107"/>
      <c r="C69" s="310">
        <f t="shared" ref="C69:I69" si="10">+C62/C67</f>
        <v>-55266.334452851064</v>
      </c>
      <c r="D69" s="310">
        <f t="shared" si="10"/>
        <v>-44454.833862072432</v>
      </c>
      <c r="E69" s="310">
        <f t="shared" si="10"/>
        <v>1812.8421001334373</v>
      </c>
      <c r="F69" s="310">
        <f t="shared" si="10"/>
        <v>74045.380510120187</v>
      </c>
      <c r="G69" s="310">
        <f t="shared" si="10"/>
        <v>102178.60542923474</v>
      </c>
      <c r="H69" s="310">
        <f t="shared" si="10"/>
        <v>114986.16888797673</v>
      </c>
      <c r="I69" s="310">
        <f t="shared" si="10"/>
        <v>877761.45678515686</v>
      </c>
      <c r="K69" s="73" t="s">
        <v>224</v>
      </c>
      <c r="L69" s="308">
        <f>+H69</f>
        <v>114986.16888797673</v>
      </c>
      <c r="M69" s="308">
        <f t="shared" si="6"/>
        <v>193301.82861254161</v>
      </c>
      <c r="N69" s="316">
        <f t="shared" si="7"/>
        <v>20.173051818174326</v>
      </c>
    </row>
    <row r="70" spans="1:14">
      <c r="A70" s="312"/>
      <c r="B70" s="73"/>
      <c r="C70" s="313"/>
      <c r="D70" s="313"/>
      <c r="E70" s="313"/>
      <c r="F70" s="313"/>
      <c r="G70" s="313"/>
      <c r="H70" s="313"/>
      <c r="I70" s="313"/>
      <c r="K70" s="73" t="s">
        <v>390</v>
      </c>
      <c r="L70" s="308">
        <f>+I69</f>
        <v>877761.45678515686</v>
      </c>
      <c r="M70" s="308">
        <f t="shared" si="6"/>
        <v>1071063.2853976984</v>
      </c>
      <c r="N70" s="316">
        <f t="shared" si="7"/>
        <v>14.642656413561635</v>
      </c>
    </row>
    <row r="71" spans="1:14">
      <c r="A71" s="82"/>
      <c r="B71" s="107"/>
      <c r="C71" s="310">
        <f>+C69</f>
        <v>-55266.334452851064</v>
      </c>
      <c r="D71" s="310">
        <f>+SUM($C$69:D69)</f>
        <v>-99721.168314923503</v>
      </c>
      <c r="E71" s="310">
        <f>+SUM($C$69:E69)</f>
        <v>-97908.326214790068</v>
      </c>
      <c r="F71" s="310">
        <f>+SUM($C$69:F69)</f>
        <v>-23862.945704669881</v>
      </c>
      <c r="G71" s="310">
        <f>+SUM($C$69:G69)</f>
        <v>78315.659724564859</v>
      </c>
      <c r="H71" s="310">
        <f>+SUM($C$69:H69)</f>
        <v>193301.82861254161</v>
      </c>
      <c r="I71" s="310">
        <f>+SUM($C$69:I69)</f>
        <v>1071063.2853976984</v>
      </c>
      <c r="K71" s="26"/>
      <c r="L71" s="26"/>
      <c r="M71" s="26"/>
      <c r="N71" s="26"/>
    </row>
    <row r="72" spans="1:14">
      <c r="B72" s="197"/>
      <c r="C72" s="322"/>
      <c r="G72" s="307"/>
      <c r="H72" s="307"/>
      <c r="I72" s="307"/>
      <c r="K72" s="26"/>
      <c r="L72" s="26"/>
      <c r="M72" s="26"/>
      <c r="N72" s="26"/>
    </row>
    <row r="73" spans="1:14">
      <c r="A73" s="82" t="s">
        <v>374</v>
      </c>
      <c r="B73" s="107"/>
      <c r="C73" s="310">
        <f>I71</f>
        <v>1071063.2853976984</v>
      </c>
      <c r="D73" s="322"/>
      <c r="E73" s="307"/>
      <c r="F73" s="323"/>
      <c r="G73" s="324"/>
      <c r="H73" s="322"/>
      <c r="I73" s="322"/>
      <c r="K73" s="26"/>
      <c r="L73" s="26"/>
      <c r="M73" s="26"/>
      <c r="N73" s="26"/>
    </row>
    <row r="74" spans="1:14">
      <c r="B74" s="325"/>
      <c r="C74" s="307"/>
      <c r="D74" s="307"/>
      <c r="E74" s="307"/>
      <c r="F74" s="307"/>
      <c r="G74" s="307"/>
      <c r="H74" s="307"/>
      <c r="I74" s="307"/>
      <c r="J74" s="307"/>
      <c r="K74" s="26"/>
      <c r="L74" s="26"/>
      <c r="M74" s="26"/>
      <c r="N74" s="343"/>
    </row>
    <row r="75" spans="1:14">
      <c r="A75" s="82"/>
      <c r="B75" s="107"/>
      <c r="C75" s="208" t="e">
        <f>+IRR(C69,0.1)</f>
        <v>#NUM!</v>
      </c>
      <c r="D75" s="208" t="e">
        <f>+IRR($C$69:D69,0.1)</f>
        <v>#NUM!</v>
      </c>
      <c r="E75" s="208" t="e">
        <f>+IRR($C$69:E69,0.1)</f>
        <v>#NUM!</v>
      </c>
      <c r="F75" s="208">
        <f>+IRR($C$69:F69,0.1)</f>
        <v>-0.10292840177880647</v>
      </c>
      <c r="G75" s="208">
        <f>+IRR($C$69:G69,0.1)</f>
        <v>0.20446410973903495</v>
      </c>
      <c r="H75" s="208">
        <f>+IRR($C$69:H69,0.1)</f>
        <v>0.34697704825058939</v>
      </c>
      <c r="I75" s="208">
        <f>+IRR($C$69:I69,0.1)</f>
        <v>0.65703256479702254</v>
      </c>
      <c r="J75" s="307"/>
      <c r="K75" s="26"/>
      <c r="L75" s="26"/>
      <c r="M75" s="26"/>
      <c r="N75" s="343"/>
    </row>
    <row r="76" spans="1:14">
      <c r="B76" s="325"/>
      <c r="C76" s="307"/>
      <c r="D76" s="307"/>
      <c r="E76" s="307"/>
      <c r="F76" s="307"/>
      <c r="G76" s="307"/>
      <c r="H76" s="307"/>
      <c r="I76" s="307"/>
      <c r="J76" s="307"/>
      <c r="K76" s="26"/>
      <c r="L76" s="26"/>
      <c r="M76" s="26"/>
      <c r="N76" s="343"/>
    </row>
    <row r="77" spans="1:14">
      <c r="A77" s="82" t="s">
        <v>375</v>
      </c>
      <c r="B77" s="107"/>
      <c r="C77" s="326">
        <f>+I75</f>
        <v>0.65703256479702254</v>
      </c>
      <c r="D77" s="327"/>
      <c r="E77" s="327"/>
      <c r="F77" s="327"/>
      <c r="G77" s="327"/>
      <c r="H77" s="307"/>
      <c r="I77" s="307"/>
      <c r="J77" s="307"/>
      <c r="K77" s="26"/>
      <c r="L77" s="26"/>
      <c r="M77" s="26"/>
      <c r="N77" s="343"/>
    </row>
    <row r="78" spans="1:14">
      <c r="B78" s="197"/>
      <c r="C78" s="327"/>
      <c r="D78" s="327"/>
      <c r="E78" s="327"/>
      <c r="F78" s="327"/>
      <c r="G78" s="327"/>
      <c r="H78" s="307"/>
      <c r="I78" s="307"/>
      <c r="J78" s="307"/>
      <c r="K78" s="26"/>
      <c r="L78" s="26"/>
      <c r="M78" s="26"/>
      <c r="N78" s="343"/>
    </row>
    <row r="79" spans="1:14">
      <c r="A79" s="82" t="s">
        <v>376</v>
      </c>
      <c r="B79" s="107"/>
      <c r="C79" s="310">
        <f>COUNTIF(N64:N69,"false")</f>
        <v>0</v>
      </c>
      <c r="D79" s="328" t="s">
        <v>377</v>
      </c>
      <c r="E79" s="327"/>
      <c r="F79" s="327"/>
      <c r="G79" s="327"/>
      <c r="H79" s="307"/>
      <c r="I79" s="307"/>
      <c r="J79" s="307"/>
      <c r="K79" s="26"/>
      <c r="L79" s="26"/>
      <c r="M79" s="26"/>
      <c r="N79" s="343"/>
    </row>
    <row r="80" spans="1:14">
      <c r="A80" s="344"/>
      <c r="B80" s="94"/>
      <c r="C80" s="94"/>
      <c r="D80" s="94"/>
      <c r="E80" s="94"/>
      <c r="F80" s="94"/>
      <c r="G80" s="94"/>
      <c r="H80" s="307"/>
      <c r="I80" s="307"/>
      <c r="J80" s="307"/>
      <c r="K80" s="343"/>
      <c r="L80" s="343"/>
      <c r="M80" s="343"/>
      <c r="N80" s="343"/>
    </row>
  </sheetData>
  <sheetProtection selectLockedCells="1" selectUnlockedCells="1"/>
  <mergeCells count="3">
    <mergeCell ref="A3:I3"/>
    <mergeCell ref="A6:B6"/>
    <mergeCell ref="A60:B60"/>
  </mergeCells>
  <printOptions horizontalCentered="1"/>
  <pageMargins left="0.75" right="0.75" top="0.39374999999999999" bottom="0.39374999999999999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N59" sqref="N59"/>
    </sheetView>
  </sheetViews>
  <sheetFormatPr defaultColWidth="8.85546875" defaultRowHeight="12.75"/>
  <cols>
    <col min="1" max="16384" width="8.85546875" style="345"/>
  </cols>
  <sheetData/>
  <sheetProtection selectLockedCells="1" selectUnlockedCells="1"/>
  <printOptions horizontalCentered="1"/>
  <pageMargins left="0.75" right="0.75" top="0.39374999999999999" bottom="0.39374999999999999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0"/>
  <sheetViews>
    <sheetView showGridLines="0" topLeftCell="A74" workbookViewId="0">
      <selection activeCell="L100" sqref="L100"/>
    </sheetView>
  </sheetViews>
  <sheetFormatPr defaultColWidth="8.85546875" defaultRowHeight="12.75"/>
  <cols>
    <col min="1" max="1" width="42.140625" style="16" customWidth="1"/>
    <col min="2" max="2" width="13.85546875" style="16" customWidth="1"/>
    <col min="3" max="10" width="11.42578125" style="16" customWidth="1"/>
    <col min="11" max="16384" width="8.85546875" style="16"/>
  </cols>
  <sheetData>
    <row r="1" spans="1:8">
      <c r="A1" s="261" t="s">
        <v>16</v>
      </c>
      <c r="B1" s="177" t="str">
        <f>+Pressupostos!B1</f>
        <v>Herbawatter</v>
      </c>
      <c r="C1" s="262"/>
      <c r="D1" s="262"/>
      <c r="E1" s="262"/>
      <c r="F1" s="262"/>
      <c r="G1" s="262"/>
      <c r="H1" s="262"/>
    </row>
    <row r="2" spans="1:8" s="265" customFormat="1">
      <c r="A2" s="263"/>
      <c r="B2" s="263"/>
      <c r="C2" s="263"/>
      <c r="D2" s="263"/>
      <c r="H2" s="264"/>
    </row>
    <row r="3" spans="1:8">
      <c r="A3" s="365" t="s">
        <v>391</v>
      </c>
      <c r="B3" s="365"/>
      <c r="C3" s="365"/>
      <c r="D3" s="365"/>
      <c r="E3" s="365"/>
      <c r="F3" s="365"/>
      <c r="G3" s="365"/>
      <c r="H3" s="365"/>
    </row>
    <row r="4" spans="1:8">
      <c r="B4" s="172"/>
    </row>
    <row r="5" spans="1:8">
      <c r="A5" s="346" t="s">
        <v>392</v>
      </c>
      <c r="B5" s="172"/>
    </row>
    <row r="6" spans="1:8">
      <c r="A6" s="59" t="s">
        <v>393</v>
      </c>
      <c r="B6" s="57" t="s">
        <v>394</v>
      </c>
      <c r="C6" s="57" t="s">
        <v>81</v>
      </c>
      <c r="D6" s="57" t="s">
        <v>82</v>
      </c>
      <c r="E6" s="57" t="s">
        <v>83</v>
      </c>
      <c r="F6" s="57" t="s">
        <v>84</v>
      </c>
    </row>
    <row r="7" spans="1:8">
      <c r="A7" s="347"/>
      <c r="B7" s="348"/>
      <c r="C7" s="348"/>
      <c r="D7" s="348"/>
      <c r="E7" s="348"/>
      <c r="F7" s="348"/>
    </row>
    <row r="8" spans="1:8">
      <c r="A8" s="349"/>
      <c r="B8" s="348"/>
      <c r="C8" s="348"/>
      <c r="D8" s="348"/>
      <c r="E8" s="348"/>
      <c r="F8" s="348"/>
    </row>
    <row r="9" spans="1:8">
      <c r="A9" s="350"/>
      <c r="B9" s="182"/>
      <c r="C9" s="182"/>
      <c r="D9" s="182"/>
      <c r="E9" s="182"/>
      <c r="F9" s="182"/>
    </row>
    <row r="10" spans="1:8">
      <c r="A10" s="350"/>
      <c r="B10" s="182"/>
      <c r="C10" s="182"/>
      <c r="D10" s="182"/>
      <c r="E10" s="182"/>
      <c r="F10" s="182"/>
      <c r="G10" s="224"/>
      <c r="H10" s="224"/>
    </row>
    <row r="11" spans="1:8">
      <c r="A11" s="350"/>
      <c r="B11" s="182"/>
      <c r="C11" s="182"/>
      <c r="D11" s="182"/>
      <c r="E11" s="182"/>
      <c r="F11" s="182"/>
      <c r="G11" s="224"/>
      <c r="H11" s="224"/>
    </row>
    <row r="12" spans="1:8">
      <c r="A12" s="349"/>
      <c r="B12" s="182"/>
      <c r="C12" s="182"/>
      <c r="D12" s="182"/>
      <c r="E12" s="182"/>
      <c r="F12" s="182"/>
      <c r="G12" s="224"/>
      <c r="H12" s="224"/>
    </row>
    <row r="13" spans="1:8">
      <c r="A13" s="349"/>
      <c r="B13" s="182"/>
      <c r="C13" s="182"/>
      <c r="D13" s="182"/>
      <c r="E13" s="182"/>
      <c r="F13" s="182"/>
      <c r="G13" s="224"/>
      <c r="H13" s="224"/>
    </row>
    <row r="14" spans="1:8">
      <c r="A14" s="350"/>
      <c r="B14" s="182"/>
      <c r="C14" s="182"/>
      <c r="D14" s="182"/>
      <c r="E14" s="182"/>
      <c r="F14" s="182"/>
      <c r="G14" s="224"/>
      <c r="H14" s="224"/>
    </row>
    <row r="15" spans="1:8">
      <c r="A15" s="350"/>
      <c r="B15" s="182"/>
      <c r="C15" s="182"/>
      <c r="D15" s="182"/>
      <c r="E15" s="182"/>
      <c r="F15" s="182"/>
      <c r="G15" s="224"/>
      <c r="H15" s="224"/>
    </row>
    <row r="16" spans="1:8">
      <c r="A16" s="349"/>
      <c r="B16" s="182"/>
      <c r="C16" s="182"/>
      <c r="D16" s="182"/>
      <c r="E16" s="182"/>
      <c r="F16" s="182"/>
      <c r="G16" s="224"/>
      <c r="H16" s="224"/>
    </row>
    <row r="17" spans="1:8">
      <c r="A17" s="349"/>
      <c r="B17" s="182"/>
      <c r="C17" s="182"/>
      <c r="D17" s="182"/>
      <c r="E17" s="182"/>
      <c r="F17" s="182"/>
      <c r="G17" s="224"/>
      <c r="H17" s="224"/>
    </row>
    <row r="18" spans="1:8">
      <c r="A18" s="349"/>
      <c r="B18" s="182"/>
      <c r="C18" s="182"/>
      <c r="D18" s="182"/>
      <c r="E18" s="182"/>
      <c r="F18" s="182"/>
      <c r="G18" s="224"/>
      <c r="H18" s="224"/>
    </row>
    <row r="19" spans="1:8">
      <c r="A19" s="347"/>
      <c r="B19" s="351"/>
      <c r="C19" s="351"/>
      <c r="D19" s="351"/>
      <c r="E19" s="351"/>
      <c r="F19" s="351"/>
      <c r="G19" s="224"/>
      <c r="H19" s="224"/>
    </row>
    <row r="20" spans="1:8">
      <c r="A20" s="349"/>
      <c r="B20" s="352"/>
      <c r="C20" s="353"/>
      <c r="D20" s="353"/>
      <c r="E20" s="353"/>
      <c r="F20" s="354"/>
      <c r="G20" s="224"/>
      <c r="H20" s="224"/>
    </row>
    <row r="21" spans="1:8">
      <c r="A21" s="26"/>
      <c r="B21" s="355"/>
      <c r="C21" s="355"/>
      <c r="D21" s="355"/>
      <c r="E21" s="355"/>
      <c r="F21" s="355"/>
      <c r="G21" s="224"/>
      <c r="H21" s="224"/>
    </row>
    <row r="22" spans="1:8">
      <c r="A22" s="26"/>
      <c r="B22" s="355"/>
      <c r="C22" s="355"/>
      <c r="D22" s="355"/>
      <c r="E22" s="355"/>
      <c r="F22" s="355"/>
      <c r="G22" s="224"/>
      <c r="H22" s="224"/>
    </row>
    <row r="23" spans="1:8">
      <c r="A23" s="346" t="s">
        <v>395</v>
      </c>
      <c r="B23" s="172"/>
      <c r="G23" s="224"/>
      <c r="H23" s="224" t="s">
        <v>396</v>
      </c>
    </row>
    <row r="24" spans="1:8">
      <c r="A24" s="59" t="s">
        <v>397</v>
      </c>
      <c r="B24" s="107"/>
      <c r="C24" s="57">
        <f>+VN!C5</f>
        <v>2016</v>
      </c>
      <c r="D24" s="57">
        <f>+VN!D5</f>
        <v>2017</v>
      </c>
      <c r="E24" s="57">
        <f>+VN!E5</f>
        <v>2018</v>
      </c>
      <c r="F24" s="57">
        <f>+VN!F5</f>
        <v>2019</v>
      </c>
      <c r="G24" s="57">
        <f>+VN!G5</f>
        <v>2020</v>
      </c>
      <c r="H24" s="57">
        <f>+VN!H5</f>
        <v>2021</v>
      </c>
    </row>
    <row r="25" spans="1:8">
      <c r="A25" s="82" t="s">
        <v>81</v>
      </c>
      <c r="B25" s="356"/>
      <c r="C25" s="348"/>
      <c r="D25" s="348"/>
      <c r="E25" s="348"/>
      <c r="F25" s="348"/>
      <c r="G25" s="348"/>
      <c r="H25" s="348"/>
    </row>
    <row r="26" spans="1:8">
      <c r="A26" s="82" t="s">
        <v>82</v>
      </c>
      <c r="B26" s="357"/>
      <c r="C26" s="182"/>
      <c r="D26" s="182"/>
      <c r="E26" s="182"/>
      <c r="F26" s="182"/>
      <c r="G26" s="182"/>
      <c r="H26" s="182"/>
    </row>
    <row r="27" spans="1:8">
      <c r="A27" s="82" t="s">
        <v>83</v>
      </c>
      <c r="B27" s="357"/>
      <c r="C27" s="182"/>
      <c r="D27" s="182"/>
      <c r="E27" s="182"/>
      <c r="F27" s="182"/>
      <c r="G27" s="182"/>
      <c r="H27" s="182"/>
    </row>
    <row r="28" spans="1:8">
      <c r="A28" s="82" t="s">
        <v>84</v>
      </c>
      <c r="B28" s="357"/>
      <c r="C28" s="182"/>
      <c r="D28" s="182"/>
      <c r="E28" s="182"/>
      <c r="F28" s="182"/>
      <c r="G28" s="182"/>
      <c r="H28" s="182"/>
    </row>
    <row r="29" spans="1:8">
      <c r="A29" s="63"/>
      <c r="B29" s="357"/>
      <c r="C29" s="182"/>
      <c r="D29" s="182"/>
      <c r="E29" s="182"/>
      <c r="F29" s="182"/>
      <c r="G29" s="182"/>
      <c r="H29" s="182"/>
    </row>
    <row r="30" spans="1:8">
      <c r="A30" s="63"/>
      <c r="B30" s="357"/>
      <c r="C30" s="182"/>
      <c r="D30" s="182"/>
      <c r="E30" s="182"/>
      <c r="F30" s="182"/>
      <c r="G30" s="182"/>
      <c r="H30" s="182"/>
    </row>
    <row r="31" spans="1:8">
      <c r="A31" s="65"/>
      <c r="B31" s="357"/>
      <c r="C31" s="182"/>
      <c r="D31" s="182"/>
      <c r="E31" s="182"/>
      <c r="F31" s="182"/>
      <c r="G31" s="182"/>
      <c r="H31" s="182"/>
    </row>
    <row r="32" spans="1:8">
      <c r="A32" s="369" t="s">
        <v>193</v>
      </c>
      <c r="B32" s="369"/>
      <c r="C32" s="358">
        <f t="shared" ref="C32:H32" si="0">+SUM(C25:C31)</f>
        <v>0</v>
      </c>
      <c r="D32" s="358">
        <f t="shared" si="0"/>
        <v>0</v>
      </c>
      <c r="E32" s="358">
        <f t="shared" si="0"/>
        <v>0</v>
      </c>
      <c r="F32" s="358">
        <f t="shared" si="0"/>
        <v>0</v>
      </c>
      <c r="G32" s="358">
        <f t="shared" si="0"/>
        <v>0</v>
      </c>
      <c r="H32" s="358">
        <f t="shared" si="0"/>
        <v>0</v>
      </c>
    </row>
    <row r="33" spans="1:8">
      <c r="A33" s="162"/>
      <c r="B33" s="308"/>
      <c r="C33" s="333"/>
      <c r="D33" s="333"/>
      <c r="E33" s="333"/>
      <c r="F33" s="333"/>
      <c r="G33" s="224"/>
      <c r="H33" s="224"/>
    </row>
    <row r="34" spans="1:8">
      <c r="A34" s="346" t="s">
        <v>398</v>
      </c>
      <c r="B34" s="172"/>
      <c r="G34" s="224"/>
      <c r="H34" s="224" t="s">
        <v>396</v>
      </c>
    </row>
    <row r="35" spans="1:8">
      <c r="A35" s="369" t="s">
        <v>293</v>
      </c>
      <c r="B35" s="369"/>
      <c r="C35" s="57">
        <f t="shared" ref="C35:H35" si="1">+C24</f>
        <v>2016</v>
      </c>
      <c r="D35" s="57">
        <f t="shared" si="1"/>
        <v>2017</v>
      </c>
      <c r="E35" s="57">
        <f t="shared" si="1"/>
        <v>2018</v>
      </c>
      <c r="F35" s="57">
        <f t="shared" si="1"/>
        <v>2019</v>
      </c>
      <c r="G35" s="57">
        <f t="shared" si="1"/>
        <v>2020</v>
      </c>
      <c r="H35" s="57">
        <f t="shared" si="1"/>
        <v>2021</v>
      </c>
    </row>
    <row r="36" spans="1:8">
      <c r="A36" s="347"/>
      <c r="B36" s="359"/>
      <c r="C36" s="348"/>
      <c r="D36" s="348"/>
      <c r="E36" s="348"/>
      <c r="F36" s="348"/>
      <c r="G36" s="348"/>
      <c r="H36" s="348"/>
    </row>
    <row r="37" spans="1:8">
      <c r="A37" s="360"/>
      <c r="B37" s="359"/>
      <c r="C37" s="348">
        <f t="shared" ref="C37:H37" si="2">+C8*C25</f>
        <v>0</v>
      </c>
      <c r="D37" s="348">
        <f t="shared" si="2"/>
        <v>0</v>
      </c>
      <c r="E37" s="348">
        <f t="shared" si="2"/>
        <v>0</v>
      </c>
      <c r="F37" s="348">
        <f t="shared" si="2"/>
        <v>0</v>
      </c>
      <c r="G37" s="348">
        <f t="shared" si="2"/>
        <v>0</v>
      </c>
      <c r="H37" s="348">
        <f t="shared" si="2"/>
        <v>0</v>
      </c>
    </row>
    <row r="38" spans="1:8">
      <c r="A38" s="360"/>
      <c r="B38" s="359"/>
      <c r="C38" s="348"/>
      <c r="D38" s="348"/>
      <c r="E38" s="348"/>
      <c r="F38" s="348"/>
      <c r="G38" s="348"/>
      <c r="H38" s="348"/>
    </row>
    <row r="39" spans="1:8">
      <c r="A39" s="360"/>
      <c r="B39" s="359"/>
      <c r="C39" s="348"/>
      <c r="D39" s="348"/>
      <c r="E39" s="348"/>
      <c r="F39" s="348"/>
      <c r="G39" s="348"/>
      <c r="H39" s="348"/>
    </row>
    <row r="40" spans="1:8">
      <c r="A40" s="360"/>
      <c r="B40" s="359"/>
      <c r="C40" s="348"/>
      <c r="D40" s="348"/>
      <c r="E40" s="348"/>
      <c r="F40" s="348"/>
      <c r="G40" s="348"/>
      <c r="H40" s="348"/>
    </row>
    <row r="41" spans="1:8">
      <c r="A41" s="360"/>
      <c r="B41" s="359"/>
      <c r="C41" s="348"/>
      <c r="D41" s="348"/>
      <c r="E41" s="348"/>
      <c r="F41" s="348"/>
      <c r="G41" s="348"/>
      <c r="H41" s="348"/>
    </row>
    <row r="42" spans="1:8">
      <c r="A42" s="360"/>
      <c r="B42" s="359"/>
      <c r="C42" s="348"/>
      <c r="D42" s="348"/>
      <c r="E42" s="348"/>
      <c r="F42" s="348"/>
      <c r="G42" s="348"/>
      <c r="H42" s="348"/>
    </row>
    <row r="43" spans="1:8">
      <c r="A43" s="360"/>
      <c r="B43" s="361"/>
      <c r="C43" s="348"/>
      <c r="D43" s="348"/>
      <c r="E43" s="348"/>
      <c r="F43" s="348"/>
      <c r="G43" s="348"/>
      <c r="H43" s="348"/>
    </row>
    <row r="44" spans="1:8">
      <c r="A44" s="360"/>
      <c r="B44" s="361"/>
      <c r="C44" s="348"/>
      <c r="D44" s="348"/>
      <c r="E44" s="348"/>
      <c r="F44" s="348"/>
      <c r="G44" s="348"/>
      <c r="H44" s="348"/>
    </row>
    <row r="45" spans="1:8">
      <c r="A45" s="360"/>
      <c r="B45" s="361"/>
      <c r="C45" s="348"/>
      <c r="D45" s="348"/>
      <c r="E45" s="348"/>
      <c r="F45" s="348"/>
      <c r="G45" s="348"/>
      <c r="H45" s="348"/>
    </row>
    <row r="46" spans="1:8">
      <c r="A46" s="349"/>
      <c r="B46" s="361"/>
      <c r="C46" s="348"/>
      <c r="D46" s="348"/>
      <c r="E46" s="348"/>
      <c r="F46" s="348"/>
      <c r="G46" s="348"/>
      <c r="H46" s="348"/>
    </row>
    <row r="47" spans="1:8">
      <c r="A47" s="349"/>
      <c r="B47" s="361"/>
      <c r="C47" s="348"/>
      <c r="D47" s="348"/>
      <c r="E47" s="348"/>
      <c r="F47" s="348"/>
      <c r="G47" s="348"/>
      <c r="H47" s="348"/>
    </row>
    <row r="48" spans="1:8">
      <c r="A48" s="349"/>
      <c r="B48" s="361"/>
      <c r="C48" s="348">
        <f t="shared" ref="C48:H48" si="3">+C19*C36</f>
        <v>0</v>
      </c>
      <c r="D48" s="348">
        <f t="shared" si="3"/>
        <v>0</v>
      </c>
      <c r="E48" s="348">
        <f t="shared" si="3"/>
        <v>0</v>
      </c>
      <c r="F48" s="348">
        <f t="shared" si="3"/>
        <v>0</v>
      </c>
      <c r="G48" s="348">
        <f t="shared" si="3"/>
        <v>0</v>
      </c>
      <c r="H48" s="348">
        <f t="shared" si="3"/>
        <v>0</v>
      </c>
    </row>
    <row r="49" spans="1:8">
      <c r="A49" s="350"/>
      <c r="B49" s="361"/>
      <c r="C49" s="182"/>
      <c r="D49" s="182"/>
      <c r="E49" s="182"/>
      <c r="F49" s="182"/>
      <c r="G49" s="182"/>
      <c r="H49" s="182"/>
    </row>
    <row r="50" spans="1:8">
      <c r="A50" s="26"/>
      <c r="B50" s="26"/>
      <c r="C50" s="26"/>
      <c r="D50" s="26"/>
      <c r="E50" s="26"/>
      <c r="F50" s="26"/>
    </row>
    <row r="51" spans="1:8">
      <c r="A51" s="26"/>
      <c r="B51" s="26"/>
      <c r="C51" s="26"/>
      <c r="D51" s="26"/>
      <c r="E51" s="26"/>
      <c r="F51" s="26"/>
    </row>
    <row r="52" spans="1:8">
      <c r="A52" s="346" t="s">
        <v>399</v>
      </c>
      <c r="B52" s="172"/>
      <c r="G52" s="224"/>
      <c r="H52" s="224"/>
    </row>
    <row r="53" spans="1:8">
      <c r="A53" s="369" t="s">
        <v>400</v>
      </c>
      <c r="B53" s="369"/>
      <c r="C53" s="57">
        <f t="shared" ref="C53:H53" si="4">+C35</f>
        <v>2016</v>
      </c>
      <c r="D53" s="57">
        <f t="shared" si="4"/>
        <v>2017</v>
      </c>
      <c r="E53" s="57">
        <f t="shared" si="4"/>
        <v>2018</v>
      </c>
      <c r="F53" s="57">
        <f t="shared" si="4"/>
        <v>2019</v>
      </c>
      <c r="G53" s="57">
        <f t="shared" si="4"/>
        <v>2020</v>
      </c>
      <c r="H53" s="57">
        <f t="shared" si="4"/>
        <v>2021</v>
      </c>
    </row>
    <row r="54" spans="1:8">
      <c r="A54" s="347"/>
      <c r="B54" s="359"/>
      <c r="C54" s="348"/>
      <c r="D54" s="348"/>
      <c r="E54" s="348"/>
      <c r="F54" s="348"/>
      <c r="G54" s="348"/>
      <c r="H54" s="348"/>
    </row>
    <row r="55" spans="1:8">
      <c r="A55" s="360"/>
      <c r="B55" s="359"/>
      <c r="C55" s="348"/>
      <c r="D55" s="348"/>
      <c r="E55" s="348"/>
      <c r="F55" s="348"/>
      <c r="G55" s="348"/>
      <c r="H55" s="348"/>
    </row>
    <row r="56" spans="1:8">
      <c r="A56" s="360"/>
      <c r="B56" s="359"/>
      <c r="C56" s="348"/>
      <c r="D56" s="348"/>
      <c r="E56" s="348"/>
      <c r="F56" s="348"/>
      <c r="G56" s="348"/>
      <c r="H56" s="348"/>
    </row>
    <row r="57" spans="1:8">
      <c r="A57" s="360"/>
      <c r="B57" s="359"/>
      <c r="C57" s="348"/>
      <c r="D57" s="348"/>
      <c r="E57" s="348"/>
      <c r="F57" s="348"/>
      <c r="G57" s="348"/>
      <c r="H57" s="348"/>
    </row>
    <row r="58" spans="1:8">
      <c r="A58" s="360"/>
      <c r="B58" s="359"/>
      <c r="C58" s="348"/>
      <c r="D58" s="348"/>
      <c r="E58" s="348"/>
      <c r="F58" s="348"/>
      <c r="G58" s="348"/>
      <c r="H58" s="348"/>
    </row>
    <row r="59" spans="1:8">
      <c r="A59" s="360"/>
      <c r="B59" s="359"/>
      <c r="C59" s="348"/>
      <c r="D59" s="348"/>
      <c r="E59" s="348"/>
      <c r="F59" s="348"/>
      <c r="G59" s="348"/>
      <c r="H59" s="348"/>
    </row>
    <row r="60" spans="1:8">
      <c r="A60" s="360"/>
      <c r="B60" s="359"/>
      <c r="C60" s="348"/>
      <c r="D60" s="348"/>
      <c r="E60" s="348"/>
      <c r="F60" s="348"/>
      <c r="G60" s="348"/>
      <c r="H60" s="348"/>
    </row>
    <row r="61" spans="1:8">
      <c r="A61" s="360"/>
      <c r="B61" s="361"/>
      <c r="C61" s="182"/>
      <c r="D61" s="182"/>
      <c r="E61" s="182"/>
      <c r="F61" s="182"/>
      <c r="G61" s="182"/>
      <c r="H61" s="182"/>
    </row>
    <row r="62" spans="1:8">
      <c r="A62" s="360"/>
      <c r="B62" s="361"/>
      <c r="C62" s="182"/>
      <c r="D62" s="182"/>
      <c r="E62" s="182"/>
      <c r="F62" s="182"/>
      <c r="G62" s="182"/>
      <c r="H62" s="182"/>
    </row>
    <row r="63" spans="1:8">
      <c r="A63" s="360"/>
      <c r="B63" s="361"/>
      <c r="C63" s="182"/>
      <c r="D63" s="182"/>
      <c r="E63" s="182"/>
      <c r="F63" s="182"/>
      <c r="G63" s="182"/>
      <c r="H63" s="182"/>
    </row>
    <row r="64" spans="1:8">
      <c r="A64" s="349"/>
      <c r="B64" s="361"/>
      <c r="C64" s="182"/>
      <c r="D64" s="182"/>
      <c r="E64" s="182"/>
      <c r="F64" s="182"/>
      <c r="G64" s="182"/>
      <c r="H64" s="182"/>
    </row>
    <row r="65" spans="1:8">
      <c r="A65" s="349"/>
      <c r="B65" s="361"/>
      <c r="C65" s="182"/>
      <c r="D65" s="182"/>
      <c r="E65" s="182"/>
      <c r="F65" s="182"/>
      <c r="G65" s="182"/>
      <c r="H65" s="182"/>
    </row>
    <row r="66" spans="1:8">
      <c r="A66" s="349"/>
      <c r="B66" s="361"/>
      <c r="C66" s="182"/>
      <c r="D66" s="182"/>
      <c r="E66" s="182"/>
      <c r="F66" s="182"/>
      <c r="G66" s="182"/>
      <c r="H66" s="182"/>
    </row>
    <row r="67" spans="1:8">
      <c r="A67" s="350"/>
      <c r="B67" s="361"/>
      <c r="C67" s="182"/>
      <c r="D67" s="182"/>
      <c r="E67" s="182"/>
      <c r="F67" s="182"/>
      <c r="G67" s="182"/>
      <c r="H67" s="182"/>
    </row>
    <row r="68" spans="1:8">
      <c r="A68" s="26"/>
      <c r="B68" s="26"/>
      <c r="C68" s="26"/>
      <c r="D68" s="26"/>
      <c r="E68" s="26"/>
      <c r="F68" s="26"/>
    </row>
    <row r="69" spans="1:8">
      <c r="A69" s="26"/>
      <c r="B69" s="26"/>
      <c r="C69" s="26"/>
      <c r="D69" s="26"/>
      <c r="E69" s="26"/>
      <c r="F69" s="26"/>
    </row>
    <row r="70" spans="1:8">
      <c r="A70" s="346" t="s">
        <v>401</v>
      </c>
      <c r="B70" s="172"/>
      <c r="G70" s="224"/>
      <c r="H70" s="224"/>
    </row>
    <row r="71" spans="1:8">
      <c r="A71" s="369" t="s">
        <v>400</v>
      </c>
      <c r="B71" s="369"/>
      <c r="C71" s="57">
        <f t="shared" ref="C71:H71" si="5">+C24</f>
        <v>2016</v>
      </c>
      <c r="D71" s="57">
        <f t="shared" si="5"/>
        <v>2017</v>
      </c>
      <c r="E71" s="57">
        <f t="shared" si="5"/>
        <v>2018</v>
      </c>
      <c r="F71" s="57">
        <f t="shared" si="5"/>
        <v>2019</v>
      </c>
      <c r="G71" s="57">
        <f t="shared" si="5"/>
        <v>2020</v>
      </c>
      <c r="H71" s="57">
        <f t="shared" si="5"/>
        <v>2021</v>
      </c>
    </row>
    <row r="72" spans="1:8">
      <c r="A72" s="347"/>
      <c r="B72" s="359"/>
      <c r="C72" s="348">
        <f t="shared" ref="C72:C85" si="6">+C36*C54</f>
        <v>0</v>
      </c>
      <c r="D72" s="348">
        <f t="shared" ref="D72:D85" si="7">+D36*D54</f>
        <v>0</v>
      </c>
      <c r="E72" s="348">
        <f t="shared" ref="E72:E85" si="8">+E36*E54</f>
        <v>0</v>
      </c>
      <c r="F72" s="348">
        <f t="shared" ref="F72:F85" si="9">+F36*F54</f>
        <v>0</v>
      </c>
      <c r="G72" s="348">
        <f t="shared" ref="G72:G85" si="10">+G36*G54</f>
        <v>0</v>
      </c>
      <c r="H72" s="348">
        <f t="shared" ref="H72:H85" si="11">+H36*H54</f>
        <v>0</v>
      </c>
    </row>
    <row r="73" spans="1:8">
      <c r="A73" s="360"/>
      <c r="B73" s="359"/>
      <c r="C73" s="348">
        <f t="shared" si="6"/>
        <v>0</v>
      </c>
      <c r="D73" s="348">
        <f t="shared" si="7"/>
        <v>0</v>
      </c>
      <c r="E73" s="348">
        <f t="shared" si="8"/>
        <v>0</v>
      </c>
      <c r="F73" s="348">
        <f t="shared" si="9"/>
        <v>0</v>
      </c>
      <c r="G73" s="348">
        <f t="shared" si="10"/>
        <v>0</v>
      </c>
      <c r="H73" s="348">
        <f t="shared" si="11"/>
        <v>0</v>
      </c>
    </row>
    <row r="74" spans="1:8">
      <c r="A74" s="360"/>
      <c r="B74" s="359"/>
      <c r="C74" s="348">
        <f t="shared" si="6"/>
        <v>0</v>
      </c>
      <c r="D74" s="348">
        <f t="shared" si="7"/>
        <v>0</v>
      </c>
      <c r="E74" s="348">
        <f t="shared" si="8"/>
        <v>0</v>
      </c>
      <c r="F74" s="348">
        <f t="shared" si="9"/>
        <v>0</v>
      </c>
      <c r="G74" s="348">
        <f t="shared" si="10"/>
        <v>0</v>
      </c>
      <c r="H74" s="348">
        <f t="shared" si="11"/>
        <v>0</v>
      </c>
    </row>
    <row r="75" spans="1:8">
      <c r="A75" s="360"/>
      <c r="B75" s="359"/>
      <c r="C75" s="348">
        <f t="shared" si="6"/>
        <v>0</v>
      </c>
      <c r="D75" s="348">
        <f t="shared" si="7"/>
        <v>0</v>
      </c>
      <c r="E75" s="348">
        <f t="shared" si="8"/>
        <v>0</v>
      </c>
      <c r="F75" s="348">
        <f t="shared" si="9"/>
        <v>0</v>
      </c>
      <c r="G75" s="348">
        <f t="shared" si="10"/>
        <v>0</v>
      </c>
      <c r="H75" s="348">
        <f t="shared" si="11"/>
        <v>0</v>
      </c>
    </row>
    <row r="76" spans="1:8">
      <c r="A76" s="360"/>
      <c r="B76" s="359"/>
      <c r="C76" s="348">
        <f t="shared" si="6"/>
        <v>0</v>
      </c>
      <c r="D76" s="348">
        <f t="shared" si="7"/>
        <v>0</v>
      </c>
      <c r="E76" s="348">
        <f t="shared" si="8"/>
        <v>0</v>
      </c>
      <c r="F76" s="348">
        <f t="shared" si="9"/>
        <v>0</v>
      </c>
      <c r="G76" s="348">
        <f t="shared" si="10"/>
        <v>0</v>
      </c>
      <c r="H76" s="348">
        <f t="shared" si="11"/>
        <v>0</v>
      </c>
    </row>
    <row r="77" spans="1:8">
      <c r="A77" s="360"/>
      <c r="B77" s="359"/>
      <c r="C77" s="348">
        <f t="shared" si="6"/>
        <v>0</v>
      </c>
      <c r="D77" s="348">
        <f t="shared" si="7"/>
        <v>0</v>
      </c>
      <c r="E77" s="348">
        <f t="shared" si="8"/>
        <v>0</v>
      </c>
      <c r="F77" s="348">
        <f t="shared" si="9"/>
        <v>0</v>
      </c>
      <c r="G77" s="348">
        <f t="shared" si="10"/>
        <v>0</v>
      </c>
      <c r="H77" s="348">
        <f t="shared" si="11"/>
        <v>0</v>
      </c>
    </row>
    <row r="78" spans="1:8">
      <c r="A78" s="360"/>
      <c r="B78" s="359"/>
      <c r="C78" s="348">
        <f t="shared" si="6"/>
        <v>0</v>
      </c>
      <c r="D78" s="348">
        <f t="shared" si="7"/>
        <v>0</v>
      </c>
      <c r="E78" s="348">
        <f t="shared" si="8"/>
        <v>0</v>
      </c>
      <c r="F78" s="348">
        <f t="shared" si="9"/>
        <v>0</v>
      </c>
      <c r="G78" s="348">
        <f t="shared" si="10"/>
        <v>0</v>
      </c>
      <c r="H78" s="348">
        <f t="shared" si="11"/>
        <v>0</v>
      </c>
    </row>
    <row r="79" spans="1:8">
      <c r="A79" s="360"/>
      <c r="B79" s="361"/>
      <c r="C79" s="348">
        <f t="shared" si="6"/>
        <v>0</v>
      </c>
      <c r="D79" s="348">
        <f t="shared" si="7"/>
        <v>0</v>
      </c>
      <c r="E79" s="348">
        <f t="shared" si="8"/>
        <v>0</v>
      </c>
      <c r="F79" s="348">
        <f t="shared" si="9"/>
        <v>0</v>
      </c>
      <c r="G79" s="348">
        <f t="shared" si="10"/>
        <v>0</v>
      </c>
      <c r="H79" s="348">
        <f t="shared" si="11"/>
        <v>0</v>
      </c>
    </row>
    <row r="80" spans="1:8">
      <c r="A80" s="360"/>
      <c r="B80" s="361"/>
      <c r="C80" s="348">
        <f t="shared" si="6"/>
        <v>0</v>
      </c>
      <c r="D80" s="348">
        <f t="shared" si="7"/>
        <v>0</v>
      </c>
      <c r="E80" s="348">
        <f t="shared" si="8"/>
        <v>0</v>
      </c>
      <c r="F80" s="348">
        <f t="shared" si="9"/>
        <v>0</v>
      </c>
      <c r="G80" s="348">
        <f t="shared" si="10"/>
        <v>0</v>
      </c>
      <c r="H80" s="348">
        <f t="shared" si="11"/>
        <v>0</v>
      </c>
    </row>
    <row r="81" spans="1:8">
      <c r="A81" s="360"/>
      <c r="B81" s="361"/>
      <c r="C81" s="348">
        <f t="shared" si="6"/>
        <v>0</v>
      </c>
      <c r="D81" s="348">
        <f t="shared" si="7"/>
        <v>0</v>
      </c>
      <c r="E81" s="348">
        <f t="shared" si="8"/>
        <v>0</v>
      </c>
      <c r="F81" s="348">
        <f t="shared" si="9"/>
        <v>0</v>
      </c>
      <c r="G81" s="348">
        <f t="shared" si="10"/>
        <v>0</v>
      </c>
      <c r="H81" s="348">
        <f t="shared" si="11"/>
        <v>0</v>
      </c>
    </row>
    <row r="82" spans="1:8">
      <c r="A82" s="349"/>
      <c r="B82" s="361"/>
      <c r="C82" s="348">
        <f t="shared" si="6"/>
        <v>0</v>
      </c>
      <c r="D82" s="348">
        <f t="shared" si="7"/>
        <v>0</v>
      </c>
      <c r="E82" s="348">
        <f t="shared" si="8"/>
        <v>0</v>
      </c>
      <c r="F82" s="348">
        <f t="shared" si="9"/>
        <v>0</v>
      </c>
      <c r="G82" s="348">
        <f t="shared" si="10"/>
        <v>0</v>
      </c>
      <c r="H82" s="348">
        <f t="shared" si="11"/>
        <v>0</v>
      </c>
    </row>
    <row r="83" spans="1:8">
      <c r="A83" s="349"/>
      <c r="B83" s="361"/>
      <c r="C83" s="348">
        <f t="shared" si="6"/>
        <v>0</v>
      </c>
      <c r="D83" s="348">
        <f t="shared" si="7"/>
        <v>0</v>
      </c>
      <c r="E83" s="348">
        <f t="shared" si="8"/>
        <v>0</v>
      </c>
      <c r="F83" s="348">
        <f t="shared" si="9"/>
        <v>0</v>
      </c>
      <c r="G83" s="348">
        <f t="shared" si="10"/>
        <v>0</v>
      </c>
      <c r="H83" s="348">
        <f t="shared" si="11"/>
        <v>0</v>
      </c>
    </row>
    <row r="84" spans="1:8">
      <c r="A84" s="349"/>
      <c r="B84" s="361"/>
      <c r="C84" s="348">
        <f t="shared" si="6"/>
        <v>0</v>
      </c>
      <c r="D84" s="348">
        <f t="shared" si="7"/>
        <v>0</v>
      </c>
      <c r="E84" s="348">
        <f t="shared" si="8"/>
        <v>0</v>
      </c>
      <c r="F84" s="348">
        <f t="shared" si="9"/>
        <v>0</v>
      </c>
      <c r="G84" s="348">
        <f t="shared" si="10"/>
        <v>0</v>
      </c>
      <c r="H84" s="348">
        <f t="shared" si="11"/>
        <v>0</v>
      </c>
    </row>
    <row r="85" spans="1:8">
      <c r="A85" s="350"/>
      <c r="B85" s="361"/>
      <c r="C85" s="348">
        <f t="shared" si="6"/>
        <v>0</v>
      </c>
      <c r="D85" s="348">
        <f t="shared" si="7"/>
        <v>0</v>
      </c>
      <c r="E85" s="348">
        <f t="shared" si="8"/>
        <v>0</v>
      </c>
      <c r="F85" s="348">
        <f t="shared" si="9"/>
        <v>0</v>
      </c>
      <c r="G85" s="348">
        <f t="shared" si="10"/>
        <v>0</v>
      </c>
      <c r="H85" s="348">
        <f t="shared" si="11"/>
        <v>0</v>
      </c>
    </row>
    <row r="86" spans="1:8">
      <c r="A86" s="369" t="s">
        <v>193</v>
      </c>
      <c r="B86" s="369"/>
      <c r="C86" s="358">
        <f t="shared" ref="C86:H86" si="12">+SUM(C72:C85)</f>
        <v>0</v>
      </c>
      <c r="D86" s="358">
        <f t="shared" si="12"/>
        <v>0</v>
      </c>
      <c r="E86" s="358">
        <f t="shared" si="12"/>
        <v>0</v>
      </c>
      <c r="F86" s="358">
        <f t="shared" si="12"/>
        <v>0</v>
      </c>
      <c r="G86" s="358">
        <f t="shared" si="12"/>
        <v>0</v>
      </c>
      <c r="H86" s="358">
        <f t="shared" si="12"/>
        <v>0</v>
      </c>
    </row>
    <row r="89" spans="1:8">
      <c r="A89" s="346" t="s">
        <v>402</v>
      </c>
    </row>
    <row r="90" spans="1:8">
      <c r="A90" s="346" t="s">
        <v>403</v>
      </c>
    </row>
  </sheetData>
  <sheetProtection selectLockedCells="1" selectUnlockedCells="1"/>
  <mergeCells count="6">
    <mergeCell ref="A3:H3"/>
    <mergeCell ref="A32:B32"/>
    <mergeCell ref="A35:B35"/>
    <mergeCell ref="A53:B53"/>
    <mergeCell ref="A71:B71"/>
    <mergeCell ref="A86:B86"/>
  </mergeCells>
  <printOptions horizontalCentered="1"/>
  <pageMargins left="0.75" right="0.75" top="0.39374999999999999" bottom="0.39374999999999999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3"/>
  <sheetViews>
    <sheetView showGridLines="0" workbookViewId="0">
      <selection activeCell="B2" sqref="B2"/>
    </sheetView>
  </sheetViews>
  <sheetFormatPr defaultColWidth="8.85546875" defaultRowHeight="12.75"/>
  <cols>
    <col min="1" max="1" width="34.140625" style="16" customWidth="1"/>
    <col min="2" max="3" width="15.85546875" style="16" customWidth="1"/>
    <col min="4" max="4" width="5.42578125" style="16" customWidth="1"/>
    <col min="5" max="5" width="24.85546875" style="16" customWidth="1"/>
    <col min="6" max="16384" width="8.85546875" style="16"/>
  </cols>
  <sheetData>
    <row r="1" spans="1:5" ht="13.5">
      <c r="A1" s="17" t="s">
        <v>16</v>
      </c>
      <c r="B1" s="18" t="s">
        <v>404</v>
      </c>
      <c r="C1" s="19"/>
      <c r="D1" s="19"/>
      <c r="E1" s="19"/>
    </row>
    <row r="3" spans="1:5">
      <c r="A3" s="365" t="s">
        <v>17</v>
      </c>
      <c r="B3" s="365"/>
      <c r="C3" s="365"/>
      <c r="D3" s="365"/>
      <c r="E3" s="365"/>
    </row>
    <row r="4" spans="1:5">
      <c r="E4" s="20"/>
    </row>
    <row r="5" spans="1:5">
      <c r="C5" s="21"/>
      <c r="D5" s="22"/>
      <c r="E5" s="23"/>
    </row>
    <row r="6" spans="1:5">
      <c r="A6" s="24" t="s">
        <v>18</v>
      </c>
      <c r="B6" s="25" t="s">
        <v>19</v>
      </c>
      <c r="C6" s="21"/>
      <c r="D6" s="22"/>
      <c r="E6" s="23"/>
    </row>
    <row r="7" spans="1:5">
      <c r="A7" s="26"/>
      <c r="B7" s="27"/>
      <c r="C7" s="21"/>
      <c r="D7" s="22"/>
      <c r="E7" s="23"/>
    </row>
    <row r="8" spans="1:5">
      <c r="A8" s="24" t="s">
        <v>20</v>
      </c>
      <c r="B8" s="25">
        <v>30</v>
      </c>
      <c r="C8" s="28">
        <f t="shared" ref="C8:C10" si="0">+B8/30</f>
        <v>1</v>
      </c>
      <c r="D8" s="22"/>
      <c r="E8" s="23"/>
    </row>
    <row r="9" spans="1:5">
      <c r="A9" s="24" t="s">
        <v>21</v>
      </c>
      <c r="B9" s="29">
        <v>30</v>
      </c>
      <c r="C9" s="28">
        <f t="shared" si="0"/>
        <v>1</v>
      </c>
      <c r="D9" s="22"/>
      <c r="E9" s="23"/>
    </row>
    <row r="10" spans="1:5">
      <c r="A10" s="24" t="s">
        <v>22</v>
      </c>
      <c r="B10" s="29">
        <v>15</v>
      </c>
      <c r="C10" s="28">
        <f t="shared" si="0"/>
        <v>0.5</v>
      </c>
      <c r="D10" s="22"/>
      <c r="E10" s="23"/>
    </row>
    <row r="11" spans="1:5">
      <c r="A11" s="26"/>
      <c r="B11" s="27"/>
      <c r="C11" s="21"/>
      <c r="D11" s="22"/>
      <c r="E11" s="23"/>
    </row>
    <row r="12" spans="1:5">
      <c r="A12" s="24" t="s">
        <v>23</v>
      </c>
      <c r="B12" s="30">
        <v>0.23</v>
      </c>
      <c r="C12" s="31"/>
      <c r="D12" s="22"/>
      <c r="E12" s="32"/>
    </row>
    <row r="13" spans="1:5">
      <c r="A13" s="24" t="s">
        <v>24</v>
      </c>
      <c r="B13" s="30">
        <v>0.23</v>
      </c>
      <c r="C13" s="31"/>
      <c r="D13" s="22"/>
      <c r="E13" s="32"/>
    </row>
    <row r="14" spans="1:5">
      <c r="A14" s="24" t="s">
        <v>25</v>
      </c>
      <c r="B14" s="30">
        <v>0.23</v>
      </c>
      <c r="C14" s="33"/>
      <c r="D14" s="22"/>
      <c r="E14" s="32"/>
    </row>
    <row r="15" spans="1:5">
      <c r="A15" s="24" t="s">
        <v>26</v>
      </c>
      <c r="B15" s="30">
        <v>0.23</v>
      </c>
      <c r="C15" s="34"/>
      <c r="D15" s="22"/>
      <c r="E15" s="32"/>
    </row>
    <row r="16" spans="1:5">
      <c r="A16" s="26"/>
      <c r="B16" s="27"/>
      <c r="C16" s="21"/>
      <c r="D16" s="22"/>
      <c r="E16" s="23"/>
    </row>
    <row r="17" spans="1:5">
      <c r="A17" s="24" t="s">
        <v>27</v>
      </c>
      <c r="B17" s="35">
        <v>0.15</v>
      </c>
      <c r="C17" s="21"/>
      <c r="D17" s="22"/>
      <c r="E17" s="23"/>
    </row>
    <row r="18" spans="1:5" ht="13.5" customHeight="1">
      <c r="A18" s="24" t="s">
        <v>28</v>
      </c>
      <c r="B18" s="35">
        <v>0.21</v>
      </c>
      <c r="C18" s="21"/>
      <c r="D18" s="22"/>
      <c r="E18" s="23"/>
    </row>
    <row r="19" spans="1:5" ht="13.5" customHeight="1">
      <c r="A19" s="24" t="s">
        <v>29</v>
      </c>
      <c r="B19" s="35">
        <v>0</v>
      </c>
      <c r="C19" s="21"/>
      <c r="D19" s="22"/>
      <c r="E19" s="23"/>
    </row>
    <row r="20" spans="1:5">
      <c r="A20" s="26"/>
      <c r="B20" s="27"/>
      <c r="C20" s="21"/>
      <c r="D20" s="22"/>
      <c r="E20" s="23"/>
    </row>
    <row r="21" spans="1:5">
      <c r="A21" s="24" t="s">
        <v>30</v>
      </c>
      <c r="B21" s="35">
        <v>0.06</v>
      </c>
      <c r="C21" s="21"/>
      <c r="D21" s="22"/>
      <c r="E21" s="23"/>
    </row>
    <row r="22" spans="1:5">
      <c r="A22" s="24" t="s">
        <v>31</v>
      </c>
      <c r="B22" s="35">
        <v>0.06</v>
      </c>
      <c r="D22" s="22"/>
      <c r="E22" s="23"/>
    </row>
    <row r="23" spans="1:5">
      <c r="B23" s="36"/>
      <c r="C23" s="21"/>
      <c r="D23" s="22"/>
      <c r="E23" s="23"/>
    </row>
    <row r="24" spans="1:5" ht="12.75" customHeight="1">
      <c r="A24" s="24" t="s">
        <v>32</v>
      </c>
      <c r="B24" s="37">
        <v>0.03</v>
      </c>
      <c r="C24" s="366" t="s">
        <v>33</v>
      </c>
      <c r="D24" s="366"/>
      <c r="E24" s="366"/>
    </row>
    <row r="25" spans="1:5">
      <c r="A25" s="24" t="s">
        <v>34</v>
      </c>
      <c r="B25" s="37">
        <v>0.1</v>
      </c>
      <c r="C25" s="367" t="s">
        <v>35</v>
      </c>
      <c r="D25" s="367"/>
      <c r="E25" s="367"/>
    </row>
    <row r="26" spans="1:5">
      <c r="A26" s="24" t="s">
        <v>36</v>
      </c>
      <c r="B26" s="37">
        <v>1</v>
      </c>
      <c r="C26" s="38" t="s">
        <v>37</v>
      </c>
      <c r="D26" s="39"/>
      <c r="E26" s="40"/>
    </row>
    <row r="27" spans="1:5">
      <c r="A27" s="24" t="s">
        <v>38</v>
      </c>
      <c r="B27" s="41">
        <v>0.02</v>
      </c>
      <c r="C27" s="368" t="s">
        <v>39</v>
      </c>
      <c r="D27" s="368"/>
      <c r="E27" s="368"/>
    </row>
    <row r="28" spans="1:5">
      <c r="A28" s="16" t="s">
        <v>40</v>
      </c>
      <c r="C28" s="21"/>
      <c r="D28" s="22"/>
      <c r="E28" s="23"/>
    </row>
    <row r="29" spans="1:5">
      <c r="C29" s="21"/>
      <c r="D29" s="22"/>
      <c r="E29" s="23"/>
    </row>
    <row r="30" spans="1:5">
      <c r="C30" s="21"/>
      <c r="D30" s="22"/>
      <c r="E30" s="23"/>
    </row>
    <row r="31" spans="1:5">
      <c r="C31" s="21"/>
      <c r="D31" s="22"/>
      <c r="E31" s="23"/>
    </row>
    <row r="32" spans="1:5">
      <c r="A32" s="42"/>
      <c r="C32" s="21"/>
      <c r="D32" s="22"/>
      <c r="E32" s="23"/>
    </row>
    <row r="33" spans="1:18">
      <c r="A33" s="43"/>
      <c r="C33" s="21"/>
      <c r="D33" s="22"/>
      <c r="E33" s="23"/>
    </row>
    <row r="34" spans="1:18">
      <c r="C34" s="21"/>
      <c r="D34" s="22"/>
      <c r="E34" s="23"/>
    </row>
    <row r="35" spans="1:18">
      <c r="C35" s="21"/>
      <c r="D35" s="22"/>
      <c r="E35" s="23"/>
    </row>
    <row r="36" spans="1:18">
      <c r="A36" s="26"/>
      <c r="B36" s="26"/>
      <c r="C36" s="26"/>
      <c r="D36" s="44"/>
      <c r="E36" s="44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</row>
    <row r="37" spans="1:18">
      <c r="A37" s="26"/>
      <c r="B37" s="26"/>
      <c r="C37" s="26"/>
      <c r="D37" s="44"/>
      <c r="E37" s="4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</row>
    <row r="38" spans="1:18">
      <c r="A38" s="26"/>
      <c r="B38" s="26"/>
      <c r="C38" s="26"/>
      <c r="D38" s="46"/>
      <c r="E38" s="4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</row>
    <row r="39" spans="1:18">
      <c r="A39" s="26"/>
      <c r="B39" s="26"/>
      <c r="C39" s="26"/>
      <c r="D39" s="47"/>
      <c r="E39" s="26"/>
      <c r="F39" s="48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</row>
    <row r="40" spans="1:18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</row>
    <row r="41" spans="1:18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</row>
    <row r="42" spans="1:18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</row>
    <row r="43" spans="1:18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</row>
  </sheetData>
  <sheetProtection selectLockedCells="1" selectUnlockedCells="1"/>
  <mergeCells count="4">
    <mergeCell ref="A3:E3"/>
    <mergeCell ref="C24:E24"/>
    <mergeCell ref="C25:E25"/>
    <mergeCell ref="C27:E27"/>
  </mergeCells>
  <printOptions horizontalCentered="1"/>
  <pageMargins left="0.75" right="0.75" top="0.39374999999999999" bottom="0.39374999999999999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showGridLines="0" zoomScaleNormal="100" workbookViewId="0">
      <selection activeCell="D77" sqref="D77"/>
    </sheetView>
  </sheetViews>
  <sheetFormatPr defaultColWidth="8.85546875" defaultRowHeight="13.5"/>
  <cols>
    <col min="1" max="1" width="37.5703125" style="49" customWidth="1"/>
    <col min="2" max="2" width="7.85546875" style="49" customWidth="1"/>
    <col min="3" max="14" width="11.42578125" style="49" customWidth="1"/>
    <col min="15" max="16384" width="8.85546875" style="49"/>
  </cols>
  <sheetData>
    <row r="1" spans="1:8" ht="14.25">
      <c r="A1" s="17" t="s">
        <v>16</v>
      </c>
      <c r="B1" s="50" t="str">
        <f>+Pressupostos!B1</f>
        <v>Herbawatter</v>
      </c>
      <c r="C1" s="51"/>
      <c r="D1" s="51"/>
      <c r="E1" s="51"/>
      <c r="F1" s="51"/>
      <c r="G1" s="51"/>
      <c r="H1" s="51"/>
    </row>
    <row r="2" spans="1:8" s="55" customFormat="1">
      <c r="A2" s="52" t="s">
        <v>41</v>
      </c>
      <c r="B2" s="53"/>
      <c r="C2" s="53"/>
      <c r="D2" s="53"/>
      <c r="E2" s="53"/>
      <c r="F2" s="53"/>
      <c r="G2" s="53"/>
      <c r="H2" s="54" t="str">
        <f>+Pressupostos!B6</f>
        <v>(valores em euros)</v>
      </c>
    </row>
    <row r="3" spans="1:8">
      <c r="A3" s="365" t="s">
        <v>42</v>
      </c>
      <c r="B3" s="365"/>
      <c r="C3" s="365"/>
      <c r="D3" s="365"/>
      <c r="E3" s="365"/>
      <c r="F3" s="365"/>
      <c r="G3" s="365"/>
      <c r="H3" s="365"/>
    </row>
    <row r="4" spans="1:8">
      <c r="A4" s="56"/>
      <c r="B4" s="56"/>
      <c r="C4" s="56"/>
      <c r="D4" s="56"/>
      <c r="E4" s="56"/>
      <c r="F4" s="56"/>
      <c r="G4" s="56"/>
      <c r="H4" s="56"/>
    </row>
    <row r="5" spans="1:8">
      <c r="A5" s="369"/>
      <c r="B5" s="369"/>
      <c r="C5" s="58">
        <v>2016</v>
      </c>
      <c r="D5" s="58">
        <f>C5+1</f>
        <v>2017</v>
      </c>
      <c r="E5" s="58">
        <f>D5+1</f>
        <v>2018</v>
      </c>
      <c r="F5" s="58">
        <f>E5+1</f>
        <v>2019</v>
      </c>
      <c r="G5" s="58">
        <f>F5+1</f>
        <v>2020</v>
      </c>
      <c r="H5" s="58">
        <f>G5+1</f>
        <v>2021</v>
      </c>
    </row>
    <row r="6" spans="1:8">
      <c r="A6" s="59" t="s">
        <v>43</v>
      </c>
      <c r="B6" s="60"/>
      <c r="C6" s="61"/>
      <c r="D6" s="62">
        <v>0</v>
      </c>
      <c r="E6" s="62">
        <v>0.06</v>
      </c>
      <c r="F6" s="62">
        <v>0.04</v>
      </c>
      <c r="G6" s="62">
        <v>0.03</v>
      </c>
      <c r="H6" s="62">
        <v>0</v>
      </c>
    </row>
    <row r="7" spans="1:8">
      <c r="A7" s="16"/>
      <c r="B7" s="16"/>
      <c r="C7" s="16"/>
      <c r="D7" s="16"/>
      <c r="E7" s="16"/>
      <c r="F7" s="16"/>
      <c r="G7" s="16"/>
      <c r="H7" s="16"/>
    </row>
    <row r="8" spans="1:8">
      <c r="A8" s="16"/>
      <c r="B8" s="16"/>
      <c r="C8" s="16"/>
      <c r="D8" s="16"/>
      <c r="E8" s="16"/>
      <c r="F8" s="16"/>
      <c r="G8" s="16"/>
      <c r="H8" s="16"/>
    </row>
    <row r="9" spans="1:8">
      <c r="A9" s="370" t="s">
        <v>44</v>
      </c>
      <c r="B9" s="370"/>
      <c r="C9" s="57">
        <f t="shared" ref="C9:H9" si="0">+C5</f>
        <v>2016</v>
      </c>
      <c r="D9" s="57">
        <f t="shared" si="0"/>
        <v>2017</v>
      </c>
      <c r="E9" s="57">
        <f t="shared" si="0"/>
        <v>2018</v>
      </c>
      <c r="F9" s="57">
        <f t="shared" si="0"/>
        <v>2019</v>
      </c>
      <c r="G9" s="57">
        <f t="shared" si="0"/>
        <v>2020</v>
      </c>
      <c r="H9" s="57">
        <f t="shared" si="0"/>
        <v>2021</v>
      </c>
    </row>
    <row r="10" spans="1:8">
      <c r="A10" s="63" t="s">
        <v>45</v>
      </c>
      <c r="B10" s="64"/>
      <c r="C10" s="61">
        <f t="shared" ref="C10:H10" si="1">+C13*C11</f>
        <v>29.99</v>
      </c>
      <c r="D10" s="61">
        <f t="shared" si="1"/>
        <v>71976</v>
      </c>
      <c r="E10" s="61">
        <f t="shared" si="1"/>
        <v>213624.76800000001</v>
      </c>
      <c r="F10" s="61">
        <f t="shared" si="1"/>
        <v>422122.54156800004</v>
      </c>
      <c r="G10" s="61">
        <f t="shared" si="1"/>
        <v>543482.77226880006</v>
      </c>
      <c r="H10" s="61">
        <f t="shared" si="1"/>
        <v>641309.67127718404</v>
      </c>
    </row>
    <row r="11" spans="1:8">
      <c r="A11" s="65" t="s">
        <v>46</v>
      </c>
      <c r="B11" s="64"/>
      <c r="C11" s="66">
        <v>1</v>
      </c>
      <c r="D11" s="67">
        <v>2400</v>
      </c>
      <c r="E11" s="67">
        <f>+D11*(1+E12)</f>
        <v>6720</v>
      </c>
      <c r="F11" s="67">
        <f>+E11*(1+F12)</f>
        <v>12768</v>
      </c>
      <c r="G11" s="67">
        <f>+F11*(1+G12)</f>
        <v>15960</v>
      </c>
      <c r="H11" s="67">
        <f>+G11*(1+H12)</f>
        <v>18832.8</v>
      </c>
    </row>
    <row r="12" spans="1:8">
      <c r="A12" s="65" t="s">
        <v>47</v>
      </c>
      <c r="B12" s="64"/>
      <c r="C12" s="68"/>
      <c r="D12" s="69">
        <v>0</v>
      </c>
      <c r="E12" s="69">
        <v>1.8</v>
      </c>
      <c r="F12" s="69">
        <v>0.9</v>
      </c>
      <c r="G12" s="69">
        <v>0.25</v>
      </c>
      <c r="H12" s="69">
        <v>0.18</v>
      </c>
    </row>
    <row r="13" spans="1:8">
      <c r="A13" s="65" t="s">
        <v>48</v>
      </c>
      <c r="B13" s="64"/>
      <c r="C13" s="70">
        <v>29.99</v>
      </c>
      <c r="D13" s="71">
        <f>+C13*(1+D6)</f>
        <v>29.99</v>
      </c>
      <c r="E13" s="71">
        <f>+D13*(1+E6)</f>
        <v>31.789400000000001</v>
      </c>
      <c r="F13" s="71">
        <f>+E13*(1+F6)</f>
        <v>33.060976000000004</v>
      </c>
      <c r="G13" s="71">
        <f>+F13*(1+G6)</f>
        <v>34.052805280000001</v>
      </c>
      <c r="H13" s="71">
        <f>+G13*(1+H6)</f>
        <v>34.052805280000001</v>
      </c>
    </row>
    <row r="14" spans="1:8">
      <c r="A14" s="63" t="s">
        <v>49</v>
      </c>
      <c r="B14" s="64"/>
      <c r="C14" s="61">
        <f t="shared" ref="C14:H14" si="2">+C17*C15</f>
        <v>0</v>
      </c>
      <c r="D14" s="61">
        <f t="shared" si="2"/>
        <v>0</v>
      </c>
      <c r="E14" s="61">
        <f t="shared" si="2"/>
        <v>0</v>
      </c>
      <c r="F14" s="61">
        <f t="shared" si="2"/>
        <v>0</v>
      </c>
      <c r="G14" s="61">
        <f t="shared" si="2"/>
        <v>0</v>
      </c>
      <c r="H14" s="61">
        <f t="shared" si="2"/>
        <v>0</v>
      </c>
    </row>
    <row r="15" spans="1:8">
      <c r="A15" s="65" t="s">
        <v>46</v>
      </c>
      <c r="B15" s="64"/>
      <c r="C15" s="66">
        <v>1</v>
      </c>
      <c r="D15" s="67">
        <f>D11/10</f>
        <v>240</v>
      </c>
      <c r="E15" s="67">
        <f>+D15*(1+E16)</f>
        <v>240</v>
      </c>
      <c r="F15" s="67">
        <f>+E15*(1+F16)</f>
        <v>240</v>
      </c>
      <c r="G15" s="67">
        <f>+F15*(1+G16)</f>
        <v>240</v>
      </c>
      <c r="H15" s="67">
        <f>+G15*(1+H16)</f>
        <v>240</v>
      </c>
    </row>
    <row r="16" spans="1:8">
      <c r="A16" s="65" t="s">
        <v>47</v>
      </c>
      <c r="B16" s="64"/>
      <c r="C16" s="68"/>
      <c r="D16" s="69">
        <v>0</v>
      </c>
      <c r="E16" s="69">
        <v>0</v>
      </c>
      <c r="F16" s="69">
        <v>0</v>
      </c>
      <c r="G16" s="69">
        <v>0</v>
      </c>
      <c r="H16" s="69">
        <v>0</v>
      </c>
    </row>
    <row r="17" spans="1:8">
      <c r="A17" s="65" t="s">
        <v>48</v>
      </c>
      <c r="B17" s="64"/>
      <c r="C17" s="70">
        <v>0</v>
      </c>
      <c r="D17" s="71">
        <f>+C17*(1+D6)</f>
        <v>0</v>
      </c>
      <c r="E17" s="71">
        <f>+D17*(1+E6)</f>
        <v>0</v>
      </c>
      <c r="F17" s="71">
        <f>+E17*(1+F6)</f>
        <v>0</v>
      </c>
      <c r="G17" s="71">
        <f>+F17*(1+G6)</f>
        <v>0</v>
      </c>
      <c r="H17" s="71">
        <f>+G17*(1+H6)</f>
        <v>0</v>
      </c>
    </row>
    <row r="18" spans="1:8">
      <c r="A18" s="63" t="s">
        <v>50</v>
      </c>
      <c r="B18" s="64"/>
      <c r="C18" s="61">
        <f t="shared" ref="C18:H18" si="3">+C21*C19</f>
        <v>0</v>
      </c>
      <c r="D18" s="61">
        <f t="shared" si="3"/>
        <v>0</v>
      </c>
      <c r="E18" s="61">
        <f t="shared" si="3"/>
        <v>0</v>
      </c>
      <c r="F18" s="61">
        <f t="shared" si="3"/>
        <v>0</v>
      </c>
      <c r="G18" s="61">
        <f t="shared" si="3"/>
        <v>0</v>
      </c>
      <c r="H18" s="61">
        <f t="shared" si="3"/>
        <v>0</v>
      </c>
    </row>
    <row r="19" spans="1:8">
      <c r="A19" s="65" t="s">
        <v>46</v>
      </c>
      <c r="B19" s="64"/>
      <c r="C19" s="66">
        <v>0</v>
      </c>
      <c r="D19" s="67">
        <f>+C19*(1+D20)</f>
        <v>0</v>
      </c>
      <c r="E19" s="67">
        <f>+D19*(1+E20)</f>
        <v>0</v>
      </c>
      <c r="F19" s="67">
        <f>+E19*(1+F20)</f>
        <v>0</v>
      </c>
      <c r="G19" s="67">
        <f>+F19*(1+G20)</f>
        <v>0</v>
      </c>
      <c r="H19" s="67">
        <f>+G19*(1+H20)</f>
        <v>0</v>
      </c>
    </row>
    <row r="20" spans="1:8">
      <c r="A20" s="65" t="s">
        <v>47</v>
      </c>
      <c r="B20" s="64"/>
      <c r="C20" s="68"/>
      <c r="D20" s="69">
        <v>0</v>
      </c>
      <c r="E20" s="69">
        <v>0</v>
      </c>
      <c r="F20" s="69">
        <v>0</v>
      </c>
      <c r="G20" s="69">
        <v>0</v>
      </c>
      <c r="H20" s="69">
        <v>0</v>
      </c>
    </row>
    <row r="21" spans="1:8">
      <c r="A21" s="65" t="s">
        <v>48</v>
      </c>
      <c r="B21" s="64"/>
      <c r="C21" s="70">
        <v>0</v>
      </c>
      <c r="D21" s="71">
        <f>+C21*(1+D6)</f>
        <v>0</v>
      </c>
      <c r="E21" s="71">
        <f>+D21*(1+E6)</f>
        <v>0</v>
      </c>
      <c r="F21" s="71">
        <f>+E21*(1+F6)</f>
        <v>0</v>
      </c>
      <c r="G21" s="71">
        <f>+F21*(1+G6)</f>
        <v>0</v>
      </c>
      <c r="H21" s="71">
        <f>+G21*(1+H6)</f>
        <v>0</v>
      </c>
    </row>
    <row r="22" spans="1:8">
      <c r="A22" s="63" t="s">
        <v>51</v>
      </c>
      <c r="B22" s="64"/>
      <c r="C22" s="61">
        <f t="shared" ref="C22:H22" si="4">+C25*C23</f>
        <v>0</v>
      </c>
      <c r="D22" s="61">
        <f t="shared" si="4"/>
        <v>0</v>
      </c>
      <c r="E22" s="61">
        <f t="shared" si="4"/>
        <v>0</v>
      </c>
      <c r="F22" s="61">
        <f t="shared" si="4"/>
        <v>0</v>
      </c>
      <c r="G22" s="61">
        <f t="shared" si="4"/>
        <v>0</v>
      </c>
      <c r="H22" s="61">
        <f t="shared" si="4"/>
        <v>0</v>
      </c>
    </row>
    <row r="23" spans="1:8">
      <c r="A23" s="65" t="s">
        <v>46</v>
      </c>
      <c r="B23" s="64"/>
      <c r="C23" s="66">
        <v>0</v>
      </c>
      <c r="D23" s="67">
        <f>+C23*(1+D24)</f>
        <v>0</v>
      </c>
      <c r="E23" s="67">
        <f>+D23*(1+E24)</f>
        <v>0</v>
      </c>
      <c r="F23" s="67">
        <f>+E23*(1+F24)</f>
        <v>0</v>
      </c>
      <c r="G23" s="67">
        <f>+F23*(1+G24)</f>
        <v>0</v>
      </c>
      <c r="H23" s="67">
        <f>+G23*(1+H24)</f>
        <v>0</v>
      </c>
    </row>
    <row r="24" spans="1:8">
      <c r="A24" s="65" t="s">
        <v>47</v>
      </c>
      <c r="B24" s="64"/>
      <c r="C24" s="68"/>
      <c r="D24" s="69">
        <v>0</v>
      </c>
      <c r="E24" s="69">
        <v>0</v>
      </c>
      <c r="F24" s="69">
        <v>0</v>
      </c>
      <c r="G24" s="69">
        <v>0</v>
      </c>
      <c r="H24" s="69">
        <v>0</v>
      </c>
    </row>
    <row r="25" spans="1:8">
      <c r="A25" s="65" t="s">
        <v>48</v>
      </c>
      <c r="B25" s="64"/>
      <c r="C25" s="70">
        <v>0</v>
      </c>
      <c r="D25" s="71">
        <f>+C25*(1+D6)</f>
        <v>0</v>
      </c>
      <c r="E25" s="71">
        <f>+D25*(1+E6)</f>
        <v>0</v>
      </c>
      <c r="F25" s="71">
        <f>+E25*(1+F6)</f>
        <v>0</v>
      </c>
      <c r="G25" s="71">
        <f>+F25*(1+G6)</f>
        <v>0</v>
      </c>
      <c r="H25" s="71">
        <f>+G25*(1+H6)</f>
        <v>0</v>
      </c>
    </row>
    <row r="26" spans="1:8">
      <c r="A26" s="371" t="s">
        <v>52</v>
      </c>
      <c r="B26" s="371"/>
      <c r="C26" s="72">
        <f t="shared" ref="C26:H26" si="5">+C10+C14+C18+C22</f>
        <v>29.99</v>
      </c>
      <c r="D26" s="72">
        <f t="shared" si="5"/>
        <v>71976</v>
      </c>
      <c r="E26" s="72">
        <f t="shared" si="5"/>
        <v>213624.76800000001</v>
      </c>
      <c r="F26" s="72">
        <f t="shared" si="5"/>
        <v>422122.54156800004</v>
      </c>
      <c r="G26" s="72">
        <f t="shared" si="5"/>
        <v>543482.77226880006</v>
      </c>
      <c r="H26" s="72">
        <f t="shared" si="5"/>
        <v>641309.67127718404</v>
      </c>
    </row>
    <row r="27" spans="1:8" s="75" customFormat="1">
      <c r="A27" s="73"/>
      <c r="B27" s="73"/>
      <c r="C27" s="74"/>
      <c r="D27" s="74"/>
      <c r="E27" s="74"/>
      <c r="F27" s="74"/>
      <c r="G27" s="74"/>
      <c r="H27" s="74"/>
    </row>
    <row r="28" spans="1:8" s="75" customFormat="1">
      <c r="A28" s="73"/>
      <c r="B28" s="73"/>
      <c r="C28" s="74"/>
      <c r="D28" s="74"/>
      <c r="E28" s="74"/>
      <c r="F28" s="74"/>
      <c r="G28" s="74"/>
      <c r="H28" s="74"/>
    </row>
    <row r="29" spans="1:8" s="75" customFormat="1">
      <c r="A29" s="370" t="s">
        <v>53</v>
      </c>
      <c r="B29" s="370"/>
      <c r="C29" s="57">
        <f t="shared" ref="C29:H29" si="6">+C5</f>
        <v>2016</v>
      </c>
      <c r="D29" s="57">
        <f t="shared" si="6"/>
        <v>2017</v>
      </c>
      <c r="E29" s="57">
        <f t="shared" si="6"/>
        <v>2018</v>
      </c>
      <c r="F29" s="57">
        <f t="shared" si="6"/>
        <v>2019</v>
      </c>
      <c r="G29" s="57">
        <f t="shared" si="6"/>
        <v>2020</v>
      </c>
      <c r="H29" s="57">
        <f t="shared" si="6"/>
        <v>2021</v>
      </c>
    </row>
    <row r="30" spans="1:8" s="75" customFormat="1">
      <c r="A30" s="63" t="s">
        <v>45</v>
      </c>
      <c r="B30" s="64"/>
      <c r="C30" s="61">
        <f t="shared" ref="C30:H30" si="7">+C33*C31</f>
        <v>0</v>
      </c>
      <c r="D30" s="61">
        <f t="shared" si="7"/>
        <v>0</v>
      </c>
      <c r="E30" s="61">
        <f t="shared" si="7"/>
        <v>0</v>
      </c>
      <c r="F30" s="61">
        <f t="shared" si="7"/>
        <v>0</v>
      </c>
      <c r="G30" s="61">
        <f t="shared" si="7"/>
        <v>0</v>
      </c>
      <c r="H30" s="61">
        <f t="shared" si="7"/>
        <v>0</v>
      </c>
    </row>
    <row r="31" spans="1:8" s="75" customFormat="1">
      <c r="A31" s="65" t="s">
        <v>46</v>
      </c>
      <c r="B31" s="64"/>
      <c r="C31" s="66">
        <v>0</v>
      </c>
      <c r="D31" s="67">
        <f>+C31*(1+D32)</f>
        <v>0</v>
      </c>
      <c r="E31" s="67">
        <f>+D31*(1+E32)</f>
        <v>0</v>
      </c>
      <c r="F31" s="67">
        <f>+E31*(1+F32)</f>
        <v>0</v>
      </c>
      <c r="G31" s="67">
        <f>+F31*(1+G32)</f>
        <v>0</v>
      </c>
      <c r="H31" s="67">
        <f>+G31*(1+H32)</f>
        <v>0</v>
      </c>
    </row>
    <row r="32" spans="1:8" s="75" customFormat="1">
      <c r="A32" s="65" t="s">
        <v>47</v>
      </c>
      <c r="B32" s="64"/>
      <c r="C32" s="68"/>
      <c r="D32" s="69">
        <v>0</v>
      </c>
      <c r="E32" s="69">
        <v>0</v>
      </c>
      <c r="F32" s="69">
        <v>0</v>
      </c>
      <c r="G32" s="69">
        <v>0</v>
      </c>
      <c r="H32" s="69">
        <v>0</v>
      </c>
    </row>
    <row r="33" spans="1:10" s="75" customFormat="1">
      <c r="A33" s="65" t="s">
        <v>48</v>
      </c>
      <c r="B33" s="64"/>
      <c r="C33" s="70">
        <v>0</v>
      </c>
      <c r="D33" s="71">
        <f>+C33*(1+D6)</f>
        <v>0</v>
      </c>
      <c r="E33" s="71">
        <f>+D33*(1+E6)</f>
        <v>0</v>
      </c>
      <c r="F33" s="71">
        <f>+E33*(1+F6)</f>
        <v>0</v>
      </c>
      <c r="G33" s="71">
        <f>+F33*(1+G6)</f>
        <v>0</v>
      </c>
      <c r="H33" s="71">
        <f>+G33*(1+H6)</f>
        <v>0</v>
      </c>
    </row>
    <row r="34" spans="1:10" s="75" customFormat="1">
      <c r="A34" s="63" t="s">
        <v>49</v>
      </c>
      <c r="B34" s="64"/>
      <c r="C34" s="61">
        <f t="shared" ref="C34:H34" si="8">+C37*C35</f>
        <v>0</v>
      </c>
      <c r="D34" s="61">
        <f t="shared" si="8"/>
        <v>0</v>
      </c>
      <c r="E34" s="61">
        <f t="shared" si="8"/>
        <v>0</v>
      </c>
      <c r="F34" s="61">
        <f t="shared" si="8"/>
        <v>0</v>
      </c>
      <c r="G34" s="61">
        <f t="shared" si="8"/>
        <v>0</v>
      </c>
      <c r="H34" s="61">
        <f t="shared" si="8"/>
        <v>0</v>
      </c>
    </row>
    <row r="35" spans="1:10" s="75" customFormat="1">
      <c r="A35" s="65" t="s">
        <v>46</v>
      </c>
      <c r="B35" s="64"/>
      <c r="C35" s="66">
        <v>0</v>
      </c>
      <c r="D35" s="67">
        <f>+C35*(1+D36)</f>
        <v>0</v>
      </c>
      <c r="E35" s="67">
        <f>+D35*(1+E36)</f>
        <v>0</v>
      </c>
      <c r="F35" s="67">
        <f>+E35*(1+F36)</f>
        <v>0</v>
      </c>
      <c r="G35" s="67">
        <f>+F35*(1+G36)</f>
        <v>0</v>
      </c>
      <c r="H35" s="67">
        <f>+G35*(1+H36)</f>
        <v>0</v>
      </c>
    </row>
    <row r="36" spans="1:10" s="75" customFormat="1">
      <c r="A36" s="65" t="s">
        <v>47</v>
      </c>
      <c r="B36" s="64"/>
      <c r="C36" s="68"/>
      <c r="D36" s="69">
        <v>0</v>
      </c>
      <c r="E36" s="69">
        <v>0</v>
      </c>
      <c r="F36" s="69">
        <v>0</v>
      </c>
      <c r="G36" s="69">
        <v>0</v>
      </c>
      <c r="H36" s="69">
        <v>0</v>
      </c>
    </row>
    <row r="37" spans="1:10" s="75" customFormat="1">
      <c r="A37" s="65" t="s">
        <v>48</v>
      </c>
      <c r="B37" s="64"/>
      <c r="C37" s="70">
        <v>0</v>
      </c>
      <c r="D37" s="71">
        <f>+C37*(1+D6)</f>
        <v>0</v>
      </c>
      <c r="E37" s="71">
        <f>+D37*(1+E6)</f>
        <v>0</v>
      </c>
      <c r="F37" s="71">
        <f>+E37*(1+F6)</f>
        <v>0</v>
      </c>
      <c r="G37" s="71">
        <f>+F37*(1+G6)</f>
        <v>0</v>
      </c>
      <c r="H37" s="71">
        <f>+G37*(1+H6)</f>
        <v>0</v>
      </c>
    </row>
    <row r="38" spans="1:10" s="75" customFormat="1">
      <c r="A38" s="371" t="s">
        <v>52</v>
      </c>
      <c r="B38" s="371"/>
      <c r="C38" s="72">
        <f t="shared" ref="C38:H38" si="9">+C30+C34</f>
        <v>0</v>
      </c>
      <c r="D38" s="72">
        <f t="shared" si="9"/>
        <v>0</v>
      </c>
      <c r="E38" s="72">
        <f t="shared" si="9"/>
        <v>0</v>
      </c>
      <c r="F38" s="72">
        <f t="shared" si="9"/>
        <v>0</v>
      </c>
      <c r="G38" s="72">
        <f t="shared" si="9"/>
        <v>0</v>
      </c>
      <c r="H38" s="72">
        <f t="shared" si="9"/>
        <v>0</v>
      </c>
    </row>
    <row r="39" spans="1:10" s="55" customFormat="1">
      <c r="A39" s="76" t="s">
        <v>54</v>
      </c>
      <c r="B39" s="77"/>
      <c r="C39" s="78"/>
      <c r="D39" s="78"/>
      <c r="E39" s="78"/>
      <c r="F39" s="78"/>
      <c r="G39" s="78"/>
      <c r="H39" s="78"/>
    </row>
    <row r="40" spans="1:10">
      <c r="A40" s="79" t="s">
        <v>55</v>
      </c>
      <c r="B40" s="80"/>
      <c r="C40" s="81"/>
      <c r="D40" s="81"/>
      <c r="E40" s="81"/>
      <c r="F40" s="81"/>
      <c r="G40" s="81"/>
      <c r="H40" s="81"/>
      <c r="I40" s="16"/>
      <c r="J40" s="16"/>
    </row>
    <row r="41" spans="1:10">
      <c r="A41" s="16"/>
      <c r="B41" s="80"/>
      <c r="C41" s="81"/>
      <c r="D41" s="81"/>
      <c r="E41" s="81"/>
      <c r="F41" s="81"/>
      <c r="G41" s="81"/>
      <c r="H41" s="81"/>
      <c r="I41" s="16"/>
      <c r="J41" s="16"/>
    </row>
    <row r="42" spans="1:10">
      <c r="A42" s="370" t="s">
        <v>56</v>
      </c>
      <c r="B42" s="370"/>
      <c r="C42" s="57">
        <f t="shared" ref="C42:H42" si="10">+C5</f>
        <v>2016</v>
      </c>
      <c r="D42" s="57">
        <f t="shared" si="10"/>
        <v>2017</v>
      </c>
      <c r="E42" s="57">
        <f t="shared" si="10"/>
        <v>2018</v>
      </c>
      <c r="F42" s="57">
        <f t="shared" si="10"/>
        <v>2019</v>
      </c>
      <c r="G42" s="57">
        <f t="shared" si="10"/>
        <v>2020</v>
      </c>
      <c r="H42" s="57">
        <f t="shared" si="10"/>
        <v>2021</v>
      </c>
      <c r="I42" s="16"/>
      <c r="J42" s="16"/>
    </row>
    <row r="43" spans="1:10">
      <c r="A43" s="82" t="s">
        <v>57</v>
      </c>
      <c r="B43" s="64"/>
      <c r="C43" s="66">
        <v>0</v>
      </c>
      <c r="D43" s="67">
        <f>+C43*(1+D44)</f>
        <v>0</v>
      </c>
      <c r="E43" s="67">
        <f>+D43*(1+E44)</f>
        <v>0</v>
      </c>
      <c r="F43" s="67">
        <f>+E43*(1+F44)</f>
        <v>0</v>
      </c>
      <c r="G43" s="67">
        <f>+F43*(1+G44)</f>
        <v>0</v>
      </c>
      <c r="H43" s="67">
        <f>+G43*(1+H44)</f>
        <v>0</v>
      </c>
      <c r="I43" s="16"/>
      <c r="J43" s="16"/>
    </row>
    <row r="44" spans="1:10">
      <c r="A44" s="65" t="s">
        <v>58</v>
      </c>
      <c r="B44" s="64"/>
      <c r="C44" s="68"/>
      <c r="D44" s="69">
        <v>0</v>
      </c>
      <c r="E44" s="69">
        <v>0</v>
      </c>
      <c r="F44" s="69">
        <v>0</v>
      </c>
      <c r="G44" s="69">
        <v>0</v>
      </c>
      <c r="H44" s="69">
        <v>0</v>
      </c>
      <c r="I44" s="16"/>
      <c r="J44" s="16"/>
    </row>
    <row r="45" spans="1:10">
      <c r="A45" s="82" t="s">
        <v>59</v>
      </c>
      <c r="B45" s="64"/>
      <c r="C45" s="66">
        <v>0</v>
      </c>
      <c r="D45" s="67">
        <f>+C45*(1+D46)</f>
        <v>0</v>
      </c>
      <c r="E45" s="67">
        <f>+D45*(1+E46)</f>
        <v>0</v>
      </c>
      <c r="F45" s="67">
        <f>+E45*(1+F46)</f>
        <v>0</v>
      </c>
      <c r="G45" s="67">
        <f>+F45*(1+G46)</f>
        <v>0</v>
      </c>
      <c r="H45" s="67">
        <f>+G45*(1+H46)</f>
        <v>0</v>
      </c>
      <c r="I45" s="16"/>
      <c r="J45" s="16"/>
    </row>
    <row r="46" spans="1:10">
      <c r="A46" s="65" t="s">
        <v>60</v>
      </c>
      <c r="B46" s="64"/>
      <c r="C46" s="68"/>
      <c r="D46" s="69">
        <v>0</v>
      </c>
      <c r="E46" s="69">
        <v>0</v>
      </c>
      <c r="F46" s="69">
        <v>0</v>
      </c>
      <c r="G46" s="69">
        <v>0</v>
      </c>
      <c r="H46" s="69">
        <v>0</v>
      </c>
      <c r="I46" s="16"/>
      <c r="J46" s="16"/>
    </row>
    <row r="47" spans="1:10">
      <c r="A47" s="82" t="s">
        <v>61</v>
      </c>
      <c r="B47" s="64"/>
      <c r="C47" s="66">
        <v>0</v>
      </c>
      <c r="D47" s="67">
        <f>+C47*(1+D48)</f>
        <v>0</v>
      </c>
      <c r="E47" s="67">
        <f>+D47*(1+E48)</f>
        <v>0</v>
      </c>
      <c r="F47" s="67">
        <f>+E47*(1+F48)</f>
        <v>0</v>
      </c>
      <c r="G47" s="67">
        <f>+F47*(1+G48)</f>
        <v>0</v>
      </c>
      <c r="H47" s="67">
        <f>+G47*(1+H48)</f>
        <v>0</v>
      </c>
      <c r="I47" s="16"/>
      <c r="J47" s="16"/>
    </row>
    <row r="48" spans="1:10">
      <c r="A48" s="65" t="s">
        <v>62</v>
      </c>
      <c r="B48" s="64"/>
      <c r="C48" s="68"/>
      <c r="D48" s="69">
        <v>0</v>
      </c>
      <c r="E48" s="69">
        <v>0</v>
      </c>
      <c r="F48" s="69">
        <v>0</v>
      </c>
      <c r="G48" s="69">
        <v>0</v>
      </c>
      <c r="H48" s="69">
        <v>0</v>
      </c>
      <c r="I48" s="16"/>
      <c r="J48" s="16"/>
    </row>
    <row r="49" spans="1:10">
      <c r="A49" s="82" t="s">
        <v>63</v>
      </c>
      <c r="B49" s="64"/>
      <c r="C49" s="66">
        <v>0</v>
      </c>
      <c r="D49" s="67">
        <f>+C49*(1+D50)</f>
        <v>0</v>
      </c>
      <c r="E49" s="67">
        <f>+D49*(1+E50)</f>
        <v>0</v>
      </c>
      <c r="F49" s="67">
        <f>+E49*(1+F50)</f>
        <v>0</v>
      </c>
      <c r="G49" s="67">
        <f>+F49*(1+G50)</f>
        <v>0</v>
      </c>
      <c r="H49" s="67">
        <f>+G49*(1+H50)</f>
        <v>0</v>
      </c>
      <c r="I49" s="16"/>
      <c r="J49" s="16"/>
    </row>
    <row r="50" spans="1:10">
      <c r="A50" s="65" t="s">
        <v>64</v>
      </c>
      <c r="B50" s="83"/>
      <c r="C50" s="68"/>
      <c r="D50" s="69">
        <v>0</v>
      </c>
      <c r="E50" s="69">
        <v>0</v>
      </c>
      <c r="F50" s="69">
        <v>0</v>
      </c>
      <c r="G50" s="69">
        <v>0</v>
      </c>
      <c r="H50" s="69">
        <v>0</v>
      </c>
      <c r="I50" s="16"/>
      <c r="J50" s="16"/>
    </row>
    <row r="51" spans="1:10">
      <c r="A51" s="371" t="s">
        <v>52</v>
      </c>
      <c r="B51" s="371"/>
      <c r="C51" s="72">
        <f t="shared" ref="C51:H51" si="11">+C43+C45+C47+C49</f>
        <v>0</v>
      </c>
      <c r="D51" s="72">
        <f t="shared" si="11"/>
        <v>0</v>
      </c>
      <c r="E51" s="72">
        <f t="shared" si="11"/>
        <v>0</v>
      </c>
      <c r="F51" s="72">
        <f t="shared" si="11"/>
        <v>0</v>
      </c>
      <c r="G51" s="72">
        <f t="shared" si="11"/>
        <v>0</v>
      </c>
      <c r="H51" s="72">
        <f t="shared" si="11"/>
        <v>0</v>
      </c>
      <c r="I51" s="16"/>
      <c r="J51" s="16"/>
    </row>
    <row r="52" spans="1:10">
      <c r="A52" s="84"/>
      <c r="B52" s="85"/>
      <c r="C52" s="81"/>
      <c r="D52" s="81"/>
      <c r="E52" s="81"/>
      <c r="F52" s="81"/>
      <c r="G52" s="81"/>
      <c r="H52" s="81"/>
      <c r="I52" s="16"/>
      <c r="J52" s="16"/>
    </row>
    <row r="53" spans="1:10">
      <c r="A53" s="84"/>
      <c r="B53" s="85"/>
      <c r="C53" s="81"/>
      <c r="D53" s="81"/>
      <c r="E53" s="81"/>
      <c r="F53" s="81"/>
      <c r="G53" s="81"/>
      <c r="H53" s="81"/>
      <c r="I53" s="16"/>
      <c r="J53" s="16"/>
    </row>
    <row r="54" spans="1:10">
      <c r="A54" s="370" t="s">
        <v>65</v>
      </c>
      <c r="B54" s="370"/>
      <c r="C54" s="57">
        <f t="shared" ref="C54:H54" si="12">+C17</f>
        <v>0</v>
      </c>
      <c r="D54" s="57">
        <f t="shared" si="12"/>
        <v>0</v>
      </c>
      <c r="E54" s="57">
        <f t="shared" si="12"/>
        <v>0</v>
      </c>
      <c r="F54" s="57">
        <f t="shared" si="12"/>
        <v>0</v>
      </c>
      <c r="G54" s="57">
        <f t="shared" si="12"/>
        <v>0</v>
      </c>
      <c r="H54" s="57">
        <f t="shared" si="12"/>
        <v>0</v>
      </c>
      <c r="I54" s="16"/>
      <c r="J54" s="16"/>
    </row>
    <row r="55" spans="1:10">
      <c r="A55" s="82" t="s">
        <v>57</v>
      </c>
      <c r="B55" s="64"/>
      <c r="C55" s="66">
        <v>0</v>
      </c>
      <c r="D55" s="67">
        <f>+C55*(1+D56)</f>
        <v>0</v>
      </c>
      <c r="E55" s="67">
        <f>+D55*(1+E56)</f>
        <v>0</v>
      </c>
      <c r="F55" s="67">
        <f>+E55*(1+F56)</f>
        <v>0</v>
      </c>
      <c r="G55" s="67">
        <f>+F55*(1+G56)</f>
        <v>0</v>
      </c>
      <c r="H55" s="67">
        <f>+G55*(1+H56)</f>
        <v>0</v>
      </c>
      <c r="I55" s="16"/>
      <c r="J55" s="16"/>
    </row>
    <row r="56" spans="1:10">
      <c r="A56" s="65" t="s">
        <v>58</v>
      </c>
      <c r="B56" s="64"/>
      <c r="C56" s="68"/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16"/>
      <c r="J56" s="16"/>
    </row>
    <row r="57" spans="1:10">
      <c r="A57" s="82" t="s">
        <v>59</v>
      </c>
      <c r="B57" s="64"/>
      <c r="C57" s="66">
        <v>0</v>
      </c>
      <c r="D57" s="67">
        <f>+C57*(1+D58)</f>
        <v>0</v>
      </c>
      <c r="E57" s="67">
        <f>+D57*(1+E58)</f>
        <v>0</v>
      </c>
      <c r="F57" s="67">
        <f>+E57*(1+F58)</f>
        <v>0</v>
      </c>
      <c r="G57" s="67">
        <f>+F57*(1+G58)</f>
        <v>0</v>
      </c>
      <c r="H57" s="67">
        <f>+G57*(1+H58)</f>
        <v>0</v>
      </c>
      <c r="I57" s="16"/>
      <c r="J57" s="16"/>
    </row>
    <row r="58" spans="1:10">
      <c r="A58" s="65" t="s">
        <v>60</v>
      </c>
      <c r="B58" s="64"/>
      <c r="C58" s="68"/>
      <c r="D58" s="69">
        <v>0</v>
      </c>
      <c r="E58" s="69">
        <v>0</v>
      </c>
      <c r="F58" s="69">
        <v>0</v>
      </c>
      <c r="G58" s="69">
        <v>0</v>
      </c>
      <c r="H58" s="69">
        <v>0</v>
      </c>
      <c r="I58" s="16"/>
      <c r="J58" s="16"/>
    </row>
    <row r="59" spans="1:10">
      <c r="A59" s="82" t="s">
        <v>61</v>
      </c>
      <c r="B59" s="64"/>
      <c r="C59" s="66">
        <v>0</v>
      </c>
      <c r="D59" s="67">
        <f>+C59*(1+D60)</f>
        <v>0</v>
      </c>
      <c r="E59" s="67">
        <f>+D59*(1+E60)</f>
        <v>0</v>
      </c>
      <c r="F59" s="67">
        <f>+E59*(1+F60)</f>
        <v>0</v>
      </c>
      <c r="G59" s="67">
        <f>+F59*(1+G60)</f>
        <v>0</v>
      </c>
      <c r="H59" s="67">
        <f>+G59*(1+H60)</f>
        <v>0</v>
      </c>
      <c r="I59" s="16"/>
      <c r="J59" s="16"/>
    </row>
    <row r="60" spans="1:10">
      <c r="A60" s="65" t="s">
        <v>62</v>
      </c>
      <c r="B60" s="64"/>
      <c r="C60" s="68"/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16"/>
      <c r="J60" s="16"/>
    </row>
    <row r="61" spans="1:10">
      <c r="A61" s="82" t="s">
        <v>63</v>
      </c>
      <c r="B61" s="64"/>
      <c r="C61" s="66">
        <v>0</v>
      </c>
      <c r="D61" s="67">
        <f>+C61*(1+D62)</f>
        <v>0</v>
      </c>
      <c r="E61" s="67">
        <f>+D61*(1+E62)</f>
        <v>0</v>
      </c>
      <c r="F61" s="67">
        <f>+E61*(1+F62)</f>
        <v>0</v>
      </c>
      <c r="G61" s="67">
        <f>+F61*(1+G62)</f>
        <v>0</v>
      </c>
      <c r="H61" s="67">
        <f>+G61*(1+H62)</f>
        <v>0</v>
      </c>
      <c r="I61" s="16"/>
      <c r="J61" s="16"/>
    </row>
    <row r="62" spans="1:10">
      <c r="A62" s="65" t="s">
        <v>64</v>
      </c>
      <c r="B62" s="83"/>
      <c r="C62" s="68"/>
      <c r="D62" s="69">
        <v>0</v>
      </c>
      <c r="E62" s="69">
        <v>0</v>
      </c>
      <c r="F62" s="69">
        <v>0</v>
      </c>
      <c r="G62" s="69">
        <v>0</v>
      </c>
      <c r="H62" s="69">
        <v>0</v>
      </c>
      <c r="I62" s="16"/>
      <c r="J62" s="16"/>
    </row>
    <row r="63" spans="1:10">
      <c r="A63" s="371" t="s">
        <v>52</v>
      </c>
      <c r="B63" s="371"/>
      <c r="C63" s="72">
        <f t="shared" ref="C63:H63" si="13">+C55+C57+C59+C61</f>
        <v>0</v>
      </c>
      <c r="D63" s="72">
        <f t="shared" si="13"/>
        <v>0</v>
      </c>
      <c r="E63" s="72">
        <f t="shared" si="13"/>
        <v>0</v>
      </c>
      <c r="F63" s="72">
        <f t="shared" si="13"/>
        <v>0</v>
      </c>
      <c r="G63" s="72">
        <f t="shared" si="13"/>
        <v>0</v>
      </c>
      <c r="H63" s="72">
        <f t="shared" si="13"/>
        <v>0</v>
      </c>
      <c r="I63" s="16"/>
      <c r="J63" s="16"/>
    </row>
    <row r="64" spans="1:10">
      <c r="A64" s="84"/>
      <c r="B64" s="85"/>
      <c r="C64" s="81"/>
      <c r="D64" s="81"/>
      <c r="E64" s="81"/>
      <c r="F64" s="81"/>
      <c r="G64" s="81"/>
      <c r="H64" s="81"/>
      <c r="I64" s="16"/>
      <c r="J64" s="16"/>
    </row>
    <row r="65" spans="1:10">
      <c r="A65" s="84"/>
      <c r="B65" s="85"/>
      <c r="C65" s="81"/>
      <c r="D65" s="81"/>
      <c r="E65" s="81"/>
      <c r="F65" s="81"/>
      <c r="G65" s="81"/>
      <c r="H65" s="81"/>
      <c r="I65" s="16"/>
      <c r="J65" s="16"/>
    </row>
    <row r="66" spans="1:10">
      <c r="A66" s="372" t="s">
        <v>66</v>
      </c>
      <c r="B66" s="372"/>
      <c r="C66" s="72">
        <f t="shared" ref="C66:H66" si="14">+C26</f>
        <v>29.99</v>
      </c>
      <c r="D66" s="72">
        <f t="shared" si="14"/>
        <v>71976</v>
      </c>
      <c r="E66" s="72">
        <f t="shared" si="14"/>
        <v>213624.76800000001</v>
      </c>
      <c r="F66" s="72">
        <f t="shared" si="14"/>
        <v>422122.54156800004</v>
      </c>
      <c r="G66" s="72">
        <f t="shared" si="14"/>
        <v>543482.77226880006</v>
      </c>
      <c r="H66" s="72">
        <f t="shared" si="14"/>
        <v>641309.67127718404</v>
      </c>
      <c r="I66" s="16"/>
      <c r="J66" s="16"/>
    </row>
    <row r="67" spans="1:10">
      <c r="A67" s="372" t="s">
        <v>67</v>
      </c>
      <c r="B67" s="372"/>
      <c r="C67" s="72">
        <f t="shared" ref="C67:H67" si="15">+C38</f>
        <v>0</v>
      </c>
      <c r="D67" s="72">
        <f t="shared" si="15"/>
        <v>0</v>
      </c>
      <c r="E67" s="72">
        <f t="shared" si="15"/>
        <v>0</v>
      </c>
      <c r="F67" s="72">
        <f t="shared" si="15"/>
        <v>0</v>
      </c>
      <c r="G67" s="72">
        <f t="shared" si="15"/>
        <v>0</v>
      </c>
      <c r="H67" s="72">
        <f t="shared" si="15"/>
        <v>0</v>
      </c>
      <c r="I67" s="16"/>
      <c r="J67" s="16"/>
    </row>
    <row r="68" spans="1:10">
      <c r="A68" s="373" t="s">
        <v>68</v>
      </c>
      <c r="B68" s="373"/>
      <c r="C68" s="72">
        <f t="shared" ref="C68:H68" si="16">+C66+C67</f>
        <v>29.99</v>
      </c>
      <c r="D68" s="72">
        <f t="shared" si="16"/>
        <v>71976</v>
      </c>
      <c r="E68" s="72">
        <f t="shared" si="16"/>
        <v>213624.76800000001</v>
      </c>
      <c r="F68" s="72">
        <f t="shared" si="16"/>
        <v>422122.54156800004</v>
      </c>
      <c r="G68" s="72">
        <f t="shared" si="16"/>
        <v>543482.77226880006</v>
      </c>
      <c r="H68" s="72">
        <f t="shared" si="16"/>
        <v>641309.67127718404</v>
      </c>
      <c r="I68" s="16"/>
      <c r="J68" s="16"/>
    </row>
    <row r="69" spans="1:10">
      <c r="A69" s="86" t="s">
        <v>69</v>
      </c>
      <c r="B69" s="87">
        <f>+Pressupostos!B12</f>
        <v>0.23</v>
      </c>
      <c r="C69" s="72">
        <f t="shared" ref="C69:H69" si="17">+C66*$B$69</f>
        <v>6.8976999999999995</v>
      </c>
      <c r="D69" s="72">
        <f t="shared" si="17"/>
        <v>16554.48</v>
      </c>
      <c r="E69" s="72">
        <f t="shared" si="17"/>
        <v>49133.696640000002</v>
      </c>
      <c r="F69" s="72">
        <f t="shared" si="17"/>
        <v>97088.184560640017</v>
      </c>
      <c r="G69" s="72">
        <f t="shared" si="17"/>
        <v>125001.03762182403</v>
      </c>
      <c r="H69" s="72">
        <f t="shared" si="17"/>
        <v>147501.22439375235</v>
      </c>
      <c r="I69" s="16"/>
      <c r="J69" s="16"/>
    </row>
    <row r="70" spans="1:10" s="75" customFormat="1">
      <c r="A70" s="88"/>
      <c r="B70" s="89"/>
      <c r="C70" s="90"/>
      <c r="D70" s="90"/>
      <c r="E70" s="90"/>
      <c r="F70" s="90"/>
      <c r="G70" s="90"/>
      <c r="H70" s="90"/>
      <c r="I70" s="91"/>
      <c r="J70" s="91"/>
    </row>
    <row r="71" spans="1:10" s="93" customFormat="1">
      <c r="A71" s="73"/>
      <c r="B71" s="89"/>
      <c r="C71" s="92"/>
      <c r="D71" s="92"/>
      <c r="E71" s="92"/>
      <c r="F71" s="92"/>
      <c r="G71" s="92"/>
      <c r="H71" s="92"/>
      <c r="I71" s="26"/>
      <c r="J71" s="26"/>
    </row>
    <row r="72" spans="1:10">
      <c r="A72" s="374" t="s">
        <v>70</v>
      </c>
      <c r="B72" s="374"/>
      <c r="C72" s="72">
        <f t="shared" ref="C72:H72" si="18">+C51</f>
        <v>0</v>
      </c>
      <c r="D72" s="72">
        <f t="shared" si="18"/>
        <v>0</v>
      </c>
      <c r="E72" s="72">
        <f t="shared" si="18"/>
        <v>0</v>
      </c>
      <c r="F72" s="72">
        <f t="shared" si="18"/>
        <v>0</v>
      </c>
      <c r="G72" s="72">
        <f t="shared" si="18"/>
        <v>0</v>
      </c>
      <c r="H72" s="72">
        <f t="shared" si="18"/>
        <v>0</v>
      </c>
      <c r="I72" s="16"/>
      <c r="J72" s="16"/>
    </row>
    <row r="73" spans="1:10">
      <c r="A73" s="375" t="s">
        <v>71</v>
      </c>
      <c r="B73" s="375"/>
      <c r="C73" s="72">
        <f t="shared" ref="C73:H73" si="19">+C63</f>
        <v>0</v>
      </c>
      <c r="D73" s="72">
        <f t="shared" si="19"/>
        <v>0</v>
      </c>
      <c r="E73" s="72">
        <f t="shared" si="19"/>
        <v>0</v>
      </c>
      <c r="F73" s="72">
        <f t="shared" si="19"/>
        <v>0</v>
      </c>
      <c r="G73" s="72">
        <f t="shared" si="19"/>
        <v>0</v>
      </c>
      <c r="H73" s="72">
        <f t="shared" si="19"/>
        <v>0</v>
      </c>
      <c r="I73" s="16"/>
      <c r="J73" s="16"/>
    </row>
    <row r="74" spans="1:10">
      <c r="A74" s="373" t="s">
        <v>72</v>
      </c>
      <c r="B74" s="373"/>
      <c r="C74" s="72">
        <f t="shared" ref="C74:H74" si="20">+C72+C73</f>
        <v>0</v>
      </c>
      <c r="D74" s="72">
        <f t="shared" si="20"/>
        <v>0</v>
      </c>
      <c r="E74" s="72">
        <f t="shared" si="20"/>
        <v>0</v>
      </c>
      <c r="F74" s="72">
        <f t="shared" si="20"/>
        <v>0</v>
      </c>
      <c r="G74" s="72">
        <f t="shared" si="20"/>
        <v>0</v>
      </c>
      <c r="H74" s="72">
        <f t="shared" si="20"/>
        <v>0</v>
      </c>
      <c r="I74" s="16"/>
      <c r="J74" s="16"/>
    </row>
    <row r="75" spans="1:10">
      <c r="A75" s="86" t="s">
        <v>73</v>
      </c>
      <c r="B75" s="87">
        <f>+Pressupostos!B13</f>
        <v>0.23</v>
      </c>
      <c r="C75" s="72">
        <f t="shared" ref="C75:H75" si="21">+C72*$B$75</f>
        <v>0</v>
      </c>
      <c r="D75" s="72">
        <f t="shared" si="21"/>
        <v>0</v>
      </c>
      <c r="E75" s="72">
        <f t="shared" si="21"/>
        <v>0</v>
      </c>
      <c r="F75" s="72">
        <f t="shared" si="21"/>
        <v>0</v>
      </c>
      <c r="G75" s="72">
        <f t="shared" si="21"/>
        <v>0</v>
      </c>
      <c r="H75" s="72">
        <f t="shared" si="21"/>
        <v>0</v>
      </c>
      <c r="I75" s="16"/>
      <c r="J75" s="16"/>
    </row>
    <row r="76" spans="1:10">
      <c r="A76" s="84"/>
      <c r="B76" s="85"/>
      <c r="C76" s="81"/>
      <c r="D76" s="81"/>
      <c r="E76" s="81"/>
      <c r="F76" s="81"/>
      <c r="G76" s="81"/>
      <c r="H76" s="81"/>
      <c r="I76" s="16"/>
      <c r="J76" s="16"/>
    </row>
    <row r="77" spans="1:10">
      <c r="A77" s="376" t="s">
        <v>74</v>
      </c>
      <c r="B77" s="376"/>
      <c r="C77" s="72">
        <f t="shared" ref="C77:H77" si="22">+C68+C74</f>
        <v>29.99</v>
      </c>
      <c r="D77" s="72">
        <f t="shared" si="22"/>
        <v>71976</v>
      </c>
      <c r="E77" s="72">
        <f t="shared" si="22"/>
        <v>213624.76800000001</v>
      </c>
      <c r="F77" s="72">
        <f t="shared" si="22"/>
        <v>422122.54156800004</v>
      </c>
      <c r="G77" s="72">
        <f t="shared" si="22"/>
        <v>543482.77226880006</v>
      </c>
      <c r="H77" s="72">
        <f t="shared" si="22"/>
        <v>641309.67127718404</v>
      </c>
      <c r="I77" s="16"/>
      <c r="J77" s="16"/>
    </row>
    <row r="78" spans="1:10">
      <c r="A78" s="84"/>
      <c r="B78" s="80"/>
      <c r="C78" s="81"/>
      <c r="D78" s="81"/>
      <c r="E78" s="81"/>
      <c r="F78" s="81"/>
      <c r="G78" s="81"/>
      <c r="H78" s="81"/>
      <c r="I78" s="16"/>
      <c r="J78" s="16"/>
    </row>
    <row r="79" spans="1:10">
      <c r="A79" s="369" t="s">
        <v>75</v>
      </c>
      <c r="B79" s="369"/>
      <c r="C79" s="67">
        <f t="shared" ref="C79:H79" si="23">+C69+C75</f>
        <v>6.8976999999999995</v>
      </c>
      <c r="D79" s="67">
        <f t="shared" si="23"/>
        <v>16554.48</v>
      </c>
      <c r="E79" s="67">
        <f t="shared" si="23"/>
        <v>49133.696640000002</v>
      </c>
      <c r="F79" s="67">
        <f t="shared" si="23"/>
        <v>97088.184560640017</v>
      </c>
      <c r="G79" s="67">
        <f t="shared" si="23"/>
        <v>125001.03762182403</v>
      </c>
      <c r="H79" s="67">
        <f t="shared" si="23"/>
        <v>147501.22439375235</v>
      </c>
      <c r="I79" s="16"/>
      <c r="J79" s="16"/>
    </row>
    <row r="80" spans="1:10">
      <c r="A80" s="16"/>
      <c r="B80" s="16"/>
      <c r="C80" s="16"/>
      <c r="D80" s="16"/>
      <c r="E80" s="16"/>
      <c r="F80" s="16"/>
      <c r="G80" s="16"/>
      <c r="H80" s="16"/>
      <c r="I80" s="16"/>
      <c r="J80" s="16"/>
    </row>
    <row r="81" spans="1:10">
      <c r="A81" s="376" t="s">
        <v>76</v>
      </c>
      <c r="B81" s="376"/>
      <c r="C81" s="72">
        <f t="shared" ref="C81:H81" si="24">+C77+C79</f>
        <v>36.887699999999995</v>
      </c>
      <c r="D81" s="72">
        <f t="shared" si="24"/>
        <v>88530.48</v>
      </c>
      <c r="E81" s="72">
        <f t="shared" si="24"/>
        <v>262758.46464000002</v>
      </c>
      <c r="F81" s="72">
        <f t="shared" si="24"/>
        <v>519210.72612864006</v>
      </c>
      <c r="G81" s="72">
        <f t="shared" si="24"/>
        <v>668483.80989062414</v>
      </c>
      <c r="H81" s="72">
        <f t="shared" si="24"/>
        <v>788810.89567093644</v>
      </c>
      <c r="I81" s="16"/>
      <c r="J81" s="16"/>
    </row>
  </sheetData>
  <sheetProtection selectLockedCells="1" selectUnlockedCells="1"/>
  <mergeCells count="19">
    <mergeCell ref="A81:B81"/>
    <mergeCell ref="A68:B68"/>
    <mergeCell ref="A72:B72"/>
    <mergeCell ref="A73:B73"/>
    <mergeCell ref="A74:B74"/>
    <mergeCell ref="A77:B77"/>
    <mergeCell ref="A79:B79"/>
    <mergeCell ref="A42:B42"/>
    <mergeCell ref="A51:B51"/>
    <mergeCell ref="A54:B54"/>
    <mergeCell ref="A63:B63"/>
    <mergeCell ref="A66:B66"/>
    <mergeCell ref="A67:B67"/>
    <mergeCell ref="A3:H3"/>
    <mergeCell ref="A5:B5"/>
    <mergeCell ref="A9:B9"/>
    <mergeCell ref="A26:B26"/>
    <mergeCell ref="A29:B29"/>
    <mergeCell ref="A38:B38"/>
  </mergeCells>
  <printOptions horizontalCentered="1"/>
  <pageMargins left="0.75" right="0.75" top="0.39374999999999999" bottom="0.39374999999999999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showGridLines="0" workbookViewId="0">
      <selection activeCell="B8" sqref="B8"/>
    </sheetView>
  </sheetViews>
  <sheetFormatPr defaultColWidth="8.85546875" defaultRowHeight="13.5"/>
  <cols>
    <col min="1" max="1" width="40.5703125" style="49" customWidth="1"/>
    <col min="2" max="2" width="7.85546875" style="49" customWidth="1"/>
    <col min="3" max="14" width="11.42578125" style="49" customWidth="1"/>
    <col min="15" max="16384" width="8.85546875" style="49"/>
  </cols>
  <sheetData>
    <row r="1" spans="1:10" ht="14.25">
      <c r="A1" s="17" t="s">
        <v>77</v>
      </c>
      <c r="B1" s="50" t="str">
        <f>+Pressupostos!B1</f>
        <v>Herbawatter</v>
      </c>
      <c r="C1" s="51"/>
      <c r="D1" s="51"/>
      <c r="E1" s="51"/>
      <c r="F1" s="51"/>
      <c r="G1" s="51"/>
      <c r="H1" s="51"/>
    </row>
    <row r="2" spans="1:10" s="55" customFormat="1">
      <c r="A2" s="52"/>
      <c r="B2" s="53"/>
      <c r="C2" s="53"/>
      <c r="D2" s="53"/>
      <c r="E2" s="53"/>
      <c r="F2" s="53"/>
      <c r="G2" s="53"/>
      <c r="H2" s="54" t="str">
        <f>+Pressupostos!B6</f>
        <v>(valores em euros)</v>
      </c>
      <c r="I2" s="94"/>
    </row>
    <row r="3" spans="1:10">
      <c r="A3" s="365" t="s">
        <v>78</v>
      </c>
      <c r="B3" s="365"/>
      <c r="C3" s="365"/>
      <c r="D3" s="365"/>
      <c r="E3" s="365"/>
      <c r="F3" s="365"/>
      <c r="G3" s="365"/>
      <c r="H3" s="365"/>
      <c r="I3" s="16"/>
    </row>
    <row r="4" spans="1:10">
      <c r="A4" s="56"/>
      <c r="B4" s="56"/>
      <c r="C4" s="56"/>
      <c r="D4" s="56"/>
      <c r="E4" s="56"/>
      <c r="F4" s="56"/>
      <c r="G4" s="56"/>
      <c r="H4" s="56"/>
      <c r="I4" s="16"/>
    </row>
    <row r="5" spans="1:10">
      <c r="A5" s="16"/>
      <c r="B5" s="16"/>
      <c r="C5" s="16"/>
      <c r="D5" s="16"/>
      <c r="E5" s="16"/>
      <c r="F5" s="16"/>
      <c r="G5" s="16"/>
      <c r="H5" s="16"/>
      <c r="I5" s="16"/>
    </row>
    <row r="6" spans="1:10" ht="25.5">
      <c r="A6" s="95" t="s">
        <v>79</v>
      </c>
      <c r="B6" s="96" t="s">
        <v>80</v>
      </c>
      <c r="C6" s="97">
        <f>+VN!C5</f>
        <v>2016</v>
      </c>
      <c r="D6" s="97">
        <f>+VN!D5</f>
        <v>2017</v>
      </c>
      <c r="E6" s="97">
        <f>+VN!E5</f>
        <v>2018</v>
      </c>
      <c r="F6" s="97">
        <f>+VN!F5</f>
        <v>2019</v>
      </c>
      <c r="G6" s="97">
        <f>+VN!G5</f>
        <v>2020</v>
      </c>
      <c r="H6" s="97">
        <f>+VN!H5</f>
        <v>2021</v>
      </c>
      <c r="I6" s="16"/>
    </row>
    <row r="7" spans="1:10">
      <c r="A7" s="82" t="s">
        <v>81</v>
      </c>
      <c r="B7" s="98">
        <v>0.68</v>
      </c>
      <c r="C7" s="99">
        <f>VN!C10*(1-CMVMC!$B$7)</f>
        <v>9.5967999999999982</v>
      </c>
      <c r="D7" s="99">
        <f>VN!D10*(1-CMVMC!$B$7)</f>
        <v>23032.319999999996</v>
      </c>
      <c r="E7" s="99">
        <f>VN!E10*(1-CMVMC!$B$7)</f>
        <v>68359.925759999998</v>
      </c>
      <c r="F7" s="99">
        <f>VN!F10*(1-CMVMC!$B$7)</f>
        <v>135079.21330176</v>
      </c>
      <c r="G7" s="99">
        <f>VN!G10*(1-CMVMC!$B$7)</f>
        <v>173914.487126016</v>
      </c>
      <c r="H7" s="99">
        <f>VN!H10*(1-CMVMC!$B$7)</f>
        <v>205219.09480869886</v>
      </c>
      <c r="I7" s="16"/>
    </row>
    <row r="8" spans="1:10">
      <c r="A8" s="82" t="s">
        <v>82</v>
      </c>
      <c r="B8" s="100">
        <v>0</v>
      </c>
      <c r="C8" s="99">
        <f>VN!C14*(1-CMVMC!$B$8)</f>
        <v>0</v>
      </c>
      <c r="D8" s="99">
        <f>VN!D14*(1-CMVMC!$B$8)</f>
        <v>0</v>
      </c>
      <c r="E8" s="99">
        <f>VN!E14*(1-CMVMC!$B$8)</f>
        <v>0</v>
      </c>
      <c r="F8" s="99">
        <f>VN!F14*(1-CMVMC!$B$8)</f>
        <v>0</v>
      </c>
      <c r="G8" s="99">
        <f>VN!G14*(1-CMVMC!$B$8)</f>
        <v>0</v>
      </c>
      <c r="H8" s="99">
        <f>VN!H14*(1-CMVMC!$B$8)</f>
        <v>0</v>
      </c>
      <c r="I8" s="16"/>
    </row>
    <row r="9" spans="1:10">
      <c r="A9" s="82" t="s">
        <v>83</v>
      </c>
      <c r="B9" s="100">
        <v>0</v>
      </c>
      <c r="C9" s="99">
        <f>VN!C18*(1-CMVMC!$B$9)</f>
        <v>0</v>
      </c>
      <c r="D9" s="99">
        <f>VN!D18*(1-CMVMC!$B$9)</f>
        <v>0</v>
      </c>
      <c r="E9" s="99">
        <f>VN!E18*(1-CMVMC!$B$9)</f>
        <v>0</v>
      </c>
      <c r="F9" s="99">
        <f>VN!F18*(1-CMVMC!$B$9)</f>
        <v>0</v>
      </c>
      <c r="G9" s="99">
        <f>VN!G18*(1-CMVMC!$B$9)</f>
        <v>0</v>
      </c>
      <c r="H9" s="99">
        <f>VN!H18*(1-CMVMC!$B$9)</f>
        <v>0</v>
      </c>
      <c r="I9" s="16"/>
    </row>
    <row r="10" spans="1:10">
      <c r="A10" s="82" t="s">
        <v>84</v>
      </c>
      <c r="B10" s="100">
        <v>0</v>
      </c>
      <c r="C10" s="99">
        <f>VN!C22*(1-CMVMC!$B$10)</f>
        <v>0</v>
      </c>
      <c r="D10" s="99">
        <f>VN!D22*(1-CMVMC!$B$10)</f>
        <v>0</v>
      </c>
      <c r="E10" s="99">
        <f>VN!E22*(1-CMVMC!$B$10)</f>
        <v>0</v>
      </c>
      <c r="F10" s="99">
        <f>VN!F22*(1-CMVMC!$B$10)</f>
        <v>0</v>
      </c>
      <c r="G10" s="99">
        <f>VN!G22*(1-CMVMC!$B$10)</f>
        <v>0</v>
      </c>
      <c r="H10" s="99">
        <f>VN!H22*(1-CMVMC!$B$10)</f>
        <v>0</v>
      </c>
      <c r="I10" s="16"/>
    </row>
    <row r="11" spans="1:10">
      <c r="A11" s="376" t="s">
        <v>85</v>
      </c>
      <c r="B11" s="376"/>
      <c r="C11" s="72">
        <f t="shared" ref="C11:H11" si="0">SUM(C7:C10)</f>
        <v>9.5967999999999982</v>
      </c>
      <c r="D11" s="72">
        <f t="shared" si="0"/>
        <v>23032.319999999996</v>
      </c>
      <c r="E11" s="72">
        <f t="shared" si="0"/>
        <v>68359.925759999998</v>
      </c>
      <c r="F11" s="72">
        <f t="shared" si="0"/>
        <v>135079.21330176</v>
      </c>
      <c r="G11" s="72">
        <f t="shared" si="0"/>
        <v>173914.487126016</v>
      </c>
      <c r="H11" s="72">
        <f t="shared" si="0"/>
        <v>205219.09480869886</v>
      </c>
      <c r="I11" s="16"/>
      <c r="J11" s="49">
        <v>1</v>
      </c>
    </row>
    <row r="12" spans="1:10" s="55" customFormat="1">
      <c r="A12" s="77"/>
      <c r="B12" s="77"/>
      <c r="C12" s="78"/>
      <c r="D12" s="78"/>
      <c r="E12" s="78"/>
      <c r="F12" s="78"/>
      <c r="G12" s="78"/>
      <c r="H12" s="78"/>
      <c r="I12" s="94"/>
      <c r="J12" s="55">
        <f>C7/VN!C10</f>
        <v>0.31999999999999995</v>
      </c>
    </row>
    <row r="13" spans="1:10">
      <c r="A13" s="59" t="s">
        <v>75</v>
      </c>
      <c r="B13" s="101">
        <f>+Pressupostos!B14</f>
        <v>0.23</v>
      </c>
      <c r="C13" s="67">
        <f t="shared" ref="C13:H13" si="1">+C11*$B$13</f>
        <v>2.2072639999999999</v>
      </c>
      <c r="D13" s="67">
        <f t="shared" si="1"/>
        <v>5297.4335999999994</v>
      </c>
      <c r="E13" s="67">
        <f t="shared" si="1"/>
        <v>15722.7829248</v>
      </c>
      <c r="F13" s="67">
        <f t="shared" si="1"/>
        <v>31068.219059404801</v>
      </c>
      <c r="G13" s="67">
        <f t="shared" si="1"/>
        <v>40000.332038983681</v>
      </c>
      <c r="H13" s="67">
        <f t="shared" si="1"/>
        <v>47200.391806000742</v>
      </c>
      <c r="I13" s="16"/>
      <c r="J13" s="49">
        <f>J11-J12</f>
        <v>0.68</v>
      </c>
    </row>
    <row r="14" spans="1:10">
      <c r="A14" s="16"/>
      <c r="B14" s="16"/>
      <c r="C14" s="16"/>
      <c r="D14" s="16"/>
      <c r="E14" s="16"/>
      <c r="F14" s="16"/>
      <c r="G14" s="16"/>
      <c r="H14" s="16"/>
      <c r="I14" s="16"/>
    </row>
    <row r="15" spans="1:10">
      <c r="A15" s="376" t="s">
        <v>86</v>
      </c>
      <c r="B15" s="376"/>
      <c r="C15" s="72">
        <f t="shared" ref="C15:H15" si="2">+C11+C13</f>
        <v>11.804063999999999</v>
      </c>
      <c r="D15" s="72">
        <f t="shared" si="2"/>
        <v>28329.753599999996</v>
      </c>
      <c r="E15" s="72">
        <f t="shared" si="2"/>
        <v>84082.708684800004</v>
      </c>
      <c r="F15" s="72">
        <f t="shared" si="2"/>
        <v>166147.4323611648</v>
      </c>
      <c r="G15" s="72">
        <f t="shared" si="2"/>
        <v>213914.81916499967</v>
      </c>
      <c r="H15" s="72">
        <f t="shared" si="2"/>
        <v>252419.48661469959</v>
      </c>
      <c r="I15" s="16"/>
    </row>
    <row r="16" spans="1:10">
      <c r="A16" s="16"/>
      <c r="B16" s="16"/>
      <c r="C16" s="16"/>
      <c r="D16" s="16"/>
      <c r="E16" s="16"/>
      <c r="F16" s="16"/>
      <c r="G16" s="16"/>
      <c r="H16" s="16"/>
      <c r="I16" s="16"/>
    </row>
    <row r="17" spans="1:9">
      <c r="A17" s="16"/>
      <c r="B17" s="16"/>
      <c r="C17" s="16"/>
      <c r="D17" s="16"/>
      <c r="E17" s="16"/>
      <c r="F17" s="16"/>
      <c r="G17" s="16"/>
      <c r="H17" s="16"/>
      <c r="I17" s="16"/>
    </row>
    <row r="18" spans="1:9">
      <c r="A18" s="102" t="s">
        <v>87</v>
      </c>
      <c r="B18" s="16"/>
      <c r="C18" s="16"/>
      <c r="D18" s="16"/>
      <c r="E18" s="16"/>
      <c r="F18" s="16"/>
      <c r="G18" s="16"/>
      <c r="H18" s="16"/>
      <c r="I18" s="16"/>
    </row>
    <row r="19" spans="1:9">
      <c r="A19" s="103" t="s">
        <v>88</v>
      </c>
      <c r="B19" s="16"/>
      <c r="C19" s="16"/>
      <c r="D19" s="16"/>
      <c r="E19" s="16"/>
      <c r="F19" s="16"/>
      <c r="G19" s="16"/>
      <c r="H19" s="16"/>
      <c r="I19" s="16"/>
    </row>
    <row r="20" spans="1:9">
      <c r="A20" s="103" t="s">
        <v>89</v>
      </c>
      <c r="B20" s="16"/>
      <c r="C20" s="16"/>
      <c r="D20" s="16"/>
      <c r="E20" s="16"/>
      <c r="F20" s="16"/>
      <c r="G20" s="16"/>
      <c r="H20" s="16"/>
      <c r="I20" s="16"/>
    </row>
    <row r="21" spans="1:9">
      <c r="A21" s="103" t="s">
        <v>90</v>
      </c>
      <c r="B21" s="16"/>
      <c r="C21" s="16"/>
      <c r="D21" s="16"/>
      <c r="E21" s="16"/>
      <c r="F21" s="16"/>
      <c r="G21" s="16"/>
      <c r="H21" s="16"/>
      <c r="I21" s="16"/>
    </row>
    <row r="22" spans="1:9">
      <c r="A22" s="102" t="s">
        <v>91</v>
      </c>
      <c r="B22" s="16"/>
      <c r="C22" s="16"/>
      <c r="D22" s="16"/>
      <c r="E22" s="16"/>
      <c r="F22" s="16"/>
      <c r="G22" s="16"/>
      <c r="H22" s="16"/>
      <c r="I22" s="16"/>
    </row>
  </sheetData>
  <sheetProtection selectLockedCells="1" selectUnlockedCells="1"/>
  <mergeCells count="3">
    <mergeCell ref="A3:H3"/>
    <mergeCell ref="A11:B11"/>
    <mergeCell ref="A15:B15"/>
  </mergeCells>
  <printOptions horizontalCentered="1"/>
  <pageMargins left="0.75" right="0.75" top="0.39374999999999999" bottom="0.39374999999999999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"/>
  <sheetViews>
    <sheetView showGridLines="0" workbookViewId="0">
      <selection activeCell="F53" sqref="F53"/>
    </sheetView>
  </sheetViews>
  <sheetFormatPr defaultColWidth="8.85546875" defaultRowHeight="12.75"/>
  <cols>
    <col min="1" max="1" width="29.85546875" style="16" customWidth="1"/>
    <col min="2" max="4" width="6.42578125" style="16" customWidth="1"/>
    <col min="5" max="5" width="11.85546875" style="16" customWidth="1"/>
    <col min="6" max="14" width="11.42578125" style="16" customWidth="1"/>
    <col min="15" max="16384" width="8.85546875" style="16"/>
  </cols>
  <sheetData>
    <row r="1" spans="1:11" ht="13.5">
      <c r="A1" s="104" t="str">
        <f>+VN!A1</f>
        <v>Empresa:</v>
      </c>
      <c r="B1" s="50" t="str">
        <f>+Pressupostos!B1</f>
        <v>Herbawatter</v>
      </c>
      <c r="C1" s="50"/>
      <c r="D1" s="50"/>
      <c r="E1" s="51"/>
      <c r="F1" s="51"/>
      <c r="G1" s="51"/>
      <c r="H1" s="51"/>
      <c r="I1" s="51"/>
      <c r="J1" s="51"/>
      <c r="K1" s="51"/>
    </row>
    <row r="2" spans="1:11" s="94" customFormat="1">
      <c r="A2" s="52"/>
      <c r="B2" s="52"/>
      <c r="C2" s="52"/>
      <c r="D2" s="52"/>
      <c r="E2" s="53"/>
      <c r="F2" s="53"/>
      <c r="G2" s="53"/>
      <c r="H2" s="53"/>
      <c r="I2" s="53"/>
      <c r="J2" s="53"/>
      <c r="K2" s="105" t="str">
        <f>+Pressupostos!B6</f>
        <v>(valores em euros)</v>
      </c>
    </row>
    <row r="3" spans="1:11">
      <c r="A3" s="365" t="s">
        <v>92</v>
      </c>
      <c r="B3" s="365"/>
      <c r="C3" s="365"/>
      <c r="D3" s="365"/>
      <c r="E3" s="365"/>
      <c r="F3" s="365"/>
      <c r="G3" s="365"/>
      <c r="H3" s="365"/>
      <c r="I3" s="365"/>
      <c r="J3" s="365"/>
      <c r="K3" s="365"/>
    </row>
    <row r="6" spans="1:11">
      <c r="A6" s="59"/>
      <c r="B6" s="106"/>
      <c r="C6" s="106"/>
      <c r="D6" s="106"/>
      <c r="E6" s="107"/>
      <c r="F6" s="57">
        <f>+VN!C5</f>
        <v>2016</v>
      </c>
      <c r="G6" s="57">
        <f>+VN!D5</f>
        <v>2017</v>
      </c>
      <c r="H6" s="57">
        <f>+VN!E5</f>
        <v>2018</v>
      </c>
      <c r="I6" s="57">
        <f>+VN!F5</f>
        <v>2019</v>
      </c>
      <c r="J6" s="57">
        <f>+VN!G5</f>
        <v>2020</v>
      </c>
      <c r="K6" s="57">
        <f>+VN!H5</f>
        <v>2021</v>
      </c>
    </row>
    <row r="7" spans="1:11">
      <c r="A7" s="108" t="s">
        <v>93</v>
      </c>
      <c r="B7" s="109"/>
      <c r="C7" s="110"/>
      <c r="D7" s="110"/>
      <c r="E7" s="111"/>
      <c r="F7" s="112">
        <v>3</v>
      </c>
      <c r="G7" s="112">
        <v>12</v>
      </c>
      <c r="H7" s="112">
        <v>12</v>
      </c>
      <c r="I7" s="112">
        <v>12</v>
      </c>
      <c r="J7" s="112">
        <v>12</v>
      </c>
      <c r="K7" s="112">
        <v>12</v>
      </c>
    </row>
    <row r="8" spans="1:11">
      <c r="A8" s="108" t="s">
        <v>94</v>
      </c>
      <c r="B8" s="109"/>
      <c r="C8" s="110"/>
      <c r="D8" s="110"/>
      <c r="E8" s="111"/>
      <c r="F8" s="113">
        <v>0</v>
      </c>
      <c r="G8" s="62">
        <v>0.6</v>
      </c>
      <c r="H8" s="62">
        <v>0.3</v>
      </c>
      <c r="I8" s="62">
        <v>0.25</v>
      </c>
      <c r="J8" s="62">
        <v>0.15</v>
      </c>
      <c r="K8" s="62">
        <v>0.1</v>
      </c>
    </row>
    <row r="9" spans="1:11">
      <c r="A9" s="16" t="s">
        <v>77</v>
      </c>
    </row>
    <row r="11" spans="1:11">
      <c r="A11" s="59"/>
      <c r="B11" s="57" t="s">
        <v>95</v>
      </c>
      <c r="C11" s="57" t="s">
        <v>96</v>
      </c>
      <c r="D11" s="57" t="s">
        <v>97</v>
      </c>
      <c r="E11" s="57" t="s">
        <v>98</v>
      </c>
      <c r="F11" s="57">
        <f>+VN!C5</f>
        <v>2016</v>
      </c>
      <c r="G11" s="57">
        <f>+VN!D5</f>
        <v>2017</v>
      </c>
      <c r="H11" s="57">
        <f>+VN!E5</f>
        <v>2018</v>
      </c>
      <c r="I11" s="57">
        <f>+VN!F5</f>
        <v>2019</v>
      </c>
      <c r="J11" s="57">
        <f>+VN!G5</f>
        <v>2020</v>
      </c>
      <c r="K11" s="57">
        <f>+VN!H5</f>
        <v>2021</v>
      </c>
    </row>
    <row r="12" spans="1:11">
      <c r="A12" s="24" t="s">
        <v>99</v>
      </c>
      <c r="B12" s="114">
        <v>0.23</v>
      </c>
      <c r="C12" s="115">
        <f t="shared" ref="C12:C36" si="0">1-D12</f>
        <v>1</v>
      </c>
      <c r="D12" s="114">
        <v>0</v>
      </c>
      <c r="E12" s="116">
        <v>0</v>
      </c>
      <c r="F12" s="67">
        <f t="shared" ref="F12:F36" si="1">+E12*$F$7</f>
        <v>0</v>
      </c>
      <c r="G12" s="67">
        <f t="shared" ref="G12:G36" si="2">+E12*$G$7*(1+$G$8)</f>
        <v>0</v>
      </c>
      <c r="H12" s="67">
        <f t="shared" ref="H12:H36" si="3">+G12*(1+$H$8)</f>
        <v>0</v>
      </c>
      <c r="I12" s="67">
        <f t="shared" ref="I12:I36" si="4">+H12*(1+$I$8)</f>
        <v>0</v>
      </c>
      <c r="J12" s="67">
        <f t="shared" ref="J12:J36" si="5">+I12*(1+$J$8)</f>
        <v>0</v>
      </c>
      <c r="K12" s="67">
        <f t="shared" ref="K12:K36" si="6">+J12*(1+$K$8)</f>
        <v>0</v>
      </c>
    </row>
    <row r="13" spans="1:11">
      <c r="A13" s="117" t="s">
        <v>100</v>
      </c>
      <c r="B13" s="114">
        <v>0.23</v>
      </c>
      <c r="C13" s="115">
        <f t="shared" si="0"/>
        <v>1</v>
      </c>
      <c r="D13" s="114">
        <v>0</v>
      </c>
      <c r="E13" s="116">
        <v>0</v>
      </c>
      <c r="F13" s="67">
        <f t="shared" si="1"/>
        <v>0</v>
      </c>
      <c r="G13" s="67">
        <f t="shared" si="2"/>
        <v>0</v>
      </c>
      <c r="H13" s="67">
        <f t="shared" si="3"/>
        <v>0</v>
      </c>
      <c r="I13" s="67">
        <f t="shared" si="4"/>
        <v>0</v>
      </c>
      <c r="J13" s="67">
        <f t="shared" si="5"/>
        <v>0</v>
      </c>
      <c r="K13" s="67">
        <f t="shared" si="6"/>
        <v>0</v>
      </c>
    </row>
    <row r="14" spans="1:11">
      <c r="A14" s="117" t="s">
        <v>101</v>
      </c>
      <c r="B14" s="114">
        <v>0.23</v>
      </c>
      <c r="C14" s="115">
        <f t="shared" si="0"/>
        <v>1</v>
      </c>
      <c r="D14" s="114">
        <v>0</v>
      </c>
      <c r="E14" s="116">
        <v>0</v>
      </c>
      <c r="F14" s="67">
        <f t="shared" si="1"/>
        <v>0</v>
      </c>
      <c r="G14" s="67">
        <f t="shared" si="2"/>
        <v>0</v>
      </c>
      <c r="H14" s="67">
        <f t="shared" si="3"/>
        <v>0</v>
      </c>
      <c r="I14" s="67">
        <f t="shared" si="4"/>
        <v>0</v>
      </c>
      <c r="J14" s="67">
        <f t="shared" si="5"/>
        <v>0</v>
      </c>
      <c r="K14" s="67">
        <f t="shared" si="6"/>
        <v>0</v>
      </c>
    </row>
    <row r="15" spans="1:11">
      <c r="A15" s="117" t="s">
        <v>102</v>
      </c>
      <c r="B15" s="114">
        <v>0.06</v>
      </c>
      <c r="C15" s="115">
        <f t="shared" si="0"/>
        <v>1</v>
      </c>
      <c r="D15" s="114">
        <v>0</v>
      </c>
      <c r="E15" s="116">
        <v>0</v>
      </c>
      <c r="F15" s="67">
        <f t="shared" si="1"/>
        <v>0</v>
      </c>
      <c r="G15" s="67">
        <f t="shared" si="2"/>
        <v>0</v>
      </c>
      <c r="H15" s="67">
        <f t="shared" si="3"/>
        <v>0</v>
      </c>
      <c r="I15" s="67">
        <f t="shared" si="4"/>
        <v>0</v>
      </c>
      <c r="J15" s="67">
        <f t="shared" si="5"/>
        <v>0</v>
      </c>
      <c r="K15" s="67">
        <f t="shared" si="6"/>
        <v>0</v>
      </c>
    </row>
    <row r="16" spans="1:11">
      <c r="A16" s="117" t="s">
        <v>103</v>
      </c>
      <c r="B16" s="114">
        <v>0.23</v>
      </c>
      <c r="C16" s="115">
        <f t="shared" si="0"/>
        <v>1</v>
      </c>
      <c r="D16" s="114">
        <v>0</v>
      </c>
      <c r="E16" s="116">
        <v>0</v>
      </c>
      <c r="F16" s="67">
        <f t="shared" si="1"/>
        <v>0</v>
      </c>
      <c r="G16" s="67">
        <f t="shared" si="2"/>
        <v>0</v>
      </c>
      <c r="H16" s="67">
        <f t="shared" si="3"/>
        <v>0</v>
      </c>
      <c r="I16" s="67">
        <f t="shared" si="4"/>
        <v>0</v>
      </c>
      <c r="J16" s="67">
        <f t="shared" si="5"/>
        <v>0</v>
      </c>
      <c r="K16" s="67">
        <f t="shared" si="6"/>
        <v>0</v>
      </c>
    </row>
    <row r="17" spans="1:11">
      <c r="A17" s="117" t="s">
        <v>104</v>
      </c>
      <c r="B17" s="114">
        <v>0.23</v>
      </c>
      <c r="C17" s="115">
        <f t="shared" si="0"/>
        <v>1</v>
      </c>
      <c r="D17" s="114">
        <v>0</v>
      </c>
      <c r="E17" s="116">
        <v>0</v>
      </c>
      <c r="F17" s="67">
        <f t="shared" si="1"/>
        <v>0</v>
      </c>
      <c r="G17" s="67">
        <f t="shared" si="2"/>
        <v>0</v>
      </c>
      <c r="H17" s="67">
        <f t="shared" si="3"/>
        <v>0</v>
      </c>
      <c r="I17" s="67">
        <f t="shared" si="4"/>
        <v>0</v>
      </c>
      <c r="J17" s="67">
        <f t="shared" si="5"/>
        <v>0</v>
      </c>
      <c r="K17" s="67">
        <f t="shared" si="6"/>
        <v>0</v>
      </c>
    </row>
    <row r="18" spans="1:11">
      <c r="A18" s="117" t="s">
        <v>105</v>
      </c>
      <c r="B18" s="114">
        <v>0.06</v>
      </c>
      <c r="C18" s="115">
        <f t="shared" si="0"/>
        <v>0</v>
      </c>
      <c r="D18" s="114">
        <v>1</v>
      </c>
      <c r="E18" s="116">
        <v>0</v>
      </c>
      <c r="F18" s="67">
        <f t="shared" si="1"/>
        <v>0</v>
      </c>
      <c r="G18" s="67">
        <f t="shared" si="2"/>
        <v>0</v>
      </c>
      <c r="H18" s="67">
        <f t="shared" si="3"/>
        <v>0</v>
      </c>
      <c r="I18" s="67">
        <f t="shared" si="4"/>
        <v>0</v>
      </c>
      <c r="J18" s="67">
        <f t="shared" si="5"/>
        <v>0</v>
      </c>
      <c r="K18" s="67">
        <f t="shared" si="6"/>
        <v>0</v>
      </c>
    </row>
    <row r="19" spans="1:11">
      <c r="A19" s="117" t="s">
        <v>106</v>
      </c>
      <c r="B19" s="114">
        <v>0.23</v>
      </c>
      <c r="C19" s="115">
        <f t="shared" si="0"/>
        <v>0.5</v>
      </c>
      <c r="D19" s="114">
        <v>0.5</v>
      </c>
      <c r="E19" s="116">
        <v>0</v>
      </c>
      <c r="F19" s="67">
        <f t="shared" si="1"/>
        <v>0</v>
      </c>
      <c r="G19" s="67">
        <f t="shared" si="2"/>
        <v>0</v>
      </c>
      <c r="H19" s="67">
        <f t="shared" si="3"/>
        <v>0</v>
      </c>
      <c r="I19" s="67">
        <f t="shared" si="4"/>
        <v>0</v>
      </c>
      <c r="J19" s="67">
        <f t="shared" si="5"/>
        <v>0</v>
      </c>
      <c r="K19" s="67">
        <f t="shared" si="6"/>
        <v>0</v>
      </c>
    </row>
    <row r="20" spans="1:11">
      <c r="A20" s="117" t="s">
        <v>107</v>
      </c>
      <c r="B20" s="114">
        <v>0.23</v>
      </c>
      <c r="C20" s="115">
        <f t="shared" si="0"/>
        <v>0</v>
      </c>
      <c r="D20" s="114">
        <v>1</v>
      </c>
      <c r="E20" s="116">
        <v>0</v>
      </c>
      <c r="F20" s="67">
        <f t="shared" si="1"/>
        <v>0</v>
      </c>
      <c r="G20" s="67">
        <f t="shared" si="2"/>
        <v>0</v>
      </c>
      <c r="H20" s="67">
        <f t="shared" si="3"/>
        <v>0</v>
      </c>
      <c r="I20" s="67">
        <f t="shared" si="4"/>
        <v>0</v>
      </c>
      <c r="J20" s="67">
        <f t="shared" si="5"/>
        <v>0</v>
      </c>
      <c r="K20" s="67">
        <f t="shared" si="6"/>
        <v>0</v>
      </c>
    </row>
    <row r="21" spans="1:11">
      <c r="A21" s="117" t="s">
        <v>108</v>
      </c>
      <c r="B21" s="114">
        <v>0.23</v>
      </c>
      <c r="C21" s="115">
        <v>1</v>
      </c>
      <c r="D21" s="114">
        <v>0</v>
      </c>
      <c r="E21" s="116">
        <v>2.08</v>
      </c>
      <c r="F21" s="67">
        <f t="shared" si="1"/>
        <v>6.24</v>
      </c>
      <c r="G21" s="67">
        <f t="shared" si="2"/>
        <v>39.936000000000007</v>
      </c>
      <c r="H21" s="67">
        <f t="shared" si="3"/>
        <v>51.916800000000009</v>
      </c>
      <c r="I21" s="67">
        <f t="shared" si="4"/>
        <v>64.896000000000015</v>
      </c>
      <c r="J21" s="67">
        <f t="shared" si="5"/>
        <v>74.630400000000009</v>
      </c>
      <c r="K21" s="67">
        <f t="shared" si="6"/>
        <v>82.093440000000015</v>
      </c>
    </row>
    <row r="22" spans="1:11">
      <c r="A22" s="117" t="s">
        <v>109</v>
      </c>
      <c r="B22" s="114">
        <v>0.23</v>
      </c>
      <c r="C22" s="115">
        <f t="shared" si="0"/>
        <v>0</v>
      </c>
      <c r="D22" s="114">
        <v>1</v>
      </c>
      <c r="E22" s="116">
        <v>0</v>
      </c>
      <c r="F22" s="67">
        <f t="shared" si="1"/>
        <v>0</v>
      </c>
      <c r="G22" s="67">
        <f t="shared" si="2"/>
        <v>0</v>
      </c>
      <c r="H22" s="67">
        <f t="shared" si="3"/>
        <v>0</v>
      </c>
      <c r="I22" s="67">
        <f t="shared" si="4"/>
        <v>0</v>
      </c>
      <c r="J22" s="67">
        <f t="shared" si="5"/>
        <v>0</v>
      </c>
      <c r="K22" s="67">
        <f t="shared" si="6"/>
        <v>0</v>
      </c>
    </row>
    <row r="23" spans="1:11">
      <c r="A23" s="117" t="s">
        <v>110</v>
      </c>
      <c r="B23" s="114">
        <v>0.23</v>
      </c>
      <c r="C23" s="115">
        <f t="shared" si="0"/>
        <v>1</v>
      </c>
      <c r="D23" s="114">
        <v>0</v>
      </c>
      <c r="E23" s="116">
        <v>0</v>
      </c>
      <c r="F23" s="67">
        <f t="shared" si="1"/>
        <v>0</v>
      </c>
      <c r="G23" s="67">
        <f t="shared" si="2"/>
        <v>0</v>
      </c>
      <c r="H23" s="67">
        <f t="shared" si="3"/>
        <v>0</v>
      </c>
      <c r="I23" s="67">
        <f t="shared" si="4"/>
        <v>0</v>
      </c>
      <c r="J23" s="67">
        <f t="shared" si="5"/>
        <v>0</v>
      </c>
      <c r="K23" s="67">
        <f t="shared" si="6"/>
        <v>0</v>
      </c>
    </row>
    <row r="24" spans="1:11">
      <c r="A24" s="117" t="s">
        <v>111</v>
      </c>
      <c r="B24" s="114">
        <v>0.23</v>
      </c>
      <c r="C24" s="115">
        <f t="shared" si="0"/>
        <v>1</v>
      </c>
      <c r="D24" s="114">
        <v>0</v>
      </c>
      <c r="E24" s="116">
        <v>0</v>
      </c>
      <c r="F24" s="67">
        <f t="shared" si="1"/>
        <v>0</v>
      </c>
      <c r="G24" s="67">
        <f t="shared" si="2"/>
        <v>0</v>
      </c>
      <c r="H24" s="67">
        <f t="shared" si="3"/>
        <v>0</v>
      </c>
      <c r="I24" s="67">
        <f t="shared" si="4"/>
        <v>0</v>
      </c>
      <c r="J24" s="67">
        <f t="shared" si="5"/>
        <v>0</v>
      </c>
      <c r="K24" s="67">
        <f t="shared" si="6"/>
        <v>0</v>
      </c>
    </row>
    <row r="25" spans="1:11">
      <c r="A25" s="117" t="s">
        <v>112</v>
      </c>
      <c r="B25" s="114">
        <v>0.23</v>
      </c>
      <c r="C25" s="115">
        <f t="shared" si="0"/>
        <v>0</v>
      </c>
      <c r="D25" s="114">
        <v>1</v>
      </c>
      <c r="E25" s="116">
        <v>0</v>
      </c>
      <c r="F25" s="67">
        <f t="shared" si="1"/>
        <v>0</v>
      </c>
      <c r="G25" s="67">
        <f t="shared" si="2"/>
        <v>0</v>
      </c>
      <c r="H25" s="67">
        <f t="shared" si="3"/>
        <v>0</v>
      </c>
      <c r="I25" s="67">
        <f t="shared" si="4"/>
        <v>0</v>
      </c>
      <c r="J25" s="67">
        <f t="shared" si="5"/>
        <v>0</v>
      </c>
      <c r="K25" s="67">
        <f t="shared" si="6"/>
        <v>0</v>
      </c>
    </row>
    <row r="26" spans="1:11">
      <c r="A26" s="117" t="s">
        <v>113</v>
      </c>
      <c r="B26" s="114">
        <v>0.23</v>
      </c>
      <c r="C26" s="115">
        <v>0.6</v>
      </c>
      <c r="D26" s="114">
        <v>0.4</v>
      </c>
      <c r="E26" s="116">
        <v>120</v>
      </c>
      <c r="F26" s="67">
        <f t="shared" si="1"/>
        <v>360</v>
      </c>
      <c r="G26" s="67">
        <f t="shared" si="2"/>
        <v>2304</v>
      </c>
      <c r="H26" s="67">
        <f t="shared" si="3"/>
        <v>2995.2000000000003</v>
      </c>
      <c r="I26" s="67">
        <f t="shared" si="4"/>
        <v>3744.0000000000005</v>
      </c>
      <c r="J26" s="67">
        <f t="shared" si="5"/>
        <v>4305.6000000000004</v>
      </c>
      <c r="K26" s="67">
        <f t="shared" si="6"/>
        <v>4736.1600000000008</v>
      </c>
    </row>
    <row r="27" spans="1:11">
      <c r="A27" s="117" t="s">
        <v>405</v>
      </c>
      <c r="B27" s="114">
        <v>0.23</v>
      </c>
      <c r="C27" s="115">
        <f t="shared" si="0"/>
        <v>0.25</v>
      </c>
      <c r="D27" s="114">
        <v>0.75</v>
      </c>
      <c r="E27" s="116">
        <v>0</v>
      </c>
      <c r="F27" s="67">
        <f t="shared" si="1"/>
        <v>0</v>
      </c>
      <c r="G27" s="67">
        <f t="shared" si="2"/>
        <v>0</v>
      </c>
      <c r="H27" s="67">
        <f t="shared" si="3"/>
        <v>0</v>
      </c>
      <c r="I27" s="67">
        <f t="shared" si="4"/>
        <v>0</v>
      </c>
      <c r="J27" s="67">
        <f t="shared" si="5"/>
        <v>0</v>
      </c>
      <c r="K27" s="67">
        <f t="shared" si="6"/>
        <v>0</v>
      </c>
    </row>
    <row r="28" spans="1:11">
      <c r="A28" s="117" t="s">
        <v>114</v>
      </c>
      <c r="B28" s="114">
        <v>0.23</v>
      </c>
      <c r="C28" s="115">
        <f t="shared" si="0"/>
        <v>0</v>
      </c>
      <c r="D28" s="114">
        <v>1</v>
      </c>
      <c r="E28" s="116">
        <v>0</v>
      </c>
      <c r="F28" s="67">
        <f t="shared" si="1"/>
        <v>0</v>
      </c>
      <c r="G28" s="67">
        <f t="shared" si="2"/>
        <v>0</v>
      </c>
      <c r="H28" s="67">
        <f t="shared" si="3"/>
        <v>0</v>
      </c>
      <c r="I28" s="67">
        <f t="shared" si="4"/>
        <v>0</v>
      </c>
      <c r="J28" s="67">
        <f t="shared" si="5"/>
        <v>0</v>
      </c>
      <c r="K28" s="67">
        <f t="shared" si="6"/>
        <v>0</v>
      </c>
    </row>
    <row r="29" spans="1:11">
      <c r="A29" s="117" t="s">
        <v>115</v>
      </c>
      <c r="B29" s="114">
        <v>0</v>
      </c>
      <c r="C29" s="115">
        <f t="shared" si="0"/>
        <v>1</v>
      </c>
      <c r="D29" s="114">
        <v>0</v>
      </c>
      <c r="E29" s="116">
        <v>0</v>
      </c>
      <c r="F29" s="67">
        <f t="shared" si="1"/>
        <v>0</v>
      </c>
      <c r="G29" s="67">
        <f t="shared" si="2"/>
        <v>0</v>
      </c>
      <c r="H29" s="67">
        <f t="shared" si="3"/>
        <v>0</v>
      </c>
      <c r="I29" s="67">
        <f t="shared" si="4"/>
        <v>0</v>
      </c>
      <c r="J29" s="67">
        <f t="shared" si="5"/>
        <v>0</v>
      </c>
      <c r="K29" s="67">
        <f t="shared" si="6"/>
        <v>0</v>
      </c>
    </row>
    <row r="30" spans="1:11">
      <c r="A30" s="117" t="s">
        <v>116</v>
      </c>
      <c r="B30" s="114">
        <v>0.23</v>
      </c>
      <c r="C30" s="115">
        <f t="shared" si="0"/>
        <v>0</v>
      </c>
      <c r="D30" s="114">
        <v>1</v>
      </c>
      <c r="E30" s="116">
        <v>60</v>
      </c>
      <c r="F30" s="67">
        <f t="shared" si="1"/>
        <v>180</v>
      </c>
      <c r="G30" s="67">
        <f t="shared" si="2"/>
        <v>1152</v>
      </c>
      <c r="H30" s="67">
        <f t="shared" si="3"/>
        <v>1497.6000000000001</v>
      </c>
      <c r="I30" s="67">
        <f t="shared" si="4"/>
        <v>1872.0000000000002</v>
      </c>
      <c r="J30" s="67">
        <f t="shared" si="5"/>
        <v>2152.8000000000002</v>
      </c>
      <c r="K30" s="67">
        <f t="shared" si="6"/>
        <v>2368.0800000000004</v>
      </c>
    </row>
    <row r="31" spans="1:11">
      <c r="A31" s="117" t="s">
        <v>117</v>
      </c>
      <c r="B31" s="114">
        <v>0.23</v>
      </c>
      <c r="C31" s="115">
        <f t="shared" si="0"/>
        <v>0.5</v>
      </c>
      <c r="D31" s="114">
        <v>0.5</v>
      </c>
      <c r="E31" s="116">
        <v>15</v>
      </c>
      <c r="F31" s="67">
        <f t="shared" si="1"/>
        <v>45</v>
      </c>
      <c r="G31" s="67">
        <f t="shared" si="2"/>
        <v>288</v>
      </c>
      <c r="H31" s="67">
        <f t="shared" si="3"/>
        <v>374.40000000000003</v>
      </c>
      <c r="I31" s="67">
        <f t="shared" si="4"/>
        <v>468.00000000000006</v>
      </c>
      <c r="J31" s="67">
        <f t="shared" si="5"/>
        <v>538.20000000000005</v>
      </c>
      <c r="K31" s="67">
        <f t="shared" si="6"/>
        <v>592.0200000000001</v>
      </c>
    </row>
    <row r="32" spans="1:11">
      <c r="A32" s="117" t="s">
        <v>118</v>
      </c>
      <c r="B32" s="114">
        <v>0.23</v>
      </c>
      <c r="C32" s="115">
        <f t="shared" si="0"/>
        <v>0</v>
      </c>
      <c r="D32" s="114">
        <v>1</v>
      </c>
      <c r="E32" s="116">
        <v>500</v>
      </c>
      <c r="F32" s="67">
        <f t="shared" si="1"/>
        <v>1500</v>
      </c>
      <c r="G32" s="67">
        <f t="shared" si="2"/>
        <v>9600</v>
      </c>
      <c r="H32" s="67">
        <f t="shared" si="3"/>
        <v>12480</v>
      </c>
      <c r="I32" s="67">
        <f t="shared" si="4"/>
        <v>15600</v>
      </c>
      <c r="J32" s="67">
        <f t="shared" si="5"/>
        <v>17940</v>
      </c>
      <c r="K32" s="67">
        <f t="shared" si="6"/>
        <v>19734</v>
      </c>
    </row>
    <row r="33" spans="1:11">
      <c r="A33" s="117" t="s">
        <v>119</v>
      </c>
      <c r="B33" s="114">
        <v>0.23</v>
      </c>
      <c r="C33" s="115">
        <f t="shared" si="0"/>
        <v>1</v>
      </c>
      <c r="D33" s="114">
        <v>0</v>
      </c>
      <c r="E33" s="116">
        <v>60</v>
      </c>
      <c r="F33" s="67">
        <f t="shared" si="1"/>
        <v>180</v>
      </c>
      <c r="G33" s="67">
        <f t="shared" si="2"/>
        <v>1152</v>
      </c>
      <c r="H33" s="67">
        <f t="shared" si="3"/>
        <v>1497.6000000000001</v>
      </c>
      <c r="I33" s="67">
        <f t="shared" si="4"/>
        <v>1872.0000000000002</v>
      </c>
      <c r="J33" s="67">
        <f t="shared" si="5"/>
        <v>2152.8000000000002</v>
      </c>
      <c r="K33" s="67">
        <f t="shared" si="6"/>
        <v>2368.0800000000004</v>
      </c>
    </row>
    <row r="34" spans="1:11">
      <c r="A34" s="117" t="s">
        <v>120</v>
      </c>
      <c r="B34" s="114">
        <v>0.23</v>
      </c>
      <c r="C34" s="115">
        <f t="shared" si="0"/>
        <v>1</v>
      </c>
      <c r="D34" s="114">
        <v>0</v>
      </c>
      <c r="E34" s="116">
        <v>0</v>
      </c>
      <c r="F34" s="67">
        <f t="shared" si="1"/>
        <v>0</v>
      </c>
      <c r="G34" s="67">
        <f t="shared" si="2"/>
        <v>0</v>
      </c>
      <c r="H34" s="67">
        <f t="shared" si="3"/>
        <v>0</v>
      </c>
      <c r="I34" s="67">
        <f t="shared" si="4"/>
        <v>0</v>
      </c>
      <c r="J34" s="67">
        <f t="shared" si="5"/>
        <v>0</v>
      </c>
      <c r="K34" s="67">
        <f t="shared" si="6"/>
        <v>0</v>
      </c>
    </row>
    <row r="35" spans="1:11">
      <c r="A35" s="117" t="s">
        <v>121</v>
      </c>
      <c r="B35" s="114">
        <v>0.23</v>
      </c>
      <c r="C35" s="115">
        <f t="shared" si="0"/>
        <v>0.7</v>
      </c>
      <c r="D35" s="114">
        <v>0.3</v>
      </c>
      <c r="E35" s="116">
        <v>0</v>
      </c>
      <c r="F35" s="67">
        <f t="shared" si="1"/>
        <v>0</v>
      </c>
      <c r="G35" s="67">
        <f t="shared" si="2"/>
        <v>0</v>
      </c>
      <c r="H35" s="67">
        <f t="shared" si="3"/>
        <v>0</v>
      </c>
      <c r="I35" s="67">
        <f t="shared" si="4"/>
        <v>0</v>
      </c>
      <c r="J35" s="67">
        <f t="shared" si="5"/>
        <v>0</v>
      </c>
      <c r="K35" s="67">
        <f t="shared" si="6"/>
        <v>0</v>
      </c>
    </row>
    <row r="36" spans="1:11">
      <c r="A36" s="117" t="s">
        <v>122</v>
      </c>
      <c r="B36" s="114">
        <v>0.23</v>
      </c>
      <c r="C36" s="115">
        <f t="shared" si="0"/>
        <v>0</v>
      </c>
      <c r="D36" s="114">
        <v>1</v>
      </c>
      <c r="E36" s="116">
        <v>0</v>
      </c>
      <c r="F36" s="67">
        <f t="shared" si="1"/>
        <v>0</v>
      </c>
      <c r="G36" s="67">
        <f t="shared" si="2"/>
        <v>0</v>
      </c>
      <c r="H36" s="67">
        <f t="shared" si="3"/>
        <v>0</v>
      </c>
      <c r="I36" s="67">
        <f t="shared" si="4"/>
        <v>0</v>
      </c>
      <c r="J36" s="67">
        <f t="shared" si="5"/>
        <v>0</v>
      </c>
      <c r="K36" s="67">
        <f t="shared" si="6"/>
        <v>0</v>
      </c>
    </row>
    <row r="37" spans="1:11" ht="15" customHeight="1">
      <c r="A37" s="377" t="s">
        <v>123</v>
      </c>
      <c r="B37" s="377"/>
      <c r="C37" s="377"/>
      <c r="D37" s="377"/>
      <c r="E37" s="377"/>
      <c r="F37" s="72">
        <f t="shared" ref="F37:K37" si="7">SUM(F12:F36)</f>
        <v>2271.2399999999998</v>
      </c>
      <c r="G37" s="72">
        <f t="shared" si="7"/>
        <v>14535.936</v>
      </c>
      <c r="H37" s="72">
        <f t="shared" si="7"/>
        <v>18896.716799999998</v>
      </c>
      <c r="I37" s="72">
        <f t="shared" si="7"/>
        <v>23620.896000000001</v>
      </c>
      <c r="J37" s="72">
        <f t="shared" si="7"/>
        <v>27164.0304</v>
      </c>
      <c r="K37" s="72">
        <f t="shared" si="7"/>
        <v>29880.433440000001</v>
      </c>
    </row>
    <row r="39" spans="1:11">
      <c r="A39" s="16" t="s">
        <v>77</v>
      </c>
    </row>
    <row r="40" spans="1:11">
      <c r="A40" s="378" t="s">
        <v>124</v>
      </c>
      <c r="B40" s="378"/>
      <c r="C40" s="378"/>
      <c r="D40" s="378"/>
      <c r="E40" s="378"/>
      <c r="F40" s="67">
        <f t="shared" ref="F40:K40" si="8">(F12*$C$12)+(F13*$C$13)+(F14*$C$14)+(F15*$C$15)+(F16*$C$16)+(F17*$C$17)+(F18*$C$18)+(F19*$C$19)+(F20*$C$20)+(F21*$C$21)+(F22*$C$22)+(F23*$C$23)+(F24*$C$24)+(F25*$C$25)+(F26*$C$26)+(F27*$C$27)+(F28*$C$28)+(F29*$C$29)+(F30*$C$30)+(F31*$C$31)+(F32*$C$32)+(F33*$C$33)+(F34*$C$34)+(F35*$C$35)+(F36*$C$36)</f>
        <v>424.74</v>
      </c>
      <c r="G40" s="67">
        <f t="shared" si="8"/>
        <v>2718.3359999999998</v>
      </c>
      <c r="H40" s="67">
        <f t="shared" si="8"/>
        <v>3533.8368</v>
      </c>
      <c r="I40" s="67">
        <f t="shared" si="8"/>
        <v>4417.2960000000003</v>
      </c>
      <c r="J40" s="67">
        <f t="shared" si="8"/>
        <v>5079.8904000000002</v>
      </c>
      <c r="K40" s="67">
        <f t="shared" si="8"/>
        <v>5587.8794400000006</v>
      </c>
    </row>
    <row r="41" spans="1:11">
      <c r="F41" s="118"/>
      <c r="G41" s="118"/>
      <c r="H41" s="118"/>
      <c r="I41" s="118"/>
      <c r="J41" s="118"/>
      <c r="K41" s="118"/>
    </row>
    <row r="42" spans="1:11">
      <c r="A42" s="378" t="s">
        <v>125</v>
      </c>
      <c r="B42" s="378"/>
      <c r="C42" s="378"/>
      <c r="D42" s="378"/>
      <c r="E42" s="378"/>
      <c r="F42" s="67">
        <f t="shared" ref="F42:K42" si="9">(F12*$D$12)+(F13*$D$13)+(F14*$D$14)+(F15*$D$15)+(F16*$D$16)+(F17*$D$17)+(F18*$D$18)+(F19*$D$19)+(F20*$D$20)+(F21*$D$21)+(F22*$D$22)+(F23*$D$23)+(F24*$D$24)+(F25*$D$25)+(F26*$D$26)+(F27*$D$27)+(F28*$D$28)+(F29*$D$29)+(F30*$D$30)+(F31*$D$31)+(F32*$D$32)+(F33*$D$33)+(F34*$D$34)+(F35*$D$35)+(F36*$D$36)</f>
        <v>1846.5</v>
      </c>
      <c r="G42" s="67">
        <f t="shared" si="9"/>
        <v>11817.6</v>
      </c>
      <c r="H42" s="67">
        <f t="shared" si="9"/>
        <v>15362.880000000001</v>
      </c>
      <c r="I42" s="67">
        <f t="shared" si="9"/>
        <v>19203.599999999999</v>
      </c>
      <c r="J42" s="67">
        <f t="shared" si="9"/>
        <v>22084.14</v>
      </c>
      <c r="K42" s="67">
        <f t="shared" si="9"/>
        <v>24292.554</v>
      </c>
    </row>
    <row r="44" spans="1:11">
      <c r="A44" s="378" t="s">
        <v>126</v>
      </c>
      <c r="B44" s="378"/>
      <c r="C44" s="378"/>
      <c r="D44" s="378"/>
      <c r="E44" s="378"/>
      <c r="F44" s="61">
        <f t="shared" ref="F44:K44" si="10">+F40+F42</f>
        <v>2271.2399999999998</v>
      </c>
      <c r="G44" s="61">
        <f t="shared" si="10"/>
        <v>14535.936</v>
      </c>
      <c r="H44" s="61">
        <f t="shared" si="10"/>
        <v>18896.716800000002</v>
      </c>
      <c r="I44" s="61">
        <f t="shared" si="10"/>
        <v>23620.896000000001</v>
      </c>
      <c r="J44" s="61">
        <f t="shared" si="10"/>
        <v>27164.0304</v>
      </c>
      <c r="K44" s="61">
        <f t="shared" si="10"/>
        <v>29880.433440000001</v>
      </c>
    </row>
    <row r="46" spans="1:11">
      <c r="A46" s="369" t="s">
        <v>75</v>
      </c>
      <c r="B46" s="369"/>
      <c r="C46" s="369"/>
      <c r="D46" s="369"/>
      <c r="E46" s="369"/>
      <c r="F46" s="67">
        <f t="shared" ref="F46:K46" si="11">(F12*$B$12)+(F13*$B$13)+(F15*$B$15)+(F16*$B$16)+(F17*$B$17)+(F18*$B$18)+(F19*$B$19)+(F23*$B$23)+(F26*$B$26)+(F28*$B$28)+(F29*$B$29)+(F31*$B$31)+(F32*$B$32)+(F33*$B$33)+(F34*$B$34)+(F35*$B$35)+(F36*$B$36)</f>
        <v>479.54999999999995</v>
      </c>
      <c r="G46" s="67">
        <f t="shared" si="11"/>
        <v>3069.12</v>
      </c>
      <c r="H46" s="67">
        <f t="shared" si="11"/>
        <v>3989.8560000000002</v>
      </c>
      <c r="I46" s="67">
        <f t="shared" si="11"/>
        <v>4987.3200000000006</v>
      </c>
      <c r="J46" s="67">
        <f t="shared" si="11"/>
        <v>5735.4179999999997</v>
      </c>
      <c r="K46" s="67">
        <f t="shared" si="11"/>
        <v>6308.9598000000015</v>
      </c>
    </row>
    <row r="48" spans="1:11">
      <c r="A48" s="379" t="s">
        <v>127</v>
      </c>
      <c r="B48" s="379"/>
      <c r="C48" s="379"/>
      <c r="D48" s="379"/>
      <c r="E48" s="379"/>
      <c r="F48" s="119">
        <f t="shared" ref="F48:K48" si="12">+F44+F46</f>
        <v>2750.79</v>
      </c>
      <c r="G48" s="119">
        <f t="shared" si="12"/>
        <v>17605.056</v>
      </c>
      <c r="H48" s="119">
        <f t="shared" si="12"/>
        <v>22886.572800000002</v>
      </c>
      <c r="I48" s="119">
        <f t="shared" si="12"/>
        <v>28608.216</v>
      </c>
      <c r="J48" s="119">
        <f t="shared" si="12"/>
        <v>32899.448400000001</v>
      </c>
      <c r="K48" s="119">
        <f t="shared" si="12"/>
        <v>36189.393240000005</v>
      </c>
    </row>
    <row r="51" spans="4:4">
      <c r="D51" s="16" t="s">
        <v>77</v>
      </c>
    </row>
  </sheetData>
  <sheetProtection selectLockedCells="1" selectUnlockedCells="1"/>
  <mergeCells count="7">
    <mergeCell ref="A48:E48"/>
    <mergeCell ref="A3:K3"/>
    <mergeCell ref="A37:E37"/>
    <mergeCell ref="A40:E40"/>
    <mergeCell ref="A42:E42"/>
    <mergeCell ref="A44:E44"/>
    <mergeCell ref="A46:E46"/>
  </mergeCells>
  <printOptions horizontalCentered="1"/>
  <pageMargins left="0.75" right="0.75" top="0.39374999999999999" bottom="0.39374999999999999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showGridLines="0" zoomScale="130" zoomScaleNormal="130" workbookViewId="0">
      <selection activeCell="C45" sqref="C45"/>
    </sheetView>
  </sheetViews>
  <sheetFormatPr defaultColWidth="8.85546875" defaultRowHeight="12.75"/>
  <cols>
    <col min="1" max="1" width="30.140625" style="16" customWidth="1"/>
    <col min="2" max="2" width="15.85546875" style="16" customWidth="1"/>
    <col min="3" max="3" width="16.42578125" style="16" customWidth="1"/>
    <col min="4" max="13" width="11.42578125" style="16" customWidth="1"/>
    <col min="14" max="37" width="11.85546875" style="16" customWidth="1"/>
    <col min="38" max="16384" width="8.85546875" style="16"/>
  </cols>
  <sheetData>
    <row r="1" spans="1:9" ht="13.5">
      <c r="A1" s="104" t="str">
        <f>+VN!A1</f>
        <v>Empresa:</v>
      </c>
      <c r="B1" s="50" t="str">
        <f>+Pressupostos!B1</f>
        <v>Herbawatter</v>
      </c>
      <c r="C1" s="51"/>
      <c r="D1" s="51"/>
      <c r="E1" s="51"/>
      <c r="F1" s="51"/>
      <c r="G1" s="51"/>
      <c r="H1" s="51"/>
      <c r="I1" s="51"/>
    </row>
    <row r="2" spans="1:9" s="94" customFormat="1">
      <c r="A2" s="120"/>
      <c r="B2" s="120"/>
      <c r="C2" s="53"/>
      <c r="D2" s="53"/>
      <c r="E2" s="53"/>
      <c r="F2" s="53"/>
      <c r="G2" s="53"/>
      <c r="H2" s="53"/>
      <c r="I2" s="105" t="str">
        <f>+Pressupostos!B6</f>
        <v>(valores em euros)</v>
      </c>
    </row>
    <row r="3" spans="1:9" s="94" customFormat="1">
      <c r="A3" s="365" t="s">
        <v>128</v>
      </c>
      <c r="B3" s="365"/>
      <c r="C3" s="365"/>
      <c r="D3" s="365"/>
      <c r="E3" s="365"/>
      <c r="F3" s="365"/>
      <c r="G3" s="365"/>
      <c r="H3" s="365"/>
      <c r="I3" s="365"/>
    </row>
    <row r="4" spans="1:9" s="94" customFormat="1">
      <c r="A4" s="56"/>
      <c r="B4" s="56"/>
      <c r="C4" s="56"/>
      <c r="D4" s="56"/>
      <c r="E4" s="56"/>
      <c r="F4" s="56"/>
      <c r="G4" s="56"/>
      <c r="H4" s="56"/>
      <c r="I4" s="56"/>
    </row>
    <row r="5" spans="1:9">
      <c r="A5" s="59"/>
      <c r="B5" s="106"/>
      <c r="C5" s="106"/>
      <c r="D5" s="57">
        <f>+VN!C5</f>
        <v>2016</v>
      </c>
      <c r="E5" s="57">
        <f>+VN!D5</f>
        <v>2017</v>
      </c>
      <c r="F5" s="57">
        <f>+VN!E5</f>
        <v>2018</v>
      </c>
      <c r="G5" s="57">
        <f>+VN!F5</f>
        <v>2019</v>
      </c>
      <c r="H5" s="57">
        <f>+VN!G5</f>
        <v>2020</v>
      </c>
      <c r="I5" s="57">
        <f>+VN!H5</f>
        <v>2021</v>
      </c>
    </row>
    <row r="6" spans="1:9">
      <c r="A6" s="108" t="s">
        <v>93</v>
      </c>
      <c r="B6" s="109"/>
      <c r="C6" s="110"/>
      <c r="D6" s="121">
        <v>7</v>
      </c>
      <c r="E6" s="121">
        <v>14</v>
      </c>
      <c r="F6" s="121">
        <f>+E6</f>
        <v>14</v>
      </c>
      <c r="G6" s="121">
        <f>+F6</f>
        <v>14</v>
      </c>
      <c r="H6" s="121">
        <f>+G6</f>
        <v>14</v>
      </c>
      <c r="I6" s="121">
        <f>+H6</f>
        <v>14</v>
      </c>
    </row>
    <row r="7" spans="1:9">
      <c r="A7" s="108" t="s">
        <v>77</v>
      </c>
      <c r="B7" s="109"/>
      <c r="C7" s="110"/>
      <c r="D7" s="113">
        <v>0</v>
      </c>
      <c r="E7" s="62">
        <v>0.04</v>
      </c>
      <c r="F7" s="62">
        <v>0.08</v>
      </c>
      <c r="G7" s="62">
        <v>0.06</v>
      </c>
      <c r="H7" s="62">
        <v>0.04</v>
      </c>
      <c r="I7" s="62">
        <v>0.04</v>
      </c>
    </row>
    <row r="8" spans="1:9">
      <c r="A8" s="122"/>
      <c r="B8" s="122"/>
      <c r="C8" s="123"/>
    </row>
    <row r="9" spans="1:9">
      <c r="A9" s="122"/>
      <c r="B9" s="122"/>
      <c r="C9" s="123"/>
    </row>
    <row r="10" spans="1:9">
      <c r="A10" s="380" t="s">
        <v>129</v>
      </c>
      <c r="B10" s="380"/>
      <c r="C10" s="59" t="s">
        <v>130</v>
      </c>
      <c r="D10" s="57">
        <f>+VN!C5</f>
        <v>2016</v>
      </c>
      <c r="E10" s="57">
        <f>+VN!D5</f>
        <v>2017</v>
      </c>
      <c r="F10" s="57">
        <f>+VN!E5</f>
        <v>2018</v>
      </c>
      <c r="G10" s="57">
        <f>+VN!F5</f>
        <v>2019</v>
      </c>
      <c r="H10" s="57">
        <f>+VN!G5</f>
        <v>2020</v>
      </c>
      <c r="I10" s="57">
        <f>+VN!H5</f>
        <v>2021</v>
      </c>
    </row>
    <row r="11" spans="1:9">
      <c r="A11" s="124" t="s">
        <v>131</v>
      </c>
      <c r="B11" s="124"/>
    </row>
    <row r="12" spans="1:9">
      <c r="A12" s="381" t="s">
        <v>406</v>
      </c>
      <c r="B12" s="381"/>
      <c r="C12" s="125">
        <v>1100</v>
      </c>
      <c r="D12" s="126">
        <f>+$C$12*$D$6</f>
        <v>7700</v>
      </c>
      <c r="E12" s="67">
        <f t="shared" ref="E12:E16" si="0">+C12*$E$6*(1+$E$7)</f>
        <v>16016</v>
      </c>
      <c r="F12" s="67">
        <f t="shared" ref="F12:F16" si="1">+E12*(1+F$7)</f>
        <v>17297.280000000002</v>
      </c>
      <c r="G12" s="67">
        <f t="shared" ref="G12:G16" si="2">+F12*(1+G$7)</f>
        <v>18335.116800000003</v>
      </c>
      <c r="H12" s="67">
        <f t="shared" ref="H12:H16" si="3">+G12*(1+H$7)</f>
        <v>19068.521472000004</v>
      </c>
      <c r="I12" s="67">
        <f t="shared" ref="I12:I16" si="4">+H12*(1+I$7)</f>
        <v>19831.262330880007</v>
      </c>
    </row>
    <row r="13" spans="1:9">
      <c r="A13" s="381" t="s">
        <v>407</v>
      </c>
      <c r="B13" s="381"/>
      <c r="C13" s="125">
        <v>1100</v>
      </c>
      <c r="D13" s="126">
        <f>+$C$13*$D$6</f>
        <v>7700</v>
      </c>
      <c r="E13" s="67">
        <f t="shared" si="0"/>
        <v>16016</v>
      </c>
      <c r="F13" s="67">
        <f t="shared" si="1"/>
        <v>17297.280000000002</v>
      </c>
      <c r="G13" s="67">
        <f t="shared" si="2"/>
        <v>18335.116800000003</v>
      </c>
      <c r="H13" s="67">
        <f t="shared" si="3"/>
        <v>19068.521472000004</v>
      </c>
      <c r="I13" s="67">
        <f t="shared" si="4"/>
        <v>19831.262330880007</v>
      </c>
    </row>
    <row r="14" spans="1:9">
      <c r="A14" s="381" t="s">
        <v>408</v>
      </c>
      <c r="B14" s="381"/>
      <c r="C14" s="125">
        <v>1100</v>
      </c>
      <c r="D14" s="126">
        <f>+$C$14*$D$6</f>
        <v>7700</v>
      </c>
      <c r="E14" s="67">
        <f t="shared" si="0"/>
        <v>16016</v>
      </c>
      <c r="F14" s="67">
        <f t="shared" si="1"/>
        <v>17297.280000000002</v>
      </c>
      <c r="G14" s="67">
        <f t="shared" si="2"/>
        <v>18335.116800000003</v>
      </c>
      <c r="H14" s="67">
        <f t="shared" si="3"/>
        <v>19068.521472000004</v>
      </c>
      <c r="I14" s="67">
        <f t="shared" si="4"/>
        <v>19831.262330880007</v>
      </c>
    </row>
    <row r="15" spans="1:9">
      <c r="A15" s="381"/>
      <c r="B15" s="381"/>
      <c r="C15" s="125"/>
      <c r="D15" s="126">
        <f>+$C$15*$D$6</f>
        <v>0</v>
      </c>
      <c r="E15" s="67">
        <f t="shared" si="0"/>
        <v>0</v>
      </c>
      <c r="F15" s="67">
        <f t="shared" si="1"/>
        <v>0</v>
      </c>
      <c r="G15" s="67">
        <f t="shared" si="2"/>
        <v>0</v>
      </c>
      <c r="H15" s="67">
        <f t="shared" si="3"/>
        <v>0</v>
      </c>
      <c r="I15" s="67">
        <f t="shared" si="4"/>
        <v>0</v>
      </c>
    </row>
    <row r="16" spans="1:9">
      <c r="A16" s="381"/>
      <c r="B16" s="381"/>
      <c r="C16" s="125"/>
      <c r="D16" s="126">
        <f>+$C$16*$D$6</f>
        <v>0</v>
      </c>
      <c r="E16" s="67">
        <f t="shared" si="0"/>
        <v>0</v>
      </c>
      <c r="F16" s="67">
        <f t="shared" si="1"/>
        <v>0</v>
      </c>
      <c r="G16" s="67">
        <f t="shared" si="2"/>
        <v>0</v>
      </c>
      <c r="H16" s="67">
        <f t="shared" si="3"/>
        <v>0</v>
      </c>
      <c r="I16" s="67">
        <f t="shared" si="4"/>
        <v>0</v>
      </c>
    </row>
    <row r="17" spans="1:9">
      <c r="A17" s="127" t="s">
        <v>132</v>
      </c>
      <c r="B17" s="128"/>
      <c r="C17" s="129"/>
      <c r="D17" s="72">
        <f t="shared" ref="D17:I17" si="5">SUM(D12:D16)</f>
        <v>23100</v>
      </c>
      <c r="E17" s="72">
        <f t="shared" si="5"/>
        <v>48048</v>
      </c>
      <c r="F17" s="72">
        <f t="shared" si="5"/>
        <v>51891.840000000011</v>
      </c>
      <c r="G17" s="72">
        <f t="shared" si="5"/>
        <v>55005.35040000001</v>
      </c>
      <c r="H17" s="72">
        <f t="shared" si="5"/>
        <v>57205.564416000008</v>
      </c>
      <c r="I17" s="72">
        <f t="shared" si="5"/>
        <v>59493.786992640016</v>
      </c>
    </row>
    <row r="18" spans="1:9">
      <c r="A18" s="124" t="s">
        <v>133</v>
      </c>
      <c r="B18" s="124"/>
    </row>
    <row r="19" spans="1:9">
      <c r="A19" s="130" t="s">
        <v>134</v>
      </c>
      <c r="B19" s="130" t="s">
        <v>135</v>
      </c>
      <c r="C19" s="131" t="s">
        <v>136</v>
      </c>
    </row>
    <row r="20" spans="1:9">
      <c r="A20" s="132" t="s">
        <v>409</v>
      </c>
      <c r="B20" s="133">
        <v>2</v>
      </c>
      <c r="C20" s="125">
        <v>700</v>
      </c>
      <c r="D20" s="126">
        <f t="shared" ref="D20:D21" si="6">+B20*C20*D$6</f>
        <v>9800</v>
      </c>
      <c r="E20" s="67">
        <f>+$B$20*E6*$C$20*(1+E7)</f>
        <v>20384</v>
      </c>
      <c r="F20" s="67">
        <f>+E20*(1+F7)</f>
        <v>22014.720000000001</v>
      </c>
      <c r="G20" s="67">
        <f>+F20*(1+G7)</f>
        <v>23335.603200000001</v>
      </c>
      <c r="H20" s="67">
        <f>+G20*(1+H7)</f>
        <v>24269.027328000004</v>
      </c>
      <c r="I20" s="67">
        <f>+H20*(1+I7)</f>
        <v>25239.788421120003</v>
      </c>
    </row>
    <row r="21" spans="1:9">
      <c r="A21" s="132" t="s">
        <v>410</v>
      </c>
      <c r="B21" s="133">
        <v>1</v>
      </c>
      <c r="C21" s="125">
        <v>600</v>
      </c>
      <c r="D21" s="126">
        <f t="shared" si="6"/>
        <v>4200</v>
      </c>
      <c r="E21" s="67">
        <f>+B21*E$6*C21*(1+E$7)</f>
        <v>8736</v>
      </c>
      <c r="F21" s="67">
        <f t="shared" ref="F21:F22" si="7">+E21*(1+F$7)</f>
        <v>9434.880000000001</v>
      </c>
      <c r="G21" s="67">
        <f t="shared" ref="G21:G24" si="8">+F21*(1+G$7)</f>
        <v>10000.972800000001</v>
      </c>
      <c r="H21" s="67">
        <f t="shared" ref="H21:H24" si="9">+G21*(1+H$7)</f>
        <v>10401.011712000001</v>
      </c>
      <c r="I21" s="67">
        <f t="shared" ref="I21:I24" si="10">+H21*(1+I$7)</f>
        <v>10817.052180480001</v>
      </c>
    </row>
    <row r="22" spans="1:9">
      <c r="A22" s="132"/>
      <c r="B22" s="133"/>
      <c r="C22" s="125"/>
      <c r="D22" s="126"/>
      <c r="E22" s="67">
        <f>+B22*E$6*C22</f>
        <v>0</v>
      </c>
      <c r="F22" s="67">
        <f t="shared" si="7"/>
        <v>0</v>
      </c>
      <c r="G22" s="67">
        <f t="shared" si="8"/>
        <v>0</v>
      </c>
      <c r="H22" s="67">
        <f t="shared" si="9"/>
        <v>0</v>
      </c>
      <c r="I22" s="67">
        <f t="shared" si="10"/>
        <v>0</v>
      </c>
    </row>
    <row r="23" spans="1:9">
      <c r="A23" s="132"/>
      <c r="B23" s="133"/>
      <c r="C23" s="125"/>
      <c r="D23" s="126"/>
      <c r="E23" s="67"/>
      <c r="F23" s="67">
        <f>B23*C23*F6</f>
        <v>0</v>
      </c>
      <c r="G23" s="67">
        <f t="shared" si="8"/>
        <v>0</v>
      </c>
      <c r="H23" s="67">
        <f t="shared" si="9"/>
        <v>0</v>
      </c>
      <c r="I23" s="67">
        <f t="shared" si="10"/>
        <v>0</v>
      </c>
    </row>
    <row r="24" spans="1:9">
      <c r="A24" s="132"/>
      <c r="B24" s="133"/>
      <c r="C24" s="125"/>
      <c r="D24" s="126"/>
      <c r="E24" s="67"/>
      <c r="F24" s="67">
        <f>F23</f>
        <v>0</v>
      </c>
      <c r="G24" s="67">
        <f t="shared" si="8"/>
        <v>0</v>
      </c>
      <c r="H24" s="67">
        <f t="shared" si="9"/>
        <v>0</v>
      </c>
      <c r="I24" s="67">
        <f t="shared" si="10"/>
        <v>0</v>
      </c>
    </row>
    <row r="25" spans="1:9">
      <c r="A25" s="132"/>
      <c r="B25" s="133"/>
      <c r="C25" s="125"/>
      <c r="D25" s="126"/>
      <c r="E25" s="67"/>
      <c r="F25" s="67"/>
      <c r="G25" s="67"/>
      <c r="H25" s="67"/>
      <c r="I25" s="67"/>
    </row>
    <row r="26" spans="1:9">
      <c r="A26" s="132"/>
      <c r="B26" s="133"/>
      <c r="C26" s="125"/>
      <c r="D26" s="126">
        <f t="shared" ref="D26:D30" si="11">+B26*C26*D$6</f>
        <v>0</v>
      </c>
      <c r="E26" s="67">
        <f t="shared" ref="E26:E30" si="12">+B26*E$6*C26*(1+E$7)</f>
        <v>0</v>
      </c>
      <c r="F26" s="67">
        <f t="shared" ref="F26:F30" si="13">+E26*(1+F$7)</f>
        <v>0</v>
      </c>
      <c r="G26" s="67">
        <f t="shared" ref="G26:G30" si="14">+F26*(1+G$7)</f>
        <v>0</v>
      </c>
      <c r="H26" s="67">
        <f t="shared" ref="H26:H30" si="15">+G26*(1+H$7)</f>
        <v>0</v>
      </c>
      <c r="I26" s="67">
        <f t="shared" ref="I26:I30" si="16">+H26*(1+I$7)</f>
        <v>0</v>
      </c>
    </row>
    <row r="27" spans="1:9">
      <c r="A27" s="132"/>
      <c r="B27" s="133"/>
      <c r="C27" s="125"/>
      <c r="D27" s="126">
        <f t="shared" si="11"/>
        <v>0</v>
      </c>
      <c r="E27" s="67">
        <f t="shared" si="12"/>
        <v>0</v>
      </c>
      <c r="F27" s="67">
        <f t="shared" si="13"/>
        <v>0</v>
      </c>
      <c r="G27" s="67">
        <f t="shared" si="14"/>
        <v>0</v>
      </c>
      <c r="H27" s="67">
        <f t="shared" si="15"/>
        <v>0</v>
      </c>
      <c r="I27" s="67">
        <f t="shared" si="16"/>
        <v>0</v>
      </c>
    </row>
    <row r="28" spans="1:9">
      <c r="A28" s="132"/>
      <c r="B28" s="133"/>
      <c r="C28" s="125"/>
      <c r="D28" s="126">
        <f t="shared" si="11"/>
        <v>0</v>
      </c>
      <c r="E28" s="67">
        <f t="shared" si="12"/>
        <v>0</v>
      </c>
      <c r="F28" s="67">
        <f t="shared" si="13"/>
        <v>0</v>
      </c>
      <c r="G28" s="67">
        <f t="shared" si="14"/>
        <v>0</v>
      </c>
      <c r="H28" s="67">
        <f t="shared" si="15"/>
        <v>0</v>
      </c>
      <c r="I28" s="67">
        <f t="shared" si="16"/>
        <v>0</v>
      </c>
    </row>
    <row r="29" spans="1:9">
      <c r="A29" s="132"/>
      <c r="B29" s="133"/>
      <c r="C29" s="125"/>
      <c r="D29" s="126">
        <f t="shared" si="11"/>
        <v>0</v>
      </c>
      <c r="E29" s="67">
        <f t="shared" si="12"/>
        <v>0</v>
      </c>
      <c r="F29" s="67">
        <f t="shared" si="13"/>
        <v>0</v>
      </c>
      <c r="G29" s="67">
        <f t="shared" si="14"/>
        <v>0</v>
      </c>
      <c r="H29" s="67">
        <f t="shared" si="15"/>
        <v>0</v>
      </c>
      <c r="I29" s="67">
        <f t="shared" si="16"/>
        <v>0</v>
      </c>
    </row>
    <row r="30" spans="1:9">
      <c r="A30" s="132"/>
      <c r="B30" s="133"/>
      <c r="C30" s="125"/>
      <c r="D30" s="126">
        <f t="shared" si="11"/>
        <v>0</v>
      </c>
      <c r="E30" s="67">
        <f t="shared" si="12"/>
        <v>0</v>
      </c>
      <c r="F30" s="67">
        <f t="shared" si="13"/>
        <v>0</v>
      </c>
      <c r="G30" s="67">
        <f t="shared" si="14"/>
        <v>0</v>
      </c>
      <c r="H30" s="67">
        <f t="shared" si="15"/>
        <v>0</v>
      </c>
      <c r="I30" s="67">
        <f t="shared" si="16"/>
        <v>0</v>
      </c>
    </row>
    <row r="31" spans="1:9">
      <c r="A31" s="127" t="s">
        <v>132</v>
      </c>
      <c r="B31" s="134">
        <f>SUM(B20:B30)</f>
        <v>3</v>
      </c>
      <c r="C31" s="129"/>
      <c r="D31" s="72">
        <f t="shared" ref="D31:I31" si="17">SUM(D20:D30)</f>
        <v>14000</v>
      </c>
      <c r="E31" s="72">
        <f t="shared" si="17"/>
        <v>29120</v>
      </c>
      <c r="F31" s="72">
        <f t="shared" si="17"/>
        <v>31449.600000000002</v>
      </c>
      <c r="G31" s="72">
        <f t="shared" si="17"/>
        <v>33336.576000000001</v>
      </c>
      <c r="H31" s="72">
        <f t="shared" si="17"/>
        <v>34670.039040000003</v>
      </c>
      <c r="I31" s="72">
        <f t="shared" si="17"/>
        <v>36056.840601600008</v>
      </c>
    </row>
    <row r="32" spans="1:9">
      <c r="A32" s="135"/>
      <c r="B32" s="135"/>
      <c r="C32" s="136"/>
      <c r="D32" s="137"/>
      <c r="E32" s="137"/>
      <c r="F32" s="137"/>
      <c r="G32" s="137"/>
      <c r="H32" s="137"/>
      <c r="I32" s="137"/>
    </row>
    <row r="33" spans="1:9" ht="14.25" customHeight="1">
      <c r="A33" s="379" t="s">
        <v>137</v>
      </c>
      <c r="B33" s="379"/>
      <c r="C33" s="379"/>
      <c r="D33" s="72">
        <f t="shared" ref="D33:I33" si="18">+D17+D31</f>
        <v>37100</v>
      </c>
      <c r="E33" s="72">
        <f t="shared" si="18"/>
        <v>77168</v>
      </c>
      <c r="F33" s="72">
        <f t="shared" si="18"/>
        <v>83341.440000000017</v>
      </c>
      <c r="G33" s="72">
        <f t="shared" si="18"/>
        <v>88341.926400000011</v>
      </c>
      <c r="H33" s="72">
        <f t="shared" si="18"/>
        <v>91875.603456000012</v>
      </c>
      <c r="I33" s="72">
        <f t="shared" si="18"/>
        <v>95550.627594240024</v>
      </c>
    </row>
    <row r="34" spans="1:9" s="94" customFormat="1">
      <c r="A34" s="81"/>
      <c r="B34" s="81"/>
      <c r="C34" s="81"/>
      <c r="D34" s="81"/>
      <c r="E34" s="81"/>
      <c r="F34" s="81"/>
      <c r="G34" s="81"/>
      <c r="H34" s="81"/>
      <c r="I34" s="81"/>
    </row>
    <row r="35" spans="1:9" s="94" customFormat="1">
      <c r="A35" s="81"/>
      <c r="B35" s="81"/>
      <c r="C35" s="81"/>
      <c r="D35" s="81"/>
      <c r="E35" s="81"/>
      <c r="F35" s="81"/>
      <c r="G35" s="81"/>
      <c r="H35" s="81"/>
      <c r="I35" s="81"/>
    </row>
    <row r="36" spans="1:9">
      <c r="A36" s="127" t="s">
        <v>138</v>
      </c>
      <c r="B36" s="128"/>
      <c r="C36" s="129"/>
      <c r="D36" s="72">
        <f t="shared" ref="D36:I36" si="19">COUNTIF(D12:D16,"&gt;0")+COUNTIF(D20:D30,"&gt;0")</f>
        <v>5</v>
      </c>
      <c r="E36" s="72">
        <f t="shared" si="19"/>
        <v>5</v>
      </c>
      <c r="F36" s="72">
        <f t="shared" si="19"/>
        <v>5</v>
      </c>
      <c r="G36" s="72">
        <f t="shared" si="19"/>
        <v>5</v>
      </c>
      <c r="H36" s="72">
        <f t="shared" si="19"/>
        <v>5</v>
      </c>
      <c r="I36" s="72">
        <f t="shared" si="19"/>
        <v>5</v>
      </c>
    </row>
    <row r="37" spans="1:9">
      <c r="A37" s="16" t="s">
        <v>77</v>
      </c>
      <c r="C37" s="136"/>
      <c r="D37" s="137"/>
      <c r="E37" s="137"/>
      <c r="F37" s="137"/>
      <c r="G37" s="137"/>
      <c r="H37" s="137"/>
      <c r="I37" s="137"/>
    </row>
    <row r="38" spans="1:9">
      <c r="C38" s="136"/>
      <c r="D38" s="137"/>
      <c r="E38" s="137"/>
      <c r="F38" s="137"/>
      <c r="G38" s="137"/>
      <c r="H38" s="137"/>
      <c r="I38" s="137"/>
    </row>
    <row r="39" spans="1:9">
      <c r="A39" s="380" t="s">
        <v>139</v>
      </c>
      <c r="B39" s="380"/>
      <c r="C39" s="380"/>
      <c r="D39" s="57">
        <f t="shared" ref="D39:I39" si="20">+D5</f>
        <v>2016</v>
      </c>
      <c r="E39" s="57">
        <f t="shared" si="20"/>
        <v>2017</v>
      </c>
      <c r="F39" s="57">
        <f t="shared" si="20"/>
        <v>2018</v>
      </c>
      <c r="G39" s="57">
        <f t="shared" si="20"/>
        <v>2019</v>
      </c>
      <c r="H39" s="57">
        <f t="shared" si="20"/>
        <v>2020</v>
      </c>
      <c r="I39" s="57">
        <f t="shared" si="20"/>
        <v>2021</v>
      </c>
    </row>
    <row r="40" spans="1:9">
      <c r="A40" s="138" t="s">
        <v>140</v>
      </c>
      <c r="B40" s="139"/>
      <c r="C40" s="107"/>
      <c r="D40" s="107"/>
      <c r="E40" s="107"/>
      <c r="F40" s="107"/>
      <c r="G40" s="107"/>
      <c r="H40" s="107"/>
      <c r="I40" s="107"/>
    </row>
    <row r="41" spans="1:9">
      <c r="A41" s="65" t="s">
        <v>141</v>
      </c>
      <c r="B41" s="140"/>
      <c r="C41" s="141">
        <v>0.21249999999999999</v>
      </c>
      <c r="D41" s="142">
        <f t="shared" ref="D41:I41" si="21">D17*$C$41</f>
        <v>4908.75</v>
      </c>
      <c r="E41" s="142">
        <f t="shared" si="21"/>
        <v>10210.199999999999</v>
      </c>
      <c r="F41" s="142">
        <f t="shared" si="21"/>
        <v>11027.016000000001</v>
      </c>
      <c r="G41" s="142">
        <f t="shared" si="21"/>
        <v>11688.636960000002</v>
      </c>
      <c r="H41" s="142">
        <f t="shared" si="21"/>
        <v>12156.182438400001</v>
      </c>
      <c r="I41" s="142">
        <f t="shared" si="21"/>
        <v>12642.429735936003</v>
      </c>
    </row>
    <row r="42" spans="1:9">
      <c r="A42" s="65" t="s">
        <v>142</v>
      </c>
      <c r="B42" s="140"/>
      <c r="C42" s="141">
        <v>0.23749999999999999</v>
      </c>
      <c r="D42" s="142">
        <f t="shared" ref="D42:I42" si="22">+D31*$C$42</f>
        <v>3325</v>
      </c>
      <c r="E42" s="142">
        <f t="shared" si="22"/>
        <v>6916</v>
      </c>
      <c r="F42" s="142">
        <f t="shared" si="22"/>
        <v>7469.28</v>
      </c>
      <c r="G42" s="142">
        <f t="shared" si="22"/>
        <v>7917.4367999999995</v>
      </c>
      <c r="H42" s="142">
        <f t="shared" si="22"/>
        <v>8234.1342720000011</v>
      </c>
      <c r="I42" s="142">
        <f t="shared" si="22"/>
        <v>8563.4996428800023</v>
      </c>
    </row>
    <row r="43" spans="1:9">
      <c r="A43" s="143" t="s">
        <v>143</v>
      </c>
      <c r="B43" s="144"/>
      <c r="C43" s="145">
        <v>0.01</v>
      </c>
      <c r="D43" s="126">
        <f t="shared" ref="D43:I43" si="23">+D33*$C$43</f>
        <v>371</v>
      </c>
      <c r="E43" s="126">
        <f t="shared" si="23"/>
        <v>771.68000000000006</v>
      </c>
      <c r="F43" s="126">
        <f t="shared" si="23"/>
        <v>833.41440000000023</v>
      </c>
      <c r="G43" s="126">
        <f t="shared" si="23"/>
        <v>883.41926400000011</v>
      </c>
      <c r="H43" s="126">
        <f t="shared" si="23"/>
        <v>918.7560345600001</v>
      </c>
      <c r="I43" s="126">
        <f t="shared" si="23"/>
        <v>955.50627594240029</v>
      </c>
    </row>
    <row r="44" spans="1:9">
      <c r="A44" s="143" t="s">
        <v>144</v>
      </c>
      <c r="B44" s="144"/>
      <c r="C44" s="146">
        <f>5.75*22</f>
        <v>126.5</v>
      </c>
      <c r="D44" s="126">
        <f>+C44*D6*D36</f>
        <v>4427.5</v>
      </c>
      <c r="E44" s="126">
        <f>+C44*(1+E7)*11*E36</f>
        <v>7235.8</v>
      </c>
      <c r="F44" s="126">
        <f>+C44*(1+E7)*(1+F7)*11*F36</f>
        <v>7814.6640000000007</v>
      </c>
      <c r="G44" s="126">
        <f>+C44*(1+E7)*(1+F7)*(1+G7)*11*G36</f>
        <v>8283.5438400000003</v>
      </c>
      <c r="H44" s="126">
        <f>C44*(1+E7)*(1+F7)*(1+G7)*(1+H7)*11*H36</f>
        <v>8614.8855936000018</v>
      </c>
      <c r="I44" s="126">
        <f>C44*(1+E7)*(1+F7)*(1+G7)*(1+H7)*(1+I7)*11*I36</f>
        <v>8959.4810173440019</v>
      </c>
    </row>
    <row r="45" spans="1:9">
      <c r="A45" s="147" t="s">
        <v>145</v>
      </c>
      <c r="B45" s="147"/>
      <c r="C45" s="148"/>
      <c r="D45" s="99"/>
      <c r="E45" s="99">
        <v>1000</v>
      </c>
      <c r="F45" s="99">
        <v>2000</v>
      </c>
      <c r="G45" s="99">
        <v>500</v>
      </c>
      <c r="H45" s="99">
        <v>500</v>
      </c>
      <c r="I45" s="99">
        <v>500</v>
      </c>
    </row>
    <row r="46" spans="1:9">
      <c r="A46" s="149" t="s">
        <v>146</v>
      </c>
      <c r="B46" s="150"/>
      <c r="C46" s="151"/>
      <c r="D46" s="152"/>
      <c r="E46" s="152"/>
      <c r="F46" s="152"/>
      <c r="G46" s="152"/>
      <c r="H46" s="152"/>
      <c r="I46" s="152"/>
    </row>
    <row r="47" spans="1:9" ht="14.25" customHeight="1">
      <c r="A47" s="379" t="s">
        <v>147</v>
      </c>
      <c r="B47" s="379"/>
      <c r="C47" s="379"/>
      <c r="D47" s="72">
        <f t="shared" ref="D47:I47" si="24">+D41+D42+D43+D44+D45+D46</f>
        <v>13032.25</v>
      </c>
      <c r="E47" s="72">
        <f t="shared" si="24"/>
        <v>26133.679999999997</v>
      </c>
      <c r="F47" s="72">
        <f t="shared" si="24"/>
        <v>29144.374400000004</v>
      </c>
      <c r="G47" s="72">
        <f t="shared" si="24"/>
        <v>29273.036864000002</v>
      </c>
      <c r="H47" s="72">
        <f t="shared" si="24"/>
        <v>30423.958338560005</v>
      </c>
      <c r="I47" s="72">
        <f t="shared" si="24"/>
        <v>31620.916672102408</v>
      </c>
    </row>
    <row r="48" spans="1:9">
      <c r="A48" s="153"/>
      <c r="B48" s="153"/>
      <c r="C48" s="154"/>
    </row>
    <row r="49" spans="1:9">
      <c r="A49" s="153"/>
      <c r="B49" s="153"/>
      <c r="C49" s="154"/>
    </row>
    <row r="50" spans="1:9">
      <c r="A50" s="379" t="s">
        <v>148</v>
      </c>
      <c r="B50" s="379"/>
      <c r="C50" s="379"/>
      <c r="D50" s="72">
        <f t="shared" ref="D50:I50" si="25">+D33+D47</f>
        <v>50132.25</v>
      </c>
      <c r="E50" s="72">
        <f t="shared" si="25"/>
        <v>103301.68</v>
      </c>
      <c r="F50" s="72">
        <f t="shared" si="25"/>
        <v>112485.81440000002</v>
      </c>
      <c r="G50" s="72">
        <f t="shared" si="25"/>
        <v>117614.96326400002</v>
      </c>
      <c r="H50" s="72">
        <f t="shared" si="25"/>
        <v>122299.56179456002</v>
      </c>
      <c r="I50" s="72">
        <f t="shared" si="25"/>
        <v>127171.54426634243</v>
      </c>
    </row>
    <row r="51" spans="1:9">
      <c r="A51" s="153"/>
      <c r="B51" s="153"/>
      <c r="C51" s="154"/>
    </row>
    <row r="52" spans="1:9">
      <c r="A52" s="153"/>
      <c r="B52" s="153"/>
      <c r="C52" s="154"/>
    </row>
    <row r="53" spans="1:9">
      <c r="A53" s="380" t="s">
        <v>149</v>
      </c>
      <c r="B53" s="380"/>
      <c r="C53" s="380"/>
      <c r="D53" s="57">
        <f t="shared" ref="D53:I53" si="26">+D5</f>
        <v>2016</v>
      </c>
      <c r="E53" s="57">
        <f t="shared" si="26"/>
        <v>2017</v>
      </c>
      <c r="F53" s="57">
        <f t="shared" si="26"/>
        <v>2018</v>
      </c>
      <c r="G53" s="57">
        <f t="shared" si="26"/>
        <v>2019</v>
      </c>
      <c r="H53" s="57">
        <f t="shared" si="26"/>
        <v>2020</v>
      </c>
      <c r="I53" s="57">
        <f t="shared" si="26"/>
        <v>2021</v>
      </c>
    </row>
    <row r="54" spans="1:9">
      <c r="A54" s="155" t="s">
        <v>150</v>
      </c>
      <c r="B54" s="110"/>
      <c r="C54" s="151"/>
      <c r="D54" s="24"/>
      <c r="E54" s="24"/>
      <c r="F54" s="24"/>
      <c r="G54" s="24"/>
      <c r="H54" s="24"/>
      <c r="I54" s="24"/>
    </row>
    <row r="55" spans="1:9">
      <c r="A55" s="65" t="s">
        <v>151</v>
      </c>
      <c r="B55" s="156"/>
      <c r="C55" s="151"/>
      <c r="D55" s="142">
        <f t="shared" ref="D55:I55" si="27">+D17</f>
        <v>23100</v>
      </c>
      <c r="E55" s="142">
        <f t="shared" si="27"/>
        <v>48048</v>
      </c>
      <c r="F55" s="142">
        <f t="shared" si="27"/>
        <v>51891.840000000011</v>
      </c>
      <c r="G55" s="142">
        <f t="shared" si="27"/>
        <v>55005.35040000001</v>
      </c>
      <c r="H55" s="142">
        <f t="shared" si="27"/>
        <v>57205.564416000008</v>
      </c>
      <c r="I55" s="142">
        <f t="shared" si="27"/>
        <v>59493.786992640016</v>
      </c>
    </row>
    <row r="56" spans="1:9">
      <c r="A56" s="65" t="s">
        <v>133</v>
      </c>
      <c r="B56" s="156"/>
      <c r="C56" s="151"/>
      <c r="D56" s="142">
        <f t="shared" ref="D56:I56" si="28">+D31</f>
        <v>14000</v>
      </c>
      <c r="E56" s="142">
        <f t="shared" si="28"/>
        <v>29120</v>
      </c>
      <c r="F56" s="142">
        <f t="shared" si="28"/>
        <v>31449.600000000002</v>
      </c>
      <c r="G56" s="142">
        <f t="shared" si="28"/>
        <v>33336.576000000001</v>
      </c>
      <c r="H56" s="142">
        <f t="shared" si="28"/>
        <v>34670.039040000003</v>
      </c>
      <c r="I56" s="142">
        <f t="shared" si="28"/>
        <v>36056.840601600008</v>
      </c>
    </row>
    <row r="57" spans="1:9">
      <c r="A57" s="155" t="s">
        <v>152</v>
      </c>
      <c r="B57" s="110"/>
      <c r="C57" s="151"/>
      <c r="D57" s="142">
        <f t="shared" ref="D57:I57" si="29">+D41+D42</f>
        <v>8233.75</v>
      </c>
      <c r="E57" s="142">
        <f t="shared" si="29"/>
        <v>17126.199999999997</v>
      </c>
      <c r="F57" s="142">
        <f t="shared" si="29"/>
        <v>18496.296000000002</v>
      </c>
      <c r="G57" s="142">
        <f t="shared" si="29"/>
        <v>19606.073759999999</v>
      </c>
      <c r="H57" s="142">
        <f t="shared" si="29"/>
        <v>20390.316710400002</v>
      </c>
      <c r="I57" s="142">
        <f t="shared" si="29"/>
        <v>21205.929378816007</v>
      </c>
    </row>
    <row r="58" spans="1:9">
      <c r="A58" s="155" t="str">
        <f>+A43</f>
        <v>Seguros Acidentes de Trabalho</v>
      </c>
      <c r="B58" s="110"/>
      <c r="C58" s="151"/>
      <c r="D58" s="142">
        <f t="shared" ref="D58:D60" si="30">+D43</f>
        <v>371</v>
      </c>
      <c r="E58" s="142">
        <f t="shared" ref="E58:E60" si="31">+E43</f>
        <v>771.68000000000006</v>
      </c>
      <c r="F58" s="142">
        <f t="shared" ref="F58:F60" si="32">+F43</f>
        <v>833.41440000000023</v>
      </c>
      <c r="G58" s="142">
        <f t="shared" ref="G58:G60" si="33">+G43</f>
        <v>883.41926400000011</v>
      </c>
      <c r="H58" s="142">
        <f t="shared" ref="H58:H60" si="34">+H43</f>
        <v>918.7560345600001</v>
      </c>
      <c r="I58" s="142">
        <f t="shared" ref="I58:I60" si="35">+I43</f>
        <v>955.50627594240029</v>
      </c>
    </row>
    <row r="59" spans="1:9">
      <c r="A59" s="155" t="s">
        <v>153</v>
      </c>
      <c r="B59" s="110"/>
      <c r="C59" s="151"/>
      <c r="D59" s="142">
        <f t="shared" si="30"/>
        <v>4427.5</v>
      </c>
      <c r="E59" s="142">
        <f t="shared" si="31"/>
        <v>7235.8</v>
      </c>
      <c r="F59" s="142">
        <f t="shared" si="32"/>
        <v>7814.6640000000007</v>
      </c>
      <c r="G59" s="142">
        <f t="shared" si="33"/>
        <v>8283.5438400000003</v>
      </c>
      <c r="H59" s="142">
        <f t="shared" si="34"/>
        <v>8614.8855936000018</v>
      </c>
      <c r="I59" s="142">
        <f t="shared" si="35"/>
        <v>8959.4810173440019</v>
      </c>
    </row>
    <row r="60" spans="1:9">
      <c r="A60" s="155" t="str">
        <f>+A45</f>
        <v xml:space="preserve">Formação </v>
      </c>
      <c r="B60" s="110"/>
      <c r="C60" s="151"/>
      <c r="D60" s="142">
        <f t="shared" si="30"/>
        <v>0</v>
      </c>
      <c r="E60" s="142">
        <f t="shared" si="31"/>
        <v>1000</v>
      </c>
      <c r="F60" s="142">
        <f t="shared" si="32"/>
        <v>2000</v>
      </c>
      <c r="G60" s="142">
        <f t="shared" si="33"/>
        <v>500</v>
      </c>
      <c r="H60" s="142">
        <f t="shared" si="34"/>
        <v>500</v>
      </c>
      <c r="I60" s="142">
        <f t="shared" si="35"/>
        <v>500</v>
      </c>
    </row>
    <row r="61" spans="1:9">
      <c r="A61" s="149" t="s">
        <v>146</v>
      </c>
      <c r="B61" s="150"/>
      <c r="C61" s="157"/>
      <c r="D61" s="158"/>
      <c r="E61" s="158"/>
      <c r="F61" s="158"/>
      <c r="G61" s="158"/>
      <c r="H61" s="158"/>
      <c r="I61" s="158"/>
    </row>
    <row r="62" spans="1:9">
      <c r="A62" s="379" t="s">
        <v>148</v>
      </c>
      <c r="B62" s="379"/>
      <c r="C62" s="379"/>
      <c r="D62" s="72">
        <f t="shared" ref="D62:I62" si="36">SUM(D55:D61)</f>
        <v>50132.25</v>
      </c>
      <c r="E62" s="72">
        <f t="shared" si="36"/>
        <v>103301.68</v>
      </c>
      <c r="F62" s="72">
        <f t="shared" si="36"/>
        <v>112485.81440000002</v>
      </c>
      <c r="G62" s="72">
        <f t="shared" si="36"/>
        <v>117614.96326400001</v>
      </c>
      <c r="H62" s="72">
        <f t="shared" si="36"/>
        <v>122299.56179456002</v>
      </c>
      <c r="I62" s="72">
        <f t="shared" si="36"/>
        <v>127171.54426634243</v>
      </c>
    </row>
    <row r="63" spans="1:9">
      <c r="A63" s="159"/>
      <c r="B63" s="159"/>
      <c r="C63" s="159"/>
      <c r="D63" s="137"/>
      <c r="E63" s="137"/>
      <c r="F63" s="137"/>
      <c r="G63" s="137"/>
      <c r="H63" s="137"/>
      <c r="I63" s="137"/>
    </row>
    <row r="64" spans="1:9">
      <c r="A64" s="153"/>
      <c r="B64" s="153"/>
    </row>
    <row r="65" spans="1:9">
      <c r="A65" s="380" t="s">
        <v>154</v>
      </c>
      <c r="B65" s="380"/>
      <c r="C65" s="380"/>
      <c r="D65" s="57"/>
      <c r="E65" s="57"/>
      <c r="F65" s="57"/>
      <c r="G65" s="57"/>
      <c r="H65" s="57"/>
      <c r="I65" s="57"/>
    </row>
    <row r="66" spans="1:9">
      <c r="A66" s="155" t="s">
        <v>155</v>
      </c>
      <c r="B66" s="110"/>
      <c r="C66" s="141"/>
      <c r="D66" s="142"/>
      <c r="E66" s="142"/>
      <c r="F66" s="142"/>
      <c r="G66" s="142"/>
      <c r="H66" s="142"/>
      <c r="I66" s="142"/>
    </row>
    <row r="67" spans="1:9">
      <c r="A67" s="65" t="s">
        <v>141</v>
      </c>
      <c r="B67" s="140"/>
      <c r="C67" s="141">
        <v>0.1</v>
      </c>
      <c r="D67" s="142">
        <f t="shared" ref="D67:I67" si="37">+$C$67*D17</f>
        <v>2310</v>
      </c>
      <c r="E67" s="142">
        <f t="shared" si="37"/>
        <v>4804.8</v>
      </c>
      <c r="F67" s="142">
        <f t="shared" si="37"/>
        <v>5189.1840000000011</v>
      </c>
      <c r="G67" s="142">
        <f t="shared" si="37"/>
        <v>5500.5350400000016</v>
      </c>
      <c r="H67" s="142">
        <f t="shared" si="37"/>
        <v>5720.5564416000016</v>
      </c>
      <c r="I67" s="142">
        <f t="shared" si="37"/>
        <v>5949.3786992640016</v>
      </c>
    </row>
    <row r="68" spans="1:9">
      <c r="A68" s="65" t="s">
        <v>142</v>
      </c>
      <c r="B68" s="140"/>
      <c r="C68" s="141">
        <v>0.11</v>
      </c>
      <c r="D68" s="142">
        <f t="shared" ref="D68:I68" si="38">+$C$68*D31</f>
        <v>1540</v>
      </c>
      <c r="E68" s="142">
        <f t="shared" si="38"/>
        <v>3203.2</v>
      </c>
      <c r="F68" s="142">
        <f t="shared" si="38"/>
        <v>3459.4560000000001</v>
      </c>
      <c r="G68" s="142">
        <f t="shared" si="38"/>
        <v>3667.0233600000001</v>
      </c>
      <c r="H68" s="142">
        <f t="shared" si="38"/>
        <v>3813.7042944000004</v>
      </c>
      <c r="I68" s="142">
        <f t="shared" si="38"/>
        <v>3966.2524661760008</v>
      </c>
    </row>
    <row r="69" spans="1:9">
      <c r="A69" s="155" t="s">
        <v>156</v>
      </c>
      <c r="B69" s="110"/>
      <c r="C69" s="141">
        <f>Pressupostos!B17</f>
        <v>0.15</v>
      </c>
      <c r="D69" s="142">
        <f t="shared" ref="D69:I69" si="39">+$C$69*(D17+D31)</f>
        <v>5565</v>
      </c>
      <c r="E69" s="142">
        <f t="shared" si="39"/>
        <v>11575.199999999999</v>
      </c>
      <c r="F69" s="142">
        <f t="shared" si="39"/>
        <v>12501.216000000002</v>
      </c>
      <c r="G69" s="142">
        <f t="shared" si="39"/>
        <v>13251.288960000002</v>
      </c>
      <c r="H69" s="142">
        <f t="shared" si="39"/>
        <v>13781.340518400002</v>
      </c>
      <c r="I69" s="142">
        <f t="shared" si="39"/>
        <v>14332.594139136003</v>
      </c>
    </row>
    <row r="70" spans="1:9">
      <c r="A70" s="379" t="s">
        <v>157</v>
      </c>
      <c r="B70" s="379"/>
      <c r="C70" s="379"/>
      <c r="D70" s="72">
        <f t="shared" ref="D70:I70" si="40">SUM(D67:D69)</f>
        <v>9415</v>
      </c>
      <c r="E70" s="72">
        <f t="shared" si="40"/>
        <v>19583.199999999997</v>
      </c>
      <c r="F70" s="72">
        <f t="shared" si="40"/>
        <v>21149.856000000003</v>
      </c>
      <c r="G70" s="72">
        <f t="shared" si="40"/>
        <v>22418.847360000003</v>
      </c>
      <c r="H70" s="72">
        <f t="shared" si="40"/>
        <v>23315.601254400004</v>
      </c>
      <c r="I70" s="72">
        <f t="shared" si="40"/>
        <v>24248.225304576004</v>
      </c>
    </row>
    <row r="71" spans="1:9">
      <c r="A71" s="26"/>
      <c r="B71" s="26"/>
      <c r="C71" s="160"/>
      <c r="D71" s="161"/>
      <c r="E71" s="161"/>
      <c r="F71" s="161"/>
      <c r="G71" s="161"/>
      <c r="H71" s="161"/>
      <c r="I71" s="161"/>
    </row>
    <row r="72" spans="1:9">
      <c r="A72" s="26"/>
      <c r="B72" s="26"/>
      <c r="C72" s="160"/>
      <c r="D72" s="26"/>
      <c r="E72" s="26"/>
      <c r="F72" s="26"/>
      <c r="G72" s="26"/>
      <c r="H72" s="26"/>
      <c r="I72" s="26"/>
    </row>
    <row r="73" spans="1:9">
      <c r="A73" s="162"/>
      <c r="B73" s="162"/>
      <c r="C73" s="160"/>
      <c r="D73" s="161"/>
      <c r="E73" s="161"/>
      <c r="F73" s="161"/>
      <c r="G73" s="161"/>
      <c r="H73" s="161"/>
      <c r="I73" s="161"/>
    </row>
  </sheetData>
  <sheetProtection selectLockedCells="1" selectUnlockedCells="1"/>
  <mergeCells count="15">
    <mergeCell ref="A62:C62"/>
    <mergeCell ref="A65:C65"/>
    <mergeCell ref="A70:C70"/>
    <mergeCell ref="A16:B16"/>
    <mergeCell ref="A33:C33"/>
    <mergeCell ref="A39:C39"/>
    <mergeCell ref="A47:C47"/>
    <mergeCell ref="A50:C50"/>
    <mergeCell ref="A53:C53"/>
    <mergeCell ref="A3:I3"/>
    <mergeCell ref="A10:B10"/>
    <mergeCell ref="A12:B12"/>
    <mergeCell ref="A13:B13"/>
    <mergeCell ref="A14:B14"/>
    <mergeCell ref="A15:B15"/>
  </mergeCells>
  <printOptions horizontalCentered="1"/>
  <pageMargins left="0.75" right="0.75" top="0.39374999999999999" bottom="0.39374999999999999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6"/>
  <sheetViews>
    <sheetView showGridLines="0" topLeftCell="A48" workbookViewId="0">
      <selection activeCell="H54" sqref="H54"/>
    </sheetView>
  </sheetViews>
  <sheetFormatPr defaultColWidth="8.85546875" defaultRowHeight="12.75"/>
  <cols>
    <col min="1" max="1" width="34.42578125" style="16" customWidth="1"/>
    <col min="2" max="2" width="8.140625" style="16" customWidth="1"/>
    <col min="3" max="8" width="11.42578125" style="16" customWidth="1"/>
    <col min="9" max="9" width="3.42578125" style="16" customWidth="1"/>
    <col min="10" max="10" width="2.85546875" style="16" customWidth="1"/>
    <col min="11" max="16384" width="8.85546875" style="16"/>
  </cols>
  <sheetData>
    <row r="1" spans="1:8" ht="13.5">
      <c r="A1" s="104" t="s">
        <v>16</v>
      </c>
      <c r="B1" s="50" t="str">
        <f>+Pressupostos!B1</f>
        <v>Herbawatter</v>
      </c>
      <c r="C1" s="51"/>
      <c r="D1" s="51"/>
      <c r="E1" s="51"/>
      <c r="F1" s="51"/>
      <c r="G1" s="51"/>
      <c r="H1" s="51"/>
    </row>
    <row r="2" spans="1:8" s="94" customFormat="1">
      <c r="A2" s="52"/>
      <c r="B2" s="53"/>
      <c r="C2" s="53"/>
      <c r="D2" s="53"/>
      <c r="E2" s="53"/>
      <c r="F2" s="53"/>
      <c r="H2" s="105" t="str">
        <f>+Pressupostos!B6</f>
        <v>(valores em euros)</v>
      </c>
    </row>
    <row r="3" spans="1:8" s="94" customFormat="1">
      <c r="A3" s="365" t="s">
        <v>158</v>
      </c>
      <c r="B3" s="365"/>
      <c r="C3" s="365"/>
      <c r="D3" s="365"/>
      <c r="E3" s="365"/>
      <c r="F3" s="365"/>
      <c r="G3" s="365"/>
      <c r="H3" s="365"/>
    </row>
    <row r="4" spans="1:8" s="94" customFormat="1">
      <c r="A4" s="56"/>
      <c r="B4" s="56"/>
      <c r="C4" s="56"/>
      <c r="D4" s="56"/>
      <c r="E4" s="56"/>
      <c r="F4" s="56"/>
      <c r="G4" s="56"/>
      <c r="H4" s="56"/>
    </row>
    <row r="6" spans="1:8">
      <c r="A6" s="382" t="s">
        <v>159</v>
      </c>
      <c r="B6" s="382"/>
      <c r="C6" s="57">
        <f>+VN!C5</f>
        <v>2016</v>
      </c>
      <c r="D6" s="57">
        <f>+VN!D5</f>
        <v>2017</v>
      </c>
      <c r="E6" s="57">
        <f>+VN!E5</f>
        <v>2018</v>
      </c>
      <c r="F6" s="57">
        <f>+VN!F5</f>
        <v>2019</v>
      </c>
      <c r="G6" s="57">
        <f>+VN!G5</f>
        <v>2020</v>
      </c>
      <c r="H6" s="57">
        <f>+VN!H5</f>
        <v>2021</v>
      </c>
    </row>
    <row r="7" spans="1:8">
      <c r="A7" s="63" t="s">
        <v>160</v>
      </c>
      <c r="B7" s="111"/>
      <c r="C7" s="163"/>
      <c r="D7" s="163"/>
      <c r="E7" s="163"/>
      <c r="F7" s="163"/>
      <c r="G7" s="163"/>
      <c r="H7" s="163"/>
    </row>
    <row r="8" spans="1:8">
      <c r="A8" s="155" t="s">
        <v>161</v>
      </c>
      <c r="B8" s="111"/>
      <c r="C8" s="116">
        <v>0</v>
      </c>
      <c r="D8" s="116">
        <v>0</v>
      </c>
      <c r="E8" s="116">
        <v>0</v>
      </c>
      <c r="F8" s="116">
        <v>0</v>
      </c>
      <c r="G8" s="116">
        <v>0</v>
      </c>
      <c r="H8" s="116">
        <v>0</v>
      </c>
    </row>
    <row r="9" spans="1:8">
      <c r="A9" s="155"/>
      <c r="B9" s="111"/>
      <c r="C9" s="116"/>
      <c r="D9" s="116"/>
      <c r="E9" s="116"/>
      <c r="F9" s="116"/>
      <c r="G9" s="116"/>
      <c r="H9" s="116"/>
    </row>
    <row r="10" spans="1:8">
      <c r="A10" s="155" t="s">
        <v>162</v>
      </c>
      <c r="B10" s="111"/>
      <c r="C10" s="116">
        <v>0</v>
      </c>
      <c r="D10" s="116">
        <v>0</v>
      </c>
      <c r="E10" s="116">
        <v>0</v>
      </c>
      <c r="F10" s="116">
        <v>0</v>
      </c>
      <c r="G10" s="116">
        <v>0</v>
      </c>
      <c r="H10" s="116">
        <v>0</v>
      </c>
    </row>
    <row r="11" spans="1:8">
      <c r="A11" s="155"/>
      <c r="B11" s="111"/>
      <c r="C11" s="116"/>
      <c r="D11" s="116"/>
      <c r="E11" s="116"/>
      <c r="F11" s="116"/>
      <c r="G11" s="116"/>
      <c r="H11" s="116"/>
    </row>
    <row r="12" spans="1:8">
      <c r="A12" s="164" t="s">
        <v>163</v>
      </c>
      <c r="B12" s="165"/>
      <c r="C12" s="166">
        <v>0</v>
      </c>
      <c r="D12" s="166">
        <v>0</v>
      </c>
      <c r="E12" s="166">
        <v>0</v>
      </c>
      <c r="F12" s="166">
        <v>0</v>
      </c>
      <c r="G12" s="166">
        <v>0</v>
      </c>
      <c r="H12" s="166">
        <v>0</v>
      </c>
    </row>
    <row r="13" spans="1:8">
      <c r="A13" s="379" t="s">
        <v>164</v>
      </c>
      <c r="B13" s="379"/>
      <c r="C13" s="72">
        <f t="shared" ref="C13:H13" si="0">SUM(C8:C12)</f>
        <v>0</v>
      </c>
      <c r="D13" s="72">
        <f t="shared" si="0"/>
        <v>0</v>
      </c>
      <c r="E13" s="72">
        <f t="shared" si="0"/>
        <v>0</v>
      </c>
      <c r="F13" s="72">
        <f t="shared" si="0"/>
        <v>0</v>
      </c>
      <c r="G13" s="72">
        <f t="shared" si="0"/>
        <v>0</v>
      </c>
      <c r="H13" s="72">
        <f t="shared" si="0"/>
        <v>0</v>
      </c>
    </row>
    <row r="14" spans="1:8">
      <c r="A14" s="63" t="s">
        <v>165</v>
      </c>
      <c r="B14" s="111"/>
      <c r="C14" s="167"/>
      <c r="D14" s="167"/>
      <c r="E14" s="167"/>
      <c r="F14" s="167"/>
      <c r="G14" s="167"/>
      <c r="H14" s="167"/>
    </row>
    <row r="15" spans="1:8">
      <c r="A15" s="155"/>
      <c r="B15" s="111"/>
      <c r="C15" s="168"/>
      <c r="D15" s="168"/>
      <c r="E15" s="168"/>
      <c r="F15" s="168"/>
      <c r="G15" s="168"/>
      <c r="H15" s="168"/>
    </row>
    <row r="16" spans="1:8">
      <c r="A16" s="155" t="s">
        <v>166</v>
      </c>
      <c r="B16" s="111"/>
      <c r="C16" s="168">
        <v>0</v>
      </c>
      <c r="D16" s="168">
        <v>0</v>
      </c>
      <c r="E16" s="168">
        <v>0</v>
      </c>
      <c r="F16" s="168">
        <v>0</v>
      </c>
      <c r="G16" s="168">
        <v>0</v>
      </c>
      <c r="H16" s="168">
        <v>0</v>
      </c>
    </row>
    <row r="17" spans="1:12">
      <c r="A17" s="155" t="s">
        <v>167</v>
      </c>
      <c r="B17" s="111"/>
      <c r="C17" s="169">
        <v>250</v>
      </c>
      <c r="D17" s="169">
        <v>350</v>
      </c>
      <c r="E17" s="169">
        <v>0</v>
      </c>
      <c r="F17" s="169">
        <v>0</v>
      </c>
      <c r="G17" s="169">
        <v>0</v>
      </c>
      <c r="H17" s="169">
        <v>0</v>
      </c>
    </row>
    <row r="18" spans="1:12">
      <c r="A18" s="155" t="s">
        <v>168</v>
      </c>
      <c r="B18" s="111"/>
      <c r="C18" s="168">
        <v>0</v>
      </c>
      <c r="D18" s="168">
        <v>0</v>
      </c>
      <c r="E18" s="168">
        <v>0</v>
      </c>
      <c r="F18" s="168">
        <v>0</v>
      </c>
      <c r="G18" s="168">
        <v>0</v>
      </c>
      <c r="H18" s="168">
        <v>0</v>
      </c>
    </row>
    <row r="19" spans="1:12">
      <c r="A19" s="155" t="s">
        <v>169</v>
      </c>
      <c r="B19" s="111"/>
      <c r="C19" s="168">
        <v>7000</v>
      </c>
      <c r="D19" s="168">
        <v>0</v>
      </c>
      <c r="E19" s="168">
        <v>0</v>
      </c>
      <c r="F19" s="168">
        <v>0</v>
      </c>
      <c r="G19" s="168">
        <v>0</v>
      </c>
      <c r="H19" s="168">
        <v>0</v>
      </c>
    </row>
    <row r="20" spans="1:12">
      <c r="A20" s="155" t="s">
        <v>170</v>
      </c>
      <c r="B20" s="111"/>
      <c r="C20" s="169">
        <v>300</v>
      </c>
      <c r="D20" s="169">
        <v>400</v>
      </c>
      <c r="E20" s="169">
        <v>0</v>
      </c>
      <c r="F20" s="169">
        <v>0</v>
      </c>
      <c r="G20" s="169">
        <v>0</v>
      </c>
      <c r="H20" s="169">
        <v>0</v>
      </c>
    </row>
    <row r="21" spans="1:12">
      <c r="A21" s="155"/>
      <c r="B21" s="111"/>
      <c r="C21" s="168"/>
      <c r="D21" s="168"/>
      <c r="E21" s="168"/>
      <c r="F21" s="168"/>
      <c r="G21" s="168"/>
      <c r="H21" s="168"/>
    </row>
    <row r="22" spans="1:12">
      <c r="A22" s="155" t="s">
        <v>171</v>
      </c>
      <c r="B22" s="111"/>
      <c r="C22" s="168">
        <v>0</v>
      </c>
      <c r="D22" s="168">
        <v>0</v>
      </c>
      <c r="E22" s="168">
        <v>0</v>
      </c>
      <c r="F22" s="168">
        <v>0</v>
      </c>
      <c r="G22" s="168">
        <v>0</v>
      </c>
      <c r="H22" s="168">
        <v>0</v>
      </c>
    </row>
    <row r="23" spans="1:12">
      <c r="A23" s="379" t="s">
        <v>172</v>
      </c>
      <c r="B23" s="379"/>
      <c r="C23" s="170">
        <f t="shared" ref="C23:H23" si="1">SUM(C15:C22)</f>
        <v>7550</v>
      </c>
      <c r="D23" s="170">
        <f t="shared" si="1"/>
        <v>750</v>
      </c>
      <c r="E23" s="170">
        <f t="shared" si="1"/>
        <v>0</v>
      </c>
      <c r="F23" s="170">
        <f t="shared" si="1"/>
        <v>0</v>
      </c>
      <c r="G23" s="170">
        <f t="shared" si="1"/>
        <v>0</v>
      </c>
      <c r="H23" s="170">
        <f t="shared" si="1"/>
        <v>0</v>
      </c>
    </row>
    <row r="24" spans="1:12">
      <c r="A24" s="379" t="s">
        <v>173</v>
      </c>
      <c r="B24" s="379"/>
      <c r="C24" s="170">
        <f t="shared" ref="C24:H24" si="2">+C13+C23</f>
        <v>7550</v>
      </c>
      <c r="D24" s="170">
        <f t="shared" si="2"/>
        <v>750</v>
      </c>
      <c r="E24" s="170">
        <f t="shared" si="2"/>
        <v>0</v>
      </c>
      <c r="F24" s="170">
        <f t="shared" si="2"/>
        <v>0</v>
      </c>
      <c r="G24" s="170">
        <f t="shared" si="2"/>
        <v>0</v>
      </c>
      <c r="H24" s="170">
        <f t="shared" si="2"/>
        <v>0</v>
      </c>
    </row>
    <row r="25" spans="1:12">
      <c r="A25" s="171" t="s">
        <v>174</v>
      </c>
      <c r="B25" s="172"/>
      <c r="C25" s="118"/>
      <c r="D25" s="118"/>
      <c r="E25" s="118"/>
      <c r="F25" s="118"/>
      <c r="G25" s="118"/>
      <c r="H25" s="118"/>
    </row>
    <row r="26" spans="1:12">
      <c r="A26" s="172"/>
      <c r="B26" s="172"/>
      <c r="C26" s="118"/>
      <c r="D26" s="118"/>
      <c r="E26" s="118"/>
      <c r="F26" s="118"/>
      <c r="G26" s="118"/>
      <c r="H26" s="118"/>
    </row>
    <row r="27" spans="1:12">
      <c r="A27" s="382" t="s">
        <v>175</v>
      </c>
      <c r="B27" s="382"/>
      <c r="C27" s="57">
        <f t="shared" ref="C27:H27" si="3">+C6</f>
        <v>2016</v>
      </c>
      <c r="D27" s="57">
        <f t="shared" si="3"/>
        <v>2017</v>
      </c>
      <c r="E27" s="57">
        <f t="shared" si="3"/>
        <v>2018</v>
      </c>
      <c r="F27" s="57">
        <f t="shared" si="3"/>
        <v>2019</v>
      </c>
      <c r="G27" s="57">
        <f t="shared" si="3"/>
        <v>2020</v>
      </c>
      <c r="H27" s="57">
        <f t="shared" si="3"/>
        <v>2021</v>
      </c>
    </row>
    <row r="28" spans="1:12">
      <c r="A28" s="63" t="s">
        <v>160</v>
      </c>
      <c r="B28" s="111"/>
      <c r="C28" s="24"/>
      <c r="D28" s="24"/>
      <c r="E28" s="24"/>
      <c r="F28" s="24"/>
      <c r="G28" s="24"/>
      <c r="H28" s="24"/>
    </row>
    <row r="29" spans="1:12">
      <c r="A29" s="155" t="s">
        <v>161</v>
      </c>
      <c r="B29" s="111"/>
      <c r="C29" s="142">
        <f t="shared" ref="C29:C33" si="4">+C8</f>
        <v>0</v>
      </c>
      <c r="D29" s="142">
        <f t="shared" ref="D29:D33" si="5">+C29+D8</f>
        <v>0</v>
      </c>
      <c r="E29" s="142">
        <f t="shared" ref="E29:E33" si="6">+D29+E8</f>
        <v>0</v>
      </c>
      <c r="F29" s="142">
        <f t="shared" ref="F29:F33" si="7">+E29+F8</f>
        <v>0</v>
      </c>
      <c r="G29" s="142">
        <f t="shared" ref="G29:G33" si="8">+F29+G8</f>
        <v>0</v>
      </c>
      <c r="H29" s="142">
        <f t="shared" ref="H29:H33" si="9">+G29+H8</f>
        <v>0</v>
      </c>
      <c r="L29" s="16" t="s">
        <v>77</v>
      </c>
    </row>
    <row r="30" spans="1:12">
      <c r="A30" s="155"/>
      <c r="B30" s="111"/>
      <c r="C30" s="142">
        <f t="shared" si="4"/>
        <v>0</v>
      </c>
      <c r="D30" s="142">
        <f t="shared" si="5"/>
        <v>0</v>
      </c>
      <c r="E30" s="142">
        <f t="shared" si="6"/>
        <v>0</v>
      </c>
      <c r="F30" s="142">
        <f t="shared" si="7"/>
        <v>0</v>
      </c>
      <c r="G30" s="142">
        <f t="shared" si="8"/>
        <v>0</v>
      </c>
      <c r="H30" s="142">
        <f t="shared" si="9"/>
        <v>0</v>
      </c>
    </row>
    <row r="31" spans="1:12">
      <c r="A31" s="155" t="s">
        <v>176</v>
      </c>
      <c r="B31" s="111"/>
      <c r="C31" s="142">
        <f t="shared" si="4"/>
        <v>0</v>
      </c>
      <c r="D31" s="142">
        <f t="shared" si="5"/>
        <v>0</v>
      </c>
      <c r="E31" s="142">
        <f t="shared" si="6"/>
        <v>0</v>
      </c>
      <c r="F31" s="142">
        <f t="shared" si="7"/>
        <v>0</v>
      </c>
      <c r="G31" s="142">
        <f t="shared" si="8"/>
        <v>0</v>
      </c>
      <c r="H31" s="142">
        <f t="shared" si="9"/>
        <v>0</v>
      </c>
    </row>
    <row r="32" spans="1:12">
      <c r="A32" s="155"/>
      <c r="B32" s="111"/>
      <c r="C32" s="142">
        <f t="shared" si="4"/>
        <v>0</v>
      </c>
      <c r="D32" s="142">
        <f t="shared" si="5"/>
        <v>0</v>
      </c>
      <c r="E32" s="142">
        <f t="shared" si="6"/>
        <v>0</v>
      </c>
      <c r="F32" s="142">
        <f t="shared" si="7"/>
        <v>0</v>
      </c>
      <c r="G32" s="142">
        <f t="shared" si="8"/>
        <v>0</v>
      </c>
      <c r="H32" s="142">
        <f t="shared" si="9"/>
        <v>0</v>
      </c>
    </row>
    <row r="33" spans="1:8">
      <c r="A33" s="164" t="s">
        <v>163</v>
      </c>
      <c r="B33" s="165"/>
      <c r="C33" s="142">
        <f t="shared" si="4"/>
        <v>0</v>
      </c>
      <c r="D33" s="142">
        <f t="shared" si="5"/>
        <v>0</v>
      </c>
      <c r="E33" s="142">
        <f t="shared" si="6"/>
        <v>0</v>
      </c>
      <c r="F33" s="142">
        <f t="shared" si="7"/>
        <v>0</v>
      </c>
      <c r="G33" s="142">
        <f t="shared" si="8"/>
        <v>0</v>
      </c>
      <c r="H33" s="142">
        <f t="shared" si="9"/>
        <v>0</v>
      </c>
    </row>
    <row r="34" spans="1:8">
      <c r="A34" s="379" t="s">
        <v>164</v>
      </c>
      <c r="B34" s="379"/>
      <c r="C34" s="72">
        <f t="shared" ref="C34:H34" si="10">SUM(C29:C33)</f>
        <v>0</v>
      </c>
      <c r="D34" s="72">
        <f t="shared" si="10"/>
        <v>0</v>
      </c>
      <c r="E34" s="72">
        <f t="shared" si="10"/>
        <v>0</v>
      </c>
      <c r="F34" s="72">
        <f t="shared" si="10"/>
        <v>0</v>
      </c>
      <c r="G34" s="72">
        <f t="shared" si="10"/>
        <v>0</v>
      </c>
      <c r="H34" s="72">
        <f t="shared" si="10"/>
        <v>0</v>
      </c>
    </row>
    <row r="35" spans="1:8">
      <c r="A35" s="63" t="s">
        <v>165</v>
      </c>
      <c r="B35" s="111"/>
      <c r="C35" s="24"/>
      <c r="D35" s="24"/>
      <c r="E35" s="24"/>
      <c r="F35" s="24"/>
      <c r="G35" s="24"/>
      <c r="H35" s="24"/>
    </row>
    <row r="36" spans="1:8">
      <c r="A36" s="155"/>
      <c r="B36" s="111"/>
      <c r="C36" s="142">
        <f t="shared" ref="C36:C43" si="11">+C15</f>
        <v>0</v>
      </c>
      <c r="D36" s="142">
        <f t="shared" ref="D36:D43" si="12">+C36+D15</f>
        <v>0</v>
      </c>
      <c r="E36" s="142">
        <f t="shared" ref="E36:E43" si="13">+D36+E15</f>
        <v>0</v>
      </c>
      <c r="F36" s="142">
        <f t="shared" ref="F36:F43" si="14">+E36+F15</f>
        <v>0</v>
      </c>
      <c r="G36" s="142">
        <f t="shared" ref="G36:G43" si="15">+F36+G15</f>
        <v>0</v>
      </c>
      <c r="H36" s="142">
        <f t="shared" ref="H36:H38" si="16">+G36+H15</f>
        <v>0</v>
      </c>
    </row>
    <row r="37" spans="1:8">
      <c r="A37" s="155" t="s">
        <v>177</v>
      </c>
      <c r="B37" s="111"/>
      <c r="C37" s="142">
        <f t="shared" si="11"/>
        <v>0</v>
      </c>
      <c r="D37" s="142">
        <f t="shared" si="12"/>
        <v>0</v>
      </c>
      <c r="E37" s="142">
        <f t="shared" si="13"/>
        <v>0</v>
      </c>
      <c r="F37" s="142">
        <f t="shared" si="14"/>
        <v>0</v>
      </c>
      <c r="G37" s="142">
        <f t="shared" si="15"/>
        <v>0</v>
      </c>
      <c r="H37" s="142">
        <f t="shared" si="16"/>
        <v>0</v>
      </c>
    </row>
    <row r="38" spans="1:8">
      <c r="A38" s="155" t="s">
        <v>167</v>
      </c>
      <c r="B38" s="111"/>
      <c r="C38" s="142">
        <f t="shared" si="11"/>
        <v>250</v>
      </c>
      <c r="D38" s="142">
        <f t="shared" si="12"/>
        <v>600</v>
      </c>
      <c r="E38" s="142">
        <f t="shared" si="13"/>
        <v>600</v>
      </c>
      <c r="F38" s="142">
        <f t="shared" si="14"/>
        <v>600</v>
      </c>
      <c r="G38" s="142">
        <f t="shared" si="15"/>
        <v>600</v>
      </c>
      <c r="H38" s="142">
        <f t="shared" si="16"/>
        <v>600</v>
      </c>
    </row>
    <row r="39" spans="1:8">
      <c r="A39" s="155" t="s">
        <v>168</v>
      </c>
      <c r="B39" s="111"/>
      <c r="C39" s="142">
        <f t="shared" si="11"/>
        <v>0</v>
      </c>
      <c r="D39" s="142">
        <f t="shared" si="12"/>
        <v>0</v>
      </c>
      <c r="E39" s="142">
        <f t="shared" si="13"/>
        <v>0</v>
      </c>
      <c r="F39" s="142">
        <f t="shared" si="14"/>
        <v>0</v>
      </c>
      <c r="G39" s="142">
        <f t="shared" si="15"/>
        <v>0</v>
      </c>
      <c r="H39" s="142">
        <v>0</v>
      </c>
    </row>
    <row r="40" spans="1:8">
      <c r="A40" s="155" t="s">
        <v>169</v>
      </c>
      <c r="B40" s="111"/>
      <c r="C40" s="142">
        <f t="shared" si="11"/>
        <v>7000</v>
      </c>
      <c r="D40" s="142">
        <f t="shared" si="12"/>
        <v>7000</v>
      </c>
      <c r="E40" s="142">
        <f t="shared" si="13"/>
        <v>7000</v>
      </c>
      <c r="F40" s="142">
        <f t="shared" si="14"/>
        <v>7000</v>
      </c>
      <c r="G40" s="142">
        <f t="shared" si="15"/>
        <v>7000</v>
      </c>
      <c r="H40" s="142">
        <f t="shared" ref="H40:H43" si="17">+G40+H19</f>
        <v>7000</v>
      </c>
    </row>
    <row r="41" spans="1:8">
      <c r="A41" s="155" t="s">
        <v>170</v>
      </c>
      <c r="B41" s="111"/>
      <c r="C41" s="142">
        <f t="shared" si="11"/>
        <v>300</v>
      </c>
      <c r="D41" s="142">
        <f t="shared" si="12"/>
        <v>700</v>
      </c>
      <c r="E41" s="142">
        <f t="shared" si="13"/>
        <v>700</v>
      </c>
      <c r="F41" s="142">
        <f t="shared" si="14"/>
        <v>700</v>
      </c>
      <c r="G41" s="142">
        <f t="shared" si="15"/>
        <v>700</v>
      </c>
      <c r="H41" s="142">
        <f t="shared" si="17"/>
        <v>700</v>
      </c>
    </row>
    <row r="42" spans="1:8">
      <c r="A42" s="155"/>
      <c r="B42" s="111"/>
      <c r="C42" s="142">
        <f t="shared" si="11"/>
        <v>0</v>
      </c>
      <c r="D42" s="142">
        <f t="shared" si="12"/>
        <v>0</v>
      </c>
      <c r="E42" s="142">
        <f t="shared" si="13"/>
        <v>0</v>
      </c>
      <c r="F42" s="142">
        <f t="shared" si="14"/>
        <v>0</v>
      </c>
      <c r="G42" s="142">
        <f t="shared" si="15"/>
        <v>0</v>
      </c>
      <c r="H42" s="142">
        <f t="shared" si="17"/>
        <v>0</v>
      </c>
    </row>
    <row r="43" spans="1:8">
      <c r="A43" s="155" t="s">
        <v>171</v>
      </c>
      <c r="B43" s="111"/>
      <c r="C43" s="142">
        <f t="shared" si="11"/>
        <v>0</v>
      </c>
      <c r="D43" s="142">
        <f t="shared" si="12"/>
        <v>0</v>
      </c>
      <c r="E43" s="142">
        <f t="shared" si="13"/>
        <v>0</v>
      </c>
      <c r="F43" s="142">
        <f t="shared" si="14"/>
        <v>0</v>
      </c>
      <c r="G43" s="142">
        <f t="shared" si="15"/>
        <v>0</v>
      </c>
      <c r="H43" s="142">
        <f t="shared" si="17"/>
        <v>0</v>
      </c>
    </row>
    <row r="44" spans="1:8">
      <c r="A44" s="379" t="s">
        <v>172</v>
      </c>
      <c r="B44" s="379"/>
      <c r="C44" s="72">
        <f t="shared" ref="C44:H44" si="18">SUM(C36:C43)</f>
        <v>7550</v>
      </c>
      <c r="D44" s="72">
        <f t="shared" si="18"/>
        <v>8300</v>
      </c>
      <c r="E44" s="72">
        <f t="shared" si="18"/>
        <v>8300</v>
      </c>
      <c r="F44" s="72">
        <f t="shared" si="18"/>
        <v>8300</v>
      </c>
      <c r="G44" s="72">
        <f t="shared" si="18"/>
        <v>8300</v>
      </c>
      <c r="H44" s="72">
        <f t="shared" si="18"/>
        <v>8300</v>
      </c>
    </row>
    <row r="45" spans="1:8">
      <c r="A45" s="379" t="s">
        <v>178</v>
      </c>
      <c r="B45" s="379"/>
      <c r="C45" s="72">
        <f t="shared" ref="C45:H45" si="19">+C34+C44</f>
        <v>7550</v>
      </c>
      <c r="D45" s="72">
        <f t="shared" si="19"/>
        <v>8300</v>
      </c>
      <c r="E45" s="72">
        <f t="shared" si="19"/>
        <v>8300</v>
      </c>
      <c r="F45" s="72">
        <f t="shared" si="19"/>
        <v>8300</v>
      </c>
      <c r="G45" s="72">
        <f t="shared" si="19"/>
        <v>8300</v>
      </c>
      <c r="H45" s="72">
        <f t="shared" si="19"/>
        <v>8300</v>
      </c>
    </row>
    <row r="46" spans="1:8">
      <c r="A46" s="172"/>
      <c r="B46" s="172"/>
      <c r="C46" s="118"/>
      <c r="D46" s="118"/>
      <c r="E46" s="118"/>
      <c r="F46" s="118"/>
      <c r="G46" s="118"/>
      <c r="H46" s="118"/>
    </row>
    <row r="47" spans="1:8">
      <c r="A47" s="172"/>
      <c r="B47" s="172"/>
      <c r="C47" s="118"/>
      <c r="D47" s="118"/>
      <c r="E47" s="118"/>
      <c r="F47" s="118"/>
      <c r="G47" s="118"/>
      <c r="H47" s="118"/>
    </row>
    <row r="48" spans="1:8">
      <c r="A48" s="173" t="s">
        <v>179</v>
      </c>
      <c r="B48" s="57" t="s">
        <v>180</v>
      </c>
      <c r="C48" s="57">
        <f t="shared" ref="C48:H48" si="20">+C6</f>
        <v>2016</v>
      </c>
      <c r="D48" s="57">
        <f t="shared" si="20"/>
        <v>2017</v>
      </c>
      <c r="E48" s="57">
        <f t="shared" si="20"/>
        <v>2018</v>
      </c>
      <c r="F48" s="57">
        <f t="shared" si="20"/>
        <v>2019</v>
      </c>
      <c r="G48" s="57">
        <f t="shared" si="20"/>
        <v>2020</v>
      </c>
      <c r="H48" s="57">
        <f t="shared" si="20"/>
        <v>2021</v>
      </c>
    </row>
    <row r="49" spans="1:8">
      <c r="A49" s="63" t="s">
        <v>160</v>
      </c>
      <c r="B49" s="165"/>
      <c r="C49" s="142"/>
      <c r="D49" s="142"/>
      <c r="E49" s="142"/>
      <c r="F49" s="142"/>
      <c r="G49" s="142"/>
      <c r="H49" s="142"/>
    </row>
    <row r="50" spans="1:8">
      <c r="A50" s="155" t="s">
        <v>181</v>
      </c>
      <c r="B50" s="174">
        <f t="shared" ref="B50:B54" si="21">100%/3</f>
        <v>0.33333333333333331</v>
      </c>
      <c r="C50" s="142">
        <f t="shared" ref="C50:C54" si="22">C8*B50</f>
        <v>0</v>
      </c>
      <c r="D50" s="142">
        <f t="shared" ref="D50:D54" si="23">C50+(D8*B50)</f>
        <v>0</v>
      </c>
      <c r="E50" s="142">
        <f t="shared" ref="E50:E54" si="24">+(C8+D8+E8)*B50</f>
        <v>0</v>
      </c>
      <c r="F50" s="142">
        <f t="shared" ref="F50:F54" si="25">+(D8+E8+F8)*B50</f>
        <v>0</v>
      </c>
      <c r="G50" s="142">
        <f t="shared" ref="G50:G54" si="26">+(E8+F8+G8)*B50</f>
        <v>0</v>
      </c>
      <c r="H50" s="142">
        <f t="shared" ref="H50:H54" si="27">+(F8+G8+H8)*B50</f>
        <v>0</v>
      </c>
    </row>
    <row r="51" spans="1:8">
      <c r="A51" s="155"/>
      <c r="B51" s="174">
        <f t="shared" si="21"/>
        <v>0.33333333333333331</v>
      </c>
      <c r="C51" s="142">
        <f t="shared" si="22"/>
        <v>0</v>
      </c>
      <c r="D51" s="142">
        <f t="shared" si="23"/>
        <v>0</v>
      </c>
      <c r="E51" s="142">
        <f t="shared" si="24"/>
        <v>0</v>
      </c>
      <c r="F51" s="142">
        <f t="shared" si="25"/>
        <v>0</v>
      </c>
      <c r="G51" s="142">
        <f t="shared" si="26"/>
        <v>0</v>
      </c>
      <c r="H51" s="142">
        <f t="shared" si="27"/>
        <v>0</v>
      </c>
    </row>
    <row r="52" spans="1:8">
      <c r="A52" s="155" t="s">
        <v>176</v>
      </c>
      <c r="B52" s="174">
        <f t="shared" si="21"/>
        <v>0.33333333333333331</v>
      </c>
      <c r="C52" s="142">
        <f t="shared" si="22"/>
        <v>0</v>
      </c>
      <c r="D52" s="142">
        <f t="shared" si="23"/>
        <v>0</v>
      </c>
      <c r="E52" s="142">
        <f t="shared" si="24"/>
        <v>0</v>
      </c>
      <c r="F52" s="142">
        <f t="shared" si="25"/>
        <v>0</v>
      </c>
      <c r="G52" s="142">
        <f t="shared" si="26"/>
        <v>0</v>
      </c>
      <c r="H52" s="142">
        <f t="shared" si="27"/>
        <v>0</v>
      </c>
    </row>
    <row r="53" spans="1:8">
      <c r="A53" s="155"/>
      <c r="B53" s="174">
        <f t="shared" si="21"/>
        <v>0.33333333333333331</v>
      </c>
      <c r="C53" s="142">
        <f t="shared" si="22"/>
        <v>0</v>
      </c>
      <c r="D53" s="142">
        <f t="shared" si="23"/>
        <v>0</v>
      </c>
      <c r="E53" s="142">
        <f t="shared" si="24"/>
        <v>0</v>
      </c>
      <c r="F53" s="142">
        <f t="shared" si="25"/>
        <v>0</v>
      </c>
      <c r="G53" s="142">
        <f t="shared" si="26"/>
        <v>0</v>
      </c>
      <c r="H53" s="142">
        <f t="shared" si="27"/>
        <v>0</v>
      </c>
    </row>
    <row r="54" spans="1:8">
      <c r="A54" s="164" t="s">
        <v>163</v>
      </c>
      <c r="B54" s="174">
        <f t="shared" si="21"/>
        <v>0.33333333333333331</v>
      </c>
      <c r="C54" s="142">
        <f t="shared" si="22"/>
        <v>0</v>
      </c>
      <c r="D54" s="142">
        <f t="shared" si="23"/>
        <v>0</v>
      </c>
      <c r="E54" s="142">
        <f t="shared" si="24"/>
        <v>0</v>
      </c>
      <c r="F54" s="142">
        <f t="shared" si="25"/>
        <v>0</v>
      </c>
      <c r="G54" s="142">
        <f t="shared" si="26"/>
        <v>0</v>
      </c>
      <c r="H54" s="142">
        <f t="shared" si="27"/>
        <v>0</v>
      </c>
    </row>
    <row r="55" spans="1:8">
      <c r="A55" s="379" t="s">
        <v>164</v>
      </c>
      <c r="B55" s="379"/>
      <c r="C55" s="72">
        <f t="shared" ref="C55:H55" si="28">SUM(C50:C53)</f>
        <v>0</v>
      </c>
      <c r="D55" s="72">
        <f t="shared" si="28"/>
        <v>0</v>
      </c>
      <c r="E55" s="72">
        <f t="shared" si="28"/>
        <v>0</v>
      </c>
      <c r="F55" s="72">
        <f t="shared" si="28"/>
        <v>0</v>
      </c>
      <c r="G55" s="72">
        <f t="shared" si="28"/>
        <v>0</v>
      </c>
      <c r="H55" s="72">
        <f t="shared" si="28"/>
        <v>0</v>
      </c>
    </row>
    <row r="56" spans="1:8">
      <c r="A56" s="63" t="str">
        <f t="shared" ref="A56:A65" si="29">+A35</f>
        <v>Imobilizado Corpóreo</v>
      </c>
      <c r="B56" s="165"/>
      <c r="C56" s="142"/>
      <c r="D56" s="142"/>
      <c r="E56" s="142"/>
      <c r="F56" s="142"/>
      <c r="G56" s="142"/>
      <c r="H56" s="142"/>
    </row>
    <row r="57" spans="1:8">
      <c r="A57" s="155">
        <f t="shared" si="29"/>
        <v>0</v>
      </c>
      <c r="B57" s="174"/>
      <c r="C57" s="142"/>
      <c r="D57" s="142"/>
      <c r="E57" s="142"/>
      <c r="F57" s="142"/>
      <c r="G57" s="142"/>
      <c r="H57" s="142"/>
    </row>
    <row r="58" spans="1:8">
      <c r="A58" s="155" t="str">
        <f t="shared" si="29"/>
        <v xml:space="preserve">   Edificios e outras construções</v>
      </c>
      <c r="B58" s="174">
        <v>0.05</v>
      </c>
      <c r="C58" s="142">
        <f t="shared" ref="C58:C59" si="30">+C16*B58</f>
        <v>0</v>
      </c>
      <c r="D58" s="142">
        <f>+SUM($C$16:D16)*$B$58</f>
        <v>0</v>
      </c>
      <c r="E58" s="142">
        <f>+SUM($C$16:E16)*$B$58</f>
        <v>0</v>
      </c>
      <c r="F58" s="142">
        <f>+SUM($C$16:F16)*$B$58</f>
        <v>0</v>
      </c>
      <c r="G58" s="142">
        <f>+SUM($C$16:G16)*$B$58</f>
        <v>0</v>
      </c>
      <c r="H58" s="142">
        <f>+SUM($C$16:H16)*$B$58</f>
        <v>0</v>
      </c>
    </row>
    <row r="59" spans="1:8">
      <c r="A59" s="155" t="str">
        <f t="shared" si="29"/>
        <v xml:space="preserve">   Equipamento básico</v>
      </c>
      <c r="B59" s="174">
        <v>0.2</v>
      </c>
      <c r="C59" s="142">
        <f t="shared" si="30"/>
        <v>50</v>
      </c>
      <c r="D59" s="142">
        <f>+SUM($C$17:D17)*$B$59</f>
        <v>120</v>
      </c>
      <c r="E59" s="142">
        <f>+SUM($C$17:E17)*$B$59</f>
        <v>120</v>
      </c>
      <c r="F59" s="142">
        <f>+SUM($C$17:F17)*$B$59</f>
        <v>120</v>
      </c>
      <c r="G59" s="142">
        <f>+SUM($C$17:G17)*$B$59</f>
        <v>120</v>
      </c>
      <c r="H59" s="142">
        <f>+SUM($D$17:H17)*$B$59</f>
        <v>70</v>
      </c>
    </row>
    <row r="60" spans="1:8">
      <c r="A60" s="155" t="str">
        <f t="shared" si="29"/>
        <v xml:space="preserve">   Equipamento de transporte</v>
      </c>
      <c r="B60" s="174">
        <v>0.25</v>
      </c>
      <c r="C60" s="142">
        <f t="shared" ref="C60:C64" si="31">+B60*C18</f>
        <v>0</v>
      </c>
      <c r="D60" s="142">
        <f>+$B$60*SUM($C$18:D18)</f>
        <v>0</v>
      </c>
      <c r="E60" s="142">
        <f>+$B$60*SUM($C$18:E18)</f>
        <v>0</v>
      </c>
      <c r="F60" s="142">
        <f>+$B$60*SUM($C$18:F18)</f>
        <v>0</v>
      </c>
      <c r="G60" s="142">
        <f t="shared" ref="G60:G62" si="32">+B60*SUM(D18:G18)</f>
        <v>0</v>
      </c>
      <c r="H60" s="142">
        <f t="shared" ref="H60:H62" si="33">+B60*SUM(E18:H18)</f>
        <v>0</v>
      </c>
    </row>
    <row r="61" spans="1:8">
      <c r="A61" s="155" t="str">
        <f t="shared" si="29"/>
        <v xml:space="preserve">   Ferramentas e utensílios e moldes</v>
      </c>
      <c r="B61" s="174">
        <v>0.25</v>
      </c>
      <c r="C61" s="142">
        <f t="shared" si="31"/>
        <v>1750</v>
      </c>
      <c r="D61" s="142">
        <f>+$B$61*SUM($C$19:D19)</f>
        <v>1750</v>
      </c>
      <c r="E61" s="142">
        <f>+$B$61*SUM($C$19:E19)</f>
        <v>1750</v>
      </c>
      <c r="F61" s="142">
        <f>+$B$61*SUM($C$19:F19)</f>
        <v>1750</v>
      </c>
      <c r="G61" s="142">
        <f t="shared" si="32"/>
        <v>0</v>
      </c>
      <c r="H61" s="142">
        <f t="shared" si="33"/>
        <v>0</v>
      </c>
    </row>
    <row r="62" spans="1:8">
      <c r="A62" s="155" t="str">
        <f t="shared" si="29"/>
        <v xml:space="preserve">   Equipamento administrativo</v>
      </c>
      <c r="B62" s="174">
        <v>0.25</v>
      </c>
      <c r="C62" s="142">
        <f t="shared" si="31"/>
        <v>75</v>
      </c>
      <c r="D62" s="142">
        <f>+$B$62*SUM($C$20:D20)</f>
        <v>175</v>
      </c>
      <c r="E62" s="142">
        <f>+$B$62*SUM($C$20:E20)</f>
        <v>175</v>
      </c>
      <c r="F62" s="142">
        <f>+$B$62*SUM($C$20:F20)</f>
        <v>175</v>
      </c>
      <c r="G62" s="142">
        <f t="shared" si="32"/>
        <v>100</v>
      </c>
      <c r="H62" s="142">
        <f t="shared" si="33"/>
        <v>0</v>
      </c>
    </row>
    <row r="63" spans="1:8">
      <c r="A63" s="155">
        <f t="shared" si="29"/>
        <v>0</v>
      </c>
      <c r="B63" s="174">
        <f>100%/7</f>
        <v>0.14285714285714285</v>
      </c>
      <c r="C63" s="142">
        <f t="shared" si="31"/>
        <v>0</v>
      </c>
      <c r="D63" s="142">
        <f>+$B$63*SUM($C$21:D21)</f>
        <v>0</v>
      </c>
      <c r="E63" s="142">
        <f>+$B$63*SUM($C$21:E21)</f>
        <v>0</v>
      </c>
      <c r="F63" s="142">
        <f>+$B$63*SUM($C$21:F21)</f>
        <v>0</v>
      </c>
      <c r="G63" s="142">
        <f>+$B$63*SUM($C$21:G21)</f>
        <v>0</v>
      </c>
      <c r="H63" s="142">
        <f>+$B$63*SUM($C$21:H21)</f>
        <v>0</v>
      </c>
    </row>
    <row r="64" spans="1:8">
      <c r="A64" s="155" t="str">
        <f t="shared" si="29"/>
        <v xml:space="preserve">   Outras imobilizações corpóreas</v>
      </c>
      <c r="B64" s="174">
        <v>0.2</v>
      </c>
      <c r="C64" s="142">
        <f t="shared" si="31"/>
        <v>0</v>
      </c>
      <c r="D64" s="142">
        <f>+$B$64*SUM($C$22:D22)</f>
        <v>0</v>
      </c>
      <c r="E64" s="142">
        <f>+$B$64*SUM($C$22:E22)</f>
        <v>0</v>
      </c>
      <c r="F64" s="142" t="s">
        <v>77</v>
      </c>
      <c r="G64" s="142">
        <f>+$B$64*SUM($C$22:G22)</f>
        <v>0</v>
      </c>
      <c r="H64" s="142">
        <f>+B64*SUM(D22:H22)</f>
        <v>0</v>
      </c>
    </row>
    <row r="65" spans="1:8">
      <c r="A65" s="379" t="str">
        <f t="shared" si="29"/>
        <v>Total Imobilizado Corpóreo</v>
      </c>
      <c r="B65" s="379"/>
      <c r="C65" s="72">
        <f t="shared" ref="C65:H65" si="34">SUM(C57:C64)</f>
        <v>1875</v>
      </c>
      <c r="D65" s="72">
        <f t="shared" si="34"/>
        <v>2045</v>
      </c>
      <c r="E65" s="72">
        <f t="shared" si="34"/>
        <v>2045</v>
      </c>
      <c r="F65" s="72">
        <f t="shared" si="34"/>
        <v>2045</v>
      </c>
      <c r="G65" s="72">
        <f t="shared" si="34"/>
        <v>220</v>
      </c>
      <c r="H65" s="72">
        <f t="shared" si="34"/>
        <v>70</v>
      </c>
    </row>
    <row r="66" spans="1:8">
      <c r="A66" s="379" t="s">
        <v>182</v>
      </c>
      <c r="B66" s="379"/>
      <c r="C66" s="72">
        <f t="shared" ref="C66:H66" si="35">+C55+C65</f>
        <v>1875</v>
      </c>
      <c r="D66" s="72">
        <f t="shared" si="35"/>
        <v>2045</v>
      </c>
      <c r="E66" s="72">
        <f t="shared" si="35"/>
        <v>2045</v>
      </c>
      <c r="F66" s="72">
        <f t="shared" si="35"/>
        <v>2045</v>
      </c>
      <c r="G66" s="72">
        <f t="shared" si="35"/>
        <v>220</v>
      </c>
      <c r="H66" s="72">
        <f t="shared" si="35"/>
        <v>70</v>
      </c>
    </row>
  </sheetData>
  <sheetProtection selectLockedCells="1" selectUnlockedCells="1"/>
  <mergeCells count="12">
    <mergeCell ref="A34:B34"/>
    <mergeCell ref="A44:B44"/>
    <mergeCell ref="A45:B45"/>
    <mergeCell ref="A55:B55"/>
    <mergeCell ref="A65:B65"/>
    <mergeCell ref="A66:B66"/>
    <mergeCell ref="A3:H3"/>
    <mergeCell ref="A6:B6"/>
    <mergeCell ref="A13:B13"/>
    <mergeCell ref="A23:B23"/>
    <mergeCell ref="A24:B24"/>
    <mergeCell ref="A27:B27"/>
  </mergeCells>
  <printOptions horizontalCentered="1"/>
  <pageMargins left="0.75" right="0.75" top="0.39374999999999999" bottom="0.39374999999999999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showGridLines="0" zoomScale="85" zoomScaleNormal="85" workbookViewId="0">
      <selection activeCell="C21" sqref="C21"/>
    </sheetView>
  </sheetViews>
  <sheetFormatPr defaultColWidth="8.85546875" defaultRowHeight="12.75"/>
  <cols>
    <col min="1" max="1" width="30.85546875" style="16" customWidth="1"/>
    <col min="2" max="2" width="7.5703125" style="16" customWidth="1"/>
    <col min="3" max="13" width="11.42578125" style="16" customWidth="1"/>
    <col min="14" max="16384" width="8.85546875" style="16"/>
  </cols>
  <sheetData>
    <row r="1" spans="1:9" ht="13.5">
      <c r="A1" s="175" t="s">
        <v>16</v>
      </c>
      <c r="B1" s="176" t="str">
        <f>+Pressupostos!B1</f>
        <v>Herbawatter</v>
      </c>
      <c r="C1" s="177"/>
      <c r="D1" s="177"/>
      <c r="E1" s="177"/>
      <c r="F1" s="177"/>
      <c r="G1" s="177"/>
      <c r="H1" s="177"/>
    </row>
    <row r="2" spans="1:9">
      <c r="H2" s="54" t="str">
        <f>+Pressupostos!B6</f>
        <v>(valores em euros)</v>
      </c>
    </row>
    <row r="3" spans="1:9" ht="13.5" customHeight="1">
      <c r="A3" s="365" t="s">
        <v>183</v>
      </c>
      <c r="B3" s="365"/>
      <c r="C3" s="365"/>
      <c r="D3" s="365"/>
      <c r="E3" s="365"/>
      <c r="F3" s="365"/>
      <c r="G3" s="365"/>
      <c r="H3" s="365"/>
      <c r="I3"/>
    </row>
    <row r="4" spans="1:9" ht="12.75" customHeight="1">
      <c r="B4" s="172"/>
      <c r="C4" s="172"/>
      <c r="I4" t="s">
        <v>184</v>
      </c>
    </row>
    <row r="5" spans="1:9" ht="13.5">
      <c r="B5" s="154"/>
      <c r="C5" s="172"/>
      <c r="I5" t="s">
        <v>185</v>
      </c>
    </row>
    <row r="6" spans="1:9">
      <c r="A6" s="155"/>
      <c r="B6" s="144"/>
      <c r="C6" s="57">
        <f>+VN!C5</f>
        <v>2016</v>
      </c>
      <c r="D6" s="57">
        <f>+VN!D5</f>
        <v>2017</v>
      </c>
      <c r="E6" s="57">
        <f>+VN!E5</f>
        <v>2018</v>
      </c>
      <c r="F6" s="57">
        <f>+VN!F5</f>
        <v>2019</v>
      </c>
      <c r="G6" s="57">
        <f>+VN!G5</f>
        <v>2020</v>
      </c>
      <c r="H6" s="57">
        <f>+VN!H5</f>
        <v>2021</v>
      </c>
    </row>
    <row r="7" spans="1:9">
      <c r="A7" s="63" t="s">
        <v>186</v>
      </c>
      <c r="B7" s="178"/>
      <c r="C7" s="179"/>
      <c r="D7" s="24"/>
      <c r="E7" s="24"/>
      <c r="F7" s="24"/>
      <c r="G7" s="24"/>
      <c r="H7" s="24"/>
    </row>
    <row r="8" spans="1:9">
      <c r="A8" s="65" t="s">
        <v>187</v>
      </c>
      <c r="B8" s="178"/>
      <c r="C8" s="180">
        <v>15000</v>
      </c>
      <c r="D8" s="181">
        <f>+C8</f>
        <v>15000</v>
      </c>
      <c r="E8" s="181">
        <f>+D8</f>
        <v>15000</v>
      </c>
      <c r="F8" s="181">
        <f>+E8</f>
        <v>15000</v>
      </c>
      <c r="G8" s="181">
        <f>+F8</f>
        <v>15000</v>
      </c>
      <c r="H8" s="181">
        <f>+G8</f>
        <v>15000</v>
      </c>
    </row>
    <row r="9" spans="1:9">
      <c r="A9" s="65" t="s">
        <v>188</v>
      </c>
      <c r="B9" s="178"/>
      <c r="C9" s="181">
        <f>VN!C81*Pressupostos!$C$8/12</f>
        <v>3.0739749999999995</v>
      </c>
      <c r="D9" s="181">
        <f>VN!D81*Pressupostos!$C$8/12</f>
        <v>7377.54</v>
      </c>
      <c r="E9" s="181">
        <f>VN!E81*Pressupostos!$C$8/12</f>
        <v>21896.53872</v>
      </c>
      <c r="F9" s="181">
        <f>VN!F81*Pressupostos!$C$8/12</f>
        <v>43267.560510720003</v>
      </c>
      <c r="G9" s="181">
        <f>VN!G81*Pressupostos!$C$8/12</f>
        <v>55706.984157552011</v>
      </c>
      <c r="H9" s="181">
        <f>VN!H81*Pressupostos!$C$8/12</f>
        <v>65734.241305911375</v>
      </c>
      <c r="I9" s="16" t="s">
        <v>189</v>
      </c>
    </row>
    <row r="10" spans="1:9">
      <c r="A10" s="65" t="s">
        <v>190</v>
      </c>
      <c r="B10" s="178"/>
      <c r="C10" s="181">
        <f>CMVMC!C11*Pressupostos!$C$10/12</f>
        <v>0.39986666666666659</v>
      </c>
      <c r="D10" s="181">
        <f>CMVMC!D11*Pressupostos!$C$10/12</f>
        <v>959.67999999999984</v>
      </c>
      <c r="E10" s="181">
        <f>CMVMC!E11*Pressupostos!$C$10/12</f>
        <v>2848.3302399999998</v>
      </c>
      <c r="F10" s="181">
        <f>CMVMC!F11*Pressupostos!$C$10/12</f>
        <v>5628.3005542399997</v>
      </c>
      <c r="G10" s="181">
        <f>CMVMC!G11*Pressupostos!$C$10/12</f>
        <v>7246.4369635840003</v>
      </c>
      <c r="H10" s="181">
        <f>CMVMC!H11*Pressupostos!$C$10/12</f>
        <v>8550.79561702912</v>
      </c>
      <c r="I10" s="16" t="s">
        <v>191</v>
      </c>
    </row>
    <row r="11" spans="1:9">
      <c r="A11" s="383" t="s">
        <v>192</v>
      </c>
      <c r="B11" s="383"/>
      <c r="C11" s="182"/>
      <c r="D11" s="182"/>
      <c r="E11" s="182"/>
      <c r="F11" s="182"/>
      <c r="G11" s="182"/>
      <c r="H11" s="182"/>
    </row>
    <row r="12" spans="1:9">
      <c r="A12" s="383" t="s">
        <v>192</v>
      </c>
      <c r="B12" s="383"/>
      <c r="C12" s="182"/>
      <c r="D12" s="182"/>
      <c r="E12" s="182"/>
      <c r="F12" s="182"/>
      <c r="G12" s="182"/>
      <c r="H12" s="182"/>
    </row>
    <row r="13" spans="1:9">
      <c r="A13" s="384" t="s">
        <v>193</v>
      </c>
      <c r="B13" s="384"/>
      <c r="C13" s="183">
        <f t="shared" ref="C13:H13" si="0">SUM(C8:C12)</f>
        <v>15003.473841666666</v>
      </c>
      <c r="D13" s="183">
        <f t="shared" si="0"/>
        <v>23337.22</v>
      </c>
      <c r="E13" s="183">
        <f t="shared" si="0"/>
        <v>39744.86896</v>
      </c>
      <c r="F13" s="183">
        <f t="shared" si="0"/>
        <v>63895.861064960001</v>
      </c>
      <c r="G13" s="183">
        <f t="shared" si="0"/>
        <v>77953.421121136009</v>
      </c>
      <c r="H13" s="183">
        <f t="shared" si="0"/>
        <v>89285.03692294049</v>
      </c>
    </row>
    <row r="14" spans="1:9">
      <c r="A14" s="184" t="s">
        <v>194</v>
      </c>
      <c r="B14" s="178"/>
      <c r="C14" s="185"/>
      <c r="D14" s="186"/>
      <c r="E14" s="186"/>
      <c r="F14" s="186"/>
      <c r="G14" s="186"/>
      <c r="H14" s="186"/>
    </row>
    <row r="15" spans="1:9">
      <c r="A15" s="65" t="s">
        <v>195</v>
      </c>
      <c r="B15" s="178"/>
      <c r="C15" s="181">
        <f>(CMVMC!C15+FSE!F48)/12*Pressupostos!$C$9</f>
        <v>230.216172</v>
      </c>
      <c r="D15" s="181">
        <f>(CMVMC!D15+FSE!G48)/12*Pressupostos!$C$9</f>
        <v>3827.9007999999994</v>
      </c>
      <c r="E15" s="181">
        <f>(CMVMC!E15+FSE!H48)/12*Pressupostos!$C$9</f>
        <v>8914.106790400001</v>
      </c>
      <c r="F15" s="181">
        <f>(CMVMC!F15+FSE!I48)/12*Pressupostos!$C$9</f>
        <v>16229.637363430398</v>
      </c>
      <c r="G15" s="181">
        <f>(CMVMC!G15+FSE!J48)/12*Pressupostos!$C$9</f>
        <v>20567.855630416638</v>
      </c>
      <c r="H15" s="181">
        <f>(CMVMC!H15+FSE!K48)/12*Pressupostos!$C$9</f>
        <v>24050.739987891633</v>
      </c>
      <c r="I15" s="16" t="s">
        <v>196</v>
      </c>
    </row>
    <row r="16" spans="1:9">
      <c r="A16" s="65" t="s">
        <v>197</v>
      </c>
      <c r="B16" s="178"/>
      <c r="C16" s="181">
        <f>((VN!C79-CMVMC!C13-FSE!F46)/4*1)+(('Custos Pessoal'!D17*(0.2125+0.1+Pressupostos!$B$17))+(('Custos Pessoal'!D31*(0.2375+0.11+Pressupostos!$B$17)))/12)</f>
        <v>11145.451775666666</v>
      </c>
      <c r="D16" s="181">
        <f>((VN!D79-CMVMC!D13-FSE!G46)/4*1)+(('Custos Pessoal'!E17*(0.2125+0.1+Pressupostos!$B$17))+(('Custos Pessoal'!E31*(0.2375+0.11+Pressupostos!$B$17)))/12)</f>
        <v>25476.448266666666</v>
      </c>
      <c r="E16" s="181">
        <f>((VN!E79-CMVMC!E13-FSE!H46)/4*1)+(('Custos Pessoal'!F17*(0.2125+0.1+Pressupostos!$B$17))+(('Custos Pessoal'!F31*(0.2375+0.11+Pressupostos!$B$17)))/12)</f>
        <v>32659.088428800009</v>
      </c>
      <c r="F16" s="181">
        <f>((VN!F79-CMVMC!F13-FSE!I46)/4*1)+(('Custos Pessoal'!G17*(0.2125+0.1+Pressupostos!$B$17))+(('Custos Pessoal'!G31*(0.2375+0.11+Pressupostos!$B$17)))/12)</f>
        <v>42080.214815308813</v>
      </c>
      <c r="G16" s="181">
        <f>((VN!G79-CMVMC!G13-FSE!J46)/4*1)+(('Custos Pessoal'!H17*(0.2125+0.1+Pressupostos!$B$17))+(('Custos Pessoal'!H31*(0.2375+0.11+Pressupostos!$B$17)))/12)</f>
        <v>47711.257473310092</v>
      </c>
      <c r="H16" s="181">
        <f>((VN!H79-CMVMC!H13-FSE!K46)/4*1)+(('Custos Pessoal'!I17*(0.2125+0.1+Pressupostos!$B$17))+(('Custos Pessoal'!I31*(0.2375+0.11+Pressupostos!$B$17)))/12)</f>
        <v>52508.701197641916</v>
      </c>
      <c r="I16" s="16" t="s">
        <v>198</v>
      </c>
    </row>
    <row r="17" spans="1:8">
      <c r="A17" s="383" t="s">
        <v>192</v>
      </c>
      <c r="B17" s="383"/>
      <c r="C17" s="187"/>
      <c r="D17" s="187"/>
      <c r="E17" s="187"/>
      <c r="F17" s="187"/>
      <c r="G17" s="187"/>
      <c r="H17" s="187"/>
    </row>
    <row r="18" spans="1:8">
      <c r="A18" s="385" t="s">
        <v>193</v>
      </c>
      <c r="B18" s="385"/>
      <c r="C18" s="188">
        <f t="shared" ref="C18:H18" si="1">+C15+C16+C17</f>
        <v>11375.667947666667</v>
      </c>
      <c r="D18" s="188">
        <f t="shared" si="1"/>
        <v>29304.349066666666</v>
      </c>
      <c r="E18" s="188">
        <f t="shared" si="1"/>
        <v>41573.19521920001</v>
      </c>
      <c r="F18" s="188">
        <f t="shared" si="1"/>
        <v>58309.852178739209</v>
      </c>
      <c r="G18" s="188">
        <f t="shared" si="1"/>
        <v>68279.113103726733</v>
      </c>
      <c r="H18" s="188">
        <f t="shared" si="1"/>
        <v>76559.441185533549</v>
      </c>
    </row>
    <row r="19" spans="1:8">
      <c r="A19" s="189"/>
      <c r="B19" s="153"/>
      <c r="C19" s="190"/>
      <c r="D19" s="191"/>
      <c r="E19" s="191"/>
      <c r="F19" s="191"/>
      <c r="G19" s="191"/>
      <c r="H19" s="191"/>
    </row>
    <row r="20" spans="1:8">
      <c r="A20" s="192" t="s">
        <v>199</v>
      </c>
      <c r="B20" s="193"/>
      <c r="C20" s="188">
        <f t="shared" ref="C20:H20" si="2">+C13-C18</f>
        <v>3627.8058939999992</v>
      </c>
      <c r="D20" s="188">
        <f t="shared" si="2"/>
        <v>-5967.1290666666646</v>
      </c>
      <c r="E20" s="188">
        <f t="shared" si="2"/>
        <v>-1828.3262592000101</v>
      </c>
      <c r="F20" s="188">
        <f t="shared" si="2"/>
        <v>5586.0088862207922</v>
      </c>
      <c r="G20" s="188">
        <f t="shared" si="2"/>
        <v>9674.3080174092756</v>
      </c>
      <c r="H20" s="188">
        <f t="shared" si="2"/>
        <v>12725.59573740694</v>
      </c>
    </row>
    <row r="21" spans="1:8">
      <c r="A21" s="194"/>
      <c r="B21" s="195"/>
      <c r="C21" s="190"/>
      <c r="D21" s="191"/>
      <c r="E21" s="191"/>
      <c r="F21" s="191"/>
      <c r="G21" s="191"/>
      <c r="H21" s="191"/>
    </row>
    <row r="22" spans="1:8">
      <c r="A22" s="192" t="s">
        <v>200</v>
      </c>
      <c r="B22" s="193"/>
      <c r="C22" s="188">
        <f>+C20</f>
        <v>3627.8058939999992</v>
      </c>
      <c r="D22" s="188">
        <f>+D20-C20</f>
        <v>-9594.9349606666638</v>
      </c>
      <c r="E22" s="188">
        <f>+E20-D20</f>
        <v>4138.8028074666545</v>
      </c>
      <c r="F22" s="188">
        <f>+F20-E20</f>
        <v>7414.3351454208023</v>
      </c>
      <c r="G22" s="188">
        <f>+G20-F20</f>
        <v>4088.2991311884834</v>
      </c>
      <c r="H22" s="188">
        <f>+H20-G20</f>
        <v>3051.2877199976647</v>
      </c>
    </row>
    <row r="23" spans="1:8">
      <c r="A23" s="189"/>
      <c r="B23" s="153"/>
      <c r="C23" s="136"/>
    </row>
    <row r="24" spans="1:8">
      <c r="A24" s="189"/>
      <c r="B24" s="153"/>
      <c r="C24" s="136"/>
    </row>
    <row r="25" spans="1:8">
      <c r="A25" s="196" t="s">
        <v>201</v>
      </c>
      <c r="C25" s="197"/>
      <c r="D25" s="197"/>
      <c r="E25" s="198"/>
      <c r="F25" s="197"/>
      <c r="G25" s="197"/>
      <c r="H25" s="197"/>
    </row>
  </sheetData>
  <sheetProtection selectLockedCells="1" selectUnlockedCells="1"/>
  <mergeCells count="6">
    <mergeCell ref="A3:H3"/>
    <mergeCell ref="A11:B11"/>
    <mergeCell ref="A12:B12"/>
    <mergeCell ref="A13:B13"/>
    <mergeCell ref="A17:B17"/>
    <mergeCell ref="A18:B18"/>
  </mergeCells>
  <printOptions horizontalCentered="1"/>
  <pageMargins left="0.39374999999999999" right="0.39374999999999999" top="0.39374999999999999" bottom="0.39374999999999999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9"/>
  <sheetViews>
    <sheetView showGridLines="0" topLeftCell="A2" zoomScale="85" zoomScaleNormal="85" workbookViewId="0">
      <selection activeCell="M13" sqref="M13"/>
    </sheetView>
  </sheetViews>
  <sheetFormatPr defaultColWidth="8.85546875" defaultRowHeight="12.75"/>
  <cols>
    <col min="1" max="1" width="30.5703125" style="16" customWidth="1"/>
    <col min="2" max="2" width="8.85546875" style="16"/>
    <col min="3" max="3" width="13.5703125" style="16" customWidth="1"/>
    <col min="4" max="4" width="12.140625" style="16" customWidth="1"/>
    <col min="5" max="8" width="11.85546875" style="16" customWidth="1"/>
    <col min="9" max="16384" width="8.85546875" style="16"/>
  </cols>
  <sheetData>
    <row r="1" spans="1:11" ht="13.5">
      <c r="A1" s="17" t="str">
        <f>+Investimentos!A1</f>
        <v>Empresa:</v>
      </c>
      <c r="B1" s="50" t="str">
        <f>+Pressupostos!B1</f>
        <v>Herbawatter</v>
      </c>
      <c r="C1" s="51"/>
      <c r="D1" s="51"/>
      <c r="E1" s="51"/>
      <c r="F1" s="51"/>
      <c r="G1" s="51"/>
      <c r="H1" s="51"/>
    </row>
    <row r="2" spans="1:11">
      <c r="H2" s="54" t="str">
        <f>+Pressupostos!B6</f>
        <v>(valores em euros)</v>
      </c>
      <c r="K2" s="91"/>
    </row>
    <row r="3" spans="1:11">
      <c r="A3" s="365" t="s">
        <v>202</v>
      </c>
      <c r="B3" s="365"/>
      <c r="C3" s="365"/>
      <c r="D3" s="365"/>
      <c r="E3" s="365"/>
      <c r="F3" s="365"/>
      <c r="G3" s="365"/>
      <c r="H3" s="365"/>
    </row>
    <row r="6" spans="1:11">
      <c r="A6" s="59"/>
      <c r="B6" s="107"/>
      <c r="C6" s="57">
        <f>+VN!C5</f>
        <v>2016</v>
      </c>
      <c r="D6" s="57">
        <f>+VN!D5</f>
        <v>2017</v>
      </c>
      <c r="E6" s="57">
        <f>+VN!E5</f>
        <v>2018</v>
      </c>
      <c r="F6" s="57">
        <f>+VN!F5</f>
        <v>2019</v>
      </c>
      <c r="G6" s="57">
        <f>+VN!G5</f>
        <v>2020</v>
      </c>
      <c r="H6" s="57">
        <f>+VN!H5</f>
        <v>2021</v>
      </c>
    </row>
    <row r="7" spans="1:11">
      <c r="A7" s="63" t="s">
        <v>203</v>
      </c>
      <c r="B7" s="111"/>
      <c r="C7" s="181">
        <f>+Investimentos!C24+FundoManeio!C22</f>
        <v>11177.805893999999</v>
      </c>
      <c r="D7" s="181">
        <f>+Investimentos!D24+FundoManeio!D22</f>
        <v>-8844.9349606666638</v>
      </c>
      <c r="E7" s="181">
        <f>+Investimentos!E24+FundoManeio!E22</f>
        <v>4138.8028074666545</v>
      </c>
      <c r="F7" s="181">
        <f>+Investimentos!F24+FundoManeio!F22</f>
        <v>7414.3351454208023</v>
      </c>
      <c r="G7" s="181">
        <f>+Investimentos!G24+FundoManeio!G22</f>
        <v>4088.2991311884834</v>
      </c>
      <c r="H7" s="181">
        <f>+Investimentos!H24+FundoManeio!H22</f>
        <v>3051.2877199976647</v>
      </c>
    </row>
    <row r="8" spans="1:11">
      <c r="A8" s="155" t="s">
        <v>204</v>
      </c>
      <c r="B8" s="111"/>
      <c r="C8" s="199">
        <v>0.05</v>
      </c>
      <c r="D8" s="199">
        <v>0.05</v>
      </c>
      <c r="E8" s="199">
        <v>0.05</v>
      </c>
      <c r="F8" s="199">
        <v>0.05</v>
      </c>
      <c r="G8" s="199">
        <v>0.05</v>
      </c>
      <c r="H8" s="199">
        <v>0.05</v>
      </c>
    </row>
    <row r="9" spans="1:11">
      <c r="A9" s="200" t="s">
        <v>205</v>
      </c>
      <c r="B9" s="201"/>
      <c r="C9" s="188">
        <f t="shared" ref="C9:H9" si="0">+ROUND(C7*(1+C8),-2)</f>
        <v>11700</v>
      </c>
      <c r="D9" s="188">
        <f t="shared" si="0"/>
        <v>-9300</v>
      </c>
      <c r="E9" s="188">
        <f t="shared" si="0"/>
        <v>4300</v>
      </c>
      <c r="F9" s="188">
        <f t="shared" si="0"/>
        <v>7800</v>
      </c>
      <c r="G9" s="188">
        <f t="shared" si="0"/>
        <v>4300</v>
      </c>
      <c r="H9" s="188">
        <f t="shared" si="0"/>
        <v>3200</v>
      </c>
    </row>
    <row r="10" spans="1:11">
      <c r="C10" s="202"/>
      <c r="D10" s="202"/>
      <c r="E10" s="202"/>
      <c r="F10" s="202"/>
      <c r="G10" s="202"/>
      <c r="H10" s="202"/>
    </row>
    <row r="11" spans="1:11">
      <c r="C11" s="202"/>
      <c r="D11" s="202"/>
      <c r="E11" s="202"/>
      <c r="F11" s="202"/>
      <c r="G11" s="202"/>
      <c r="H11" s="202"/>
    </row>
    <row r="12" spans="1:11">
      <c r="A12" s="63" t="s">
        <v>206</v>
      </c>
      <c r="B12" s="111"/>
      <c r="C12" s="57">
        <f t="shared" ref="C12:H12" si="1">+C6</f>
        <v>2016</v>
      </c>
      <c r="D12" s="57">
        <f t="shared" si="1"/>
        <v>2017</v>
      </c>
      <c r="E12" s="57">
        <f t="shared" si="1"/>
        <v>2018</v>
      </c>
      <c r="F12" s="57">
        <f t="shared" si="1"/>
        <v>2019</v>
      </c>
      <c r="G12" s="57">
        <f t="shared" si="1"/>
        <v>2020</v>
      </c>
      <c r="H12" s="57">
        <f t="shared" si="1"/>
        <v>2021</v>
      </c>
    </row>
    <row r="13" spans="1:11">
      <c r="A13" s="65" t="s">
        <v>207</v>
      </c>
      <c r="B13" s="111"/>
      <c r="C13" s="186">
        <f>IF(+'Cash Flow'!C11&gt;0,'Cash Flow'!C11,0)</f>
        <v>0</v>
      </c>
      <c r="D13" s="186">
        <f>IF(+'Cash Flow'!D11&gt;0,'Cash Flow'!D11,0)</f>
        <v>0</v>
      </c>
      <c r="E13" s="186">
        <f>IF(+'Cash Flow'!E11&gt;0,'Cash Flow'!E11,0)</f>
        <v>11396.475721600002</v>
      </c>
      <c r="F13" s="186">
        <f>IF(+'Cash Flow'!F11&gt;0,'Cash Flow'!F11,0)</f>
        <v>115617.35051176969</v>
      </c>
      <c r="G13" s="186">
        <f>IF(+'Cash Flow'!G11&gt;0,'Cash Flow'!G11,0)</f>
        <v>173928.90742909702</v>
      </c>
      <c r="H13" s="186">
        <f>IF(+'Cash Flow'!H11&gt;0,'Cash Flow'!H11,0)</f>
        <v>220455.1930220928</v>
      </c>
    </row>
    <row r="14" spans="1:11">
      <c r="A14" s="65" t="s">
        <v>208</v>
      </c>
      <c r="B14" s="111"/>
      <c r="C14" s="203">
        <v>15000</v>
      </c>
      <c r="D14" s="203">
        <v>30000</v>
      </c>
      <c r="E14" s="203">
        <v>0</v>
      </c>
      <c r="F14" s="203">
        <v>0</v>
      </c>
      <c r="G14" s="203">
        <v>0</v>
      </c>
      <c r="H14" s="203">
        <v>0</v>
      </c>
    </row>
    <row r="15" spans="1:11">
      <c r="A15" s="65" t="s">
        <v>209</v>
      </c>
      <c r="B15" s="111"/>
      <c r="C15" s="203">
        <v>0</v>
      </c>
      <c r="D15" s="203">
        <v>0</v>
      </c>
      <c r="E15" s="203">
        <v>0</v>
      </c>
      <c r="F15" s="203">
        <v>0</v>
      </c>
      <c r="G15" s="203">
        <v>0</v>
      </c>
      <c r="H15" s="203">
        <v>0</v>
      </c>
    </row>
    <row r="16" spans="1:11">
      <c r="A16" s="65" t="s">
        <v>210</v>
      </c>
      <c r="B16" s="107"/>
      <c r="C16" s="181">
        <f t="shared" ref="C16:H16" si="2">ROUND(IF(C9-C13-C14-C15&lt;0,0,C9-C13-C14-C15),-2)</f>
        <v>0</v>
      </c>
      <c r="D16" s="181">
        <f t="shared" si="2"/>
        <v>0</v>
      </c>
      <c r="E16" s="181">
        <f t="shared" si="2"/>
        <v>0</v>
      </c>
      <c r="F16" s="181">
        <f t="shared" si="2"/>
        <v>0</v>
      </c>
      <c r="G16" s="181">
        <f t="shared" si="2"/>
        <v>0</v>
      </c>
      <c r="H16" s="181">
        <f t="shared" si="2"/>
        <v>0</v>
      </c>
    </row>
    <row r="17" spans="1:8" ht="14.25" customHeight="1">
      <c r="A17" s="386" t="s">
        <v>52</v>
      </c>
      <c r="B17" s="386"/>
      <c r="C17" s="188">
        <f t="shared" ref="C17:H17" si="3">+C14+C15+C13+C16</f>
        <v>15000</v>
      </c>
      <c r="D17" s="188">
        <f t="shared" si="3"/>
        <v>30000</v>
      </c>
      <c r="E17" s="188">
        <f t="shared" si="3"/>
        <v>11396.475721600002</v>
      </c>
      <c r="F17" s="188">
        <f t="shared" si="3"/>
        <v>115617.35051176969</v>
      </c>
      <c r="G17" s="188">
        <f t="shared" si="3"/>
        <v>173928.90742909702</v>
      </c>
      <c r="H17" s="188">
        <f t="shared" si="3"/>
        <v>220455.1930220928</v>
      </c>
    </row>
    <row r="18" spans="1:8">
      <c r="C18" s="204"/>
      <c r="D18" s="204"/>
      <c r="E18" s="204"/>
      <c r="F18" s="204"/>
      <c r="G18" s="204"/>
      <c r="H18" s="204"/>
    </row>
    <row r="19" spans="1:8">
      <c r="C19" s="205"/>
      <c r="D19" s="205"/>
      <c r="E19" s="205"/>
      <c r="F19" s="205"/>
      <c r="G19" s="205"/>
      <c r="H19" s="205"/>
    </row>
    <row r="21" spans="1:8">
      <c r="A21" s="42" t="s">
        <v>211</v>
      </c>
    </row>
    <row r="22" spans="1:8">
      <c r="A22" s="65" t="s">
        <v>212</v>
      </c>
      <c r="B22" s="107"/>
      <c r="C22" s="206">
        <f>+C16</f>
        <v>0</v>
      </c>
      <c r="D22" s="186">
        <f>+C22</f>
        <v>0</v>
      </c>
      <c r="E22" s="186">
        <f>+D28</f>
        <v>0</v>
      </c>
      <c r="F22" s="186">
        <f>+E28</f>
        <v>0</v>
      </c>
      <c r="G22" s="186">
        <f>+F28</f>
        <v>0</v>
      </c>
      <c r="H22" s="186">
        <f>+G28</f>
        <v>0</v>
      </c>
    </row>
    <row r="23" spans="1:8">
      <c r="A23" s="65" t="s">
        <v>213</v>
      </c>
      <c r="B23" s="107"/>
      <c r="C23" s="207"/>
      <c r="D23" s="208">
        <f>+Pressupostos!$B$22</f>
        <v>0.06</v>
      </c>
      <c r="E23" s="208">
        <f>+Pressupostos!$B$22</f>
        <v>0.06</v>
      </c>
      <c r="F23" s="208">
        <f>+Pressupostos!$B$22</f>
        <v>0.06</v>
      </c>
      <c r="G23" s="208">
        <f>+Pressupostos!$B$22</f>
        <v>0.06</v>
      </c>
      <c r="H23" s="208">
        <f>+Pressupostos!$B$22</f>
        <v>0.06</v>
      </c>
    </row>
    <row r="24" spans="1:8">
      <c r="A24" s="65" t="s">
        <v>214</v>
      </c>
      <c r="B24" s="107"/>
      <c r="C24" s="209"/>
      <c r="D24" s="186">
        <f>+D22*D23</f>
        <v>0</v>
      </c>
      <c r="E24" s="186">
        <f>+E22*E23</f>
        <v>0</v>
      </c>
      <c r="F24" s="186">
        <f>+F22*F23</f>
        <v>0</v>
      </c>
      <c r="G24" s="186">
        <f>+G22*G23</f>
        <v>0</v>
      </c>
      <c r="H24" s="186">
        <f>+H22*H23</f>
        <v>0</v>
      </c>
    </row>
    <row r="25" spans="1:8">
      <c r="A25" s="65" t="s">
        <v>215</v>
      </c>
      <c r="B25" s="107"/>
      <c r="C25" s="209"/>
      <c r="D25" s="186">
        <f>+$D$22/5</f>
        <v>0</v>
      </c>
      <c r="E25" s="186">
        <f>+$D$22/5</f>
        <v>0</v>
      </c>
      <c r="F25" s="186">
        <f>+$D$22/5</f>
        <v>0</v>
      </c>
      <c r="G25" s="186">
        <f>+$D$22/5</f>
        <v>0</v>
      </c>
      <c r="H25" s="186">
        <f>+$D$22/5</f>
        <v>0</v>
      </c>
    </row>
    <row r="26" spans="1:8">
      <c r="A26" s="65" t="s">
        <v>216</v>
      </c>
      <c r="B26" s="107"/>
      <c r="C26" s="209"/>
      <c r="D26" s="186">
        <f>+D24*0.004</f>
        <v>0</v>
      </c>
      <c r="E26" s="186">
        <f>+E24*0.004</f>
        <v>0</v>
      </c>
      <c r="F26" s="186">
        <f>+F24*0.004</f>
        <v>0</v>
      </c>
      <c r="G26" s="186">
        <f>+G24*0.004</f>
        <v>0</v>
      </c>
      <c r="H26" s="186">
        <f>+H24*0.004</f>
        <v>0</v>
      </c>
    </row>
    <row r="27" spans="1:8">
      <c r="A27" s="65" t="s">
        <v>217</v>
      </c>
      <c r="B27" s="107"/>
      <c r="C27" s="209"/>
      <c r="D27" s="186">
        <f>+D24+D25+D26</f>
        <v>0</v>
      </c>
      <c r="E27" s="186">
        <f>+E24+E25+E26</f>
        <v>0</v>
      </c>
      <c r="F27" s="186">
        <f>+F24+F25+F26</f>
        <v>0</v>
      </c>
      <c r="G27" s="186">
        <f>+G24+G25+G26</f>
        <v>0</v>
      </c>
      <c r="H27" s="186">
        <f>+H24+H25+H26</f>
        <v>0</v>
      </c>
    </row>
    <row r="28" spans="1:8">
      <c r="A28" s="210" t="s">
        <v>218</v>
      </c>
      <c r="B28" s="211"/>
      <c r="C28" s="186">
        <f t="shared" ref="C28:H28" si="4">+C22-C25</f>
        <v>0</v>
      </c>
      <c r="D28" s="186">
        <f t="shared" si="4"/>
        <v>0</v>
      </c>
      <c r="E28" s="186">
        <f t="shared" si="4"/>
        <v>0</v>
      </c>
      <c r="F28" s="186">
        <f t="shared" si="4"/>
        <v>0</v>
      </c>
      <c r="G28" s="186">
        <f t="shared" si="4"/>
        <v>0</v>
      </c>
      <c r="H28" s="186">
        <f t="shared" si="4"/>
        <v>0</v>
      </c>
    </row>
    <row r="30" spans="1:8">
      <c r="A30" s="42" t="s">
        <v>219</v>
      </c>
    </row>
    <row r="31" spans="1:8">
      <c r="A31" s="65" t="s">
        <v>212</v>
      </c>
      <c r="B31" s="107"/>
      <c r="C31" s="212">
        <f>+C24</f>
        <v>0</v>
      </c>
      <c r="D31" s="186">
        <f>+D16</f>
        <v>0</v>
      </c>
      <c r="E31" s="186">
        <f>+D37</f>
        <v>0</v>
      </c>
      <c r="F31" s="186">
        <f>+E37</f>
        <v>0</v>
      </c>
      <c r="G31" s="186">
        <f>+F37</f>
        <v>0</v>
      </c>
      <c r="H31" s="186">
        <f>+G37</f>
        <v>0</v>
      </c>
    </row>
    <row r="32" spans="1:8">
      <c r="A32" s="65" t="s">
        <v>213</v>
      </c>
      <c r="B32" s="107"/>
      <c r="C32" s="207"/>
      <c r="D32" s="208">
        <f>+Pressupostos!$B$22</f>
        <v>0.06</v>
      </c>
      <c r="E32" s="208">
        <f>+Pressupostos!$B$22</f>
        <v>0.06</v>
      </c>
      <c r="F32" s="208">
        <f>+Pressupostos!$B$22</f>
        <v>0.06</v>
      </c>
      <c r="G32" s="208">
        <f>+Pressupostos!$B$22</f>
        <v>0.06</v>
      </c>
      <c r="H32" s="208">
        <f>+Pressupostos!$B$22</f>
        <v>0.06</v>
      </c>
    </row>
    <row r="33" spans="1:8">
      <c r="A33" s="65" t="s">
        <v>214</v>
      </c>
      <c r="B33" s="107"/>
      <c r="C33" s="209"/>
      <c r="D33" s="186">
        <f>+D31*D32</f>
        <v>0</v>
      </c>
      <c r="E33" s="186">
        <f>+E31*E32</f>
        <v>0</v>
      </c>
      <c r="F33" s="186">
        <f>+F31*F32</f>
        <v>0</v>
      </c>
      <c r="G33" s="186">
        <f>+G31*G32</f>
        <v>0</v>
      </c>
      <c r="H33" s="186">
        <f>+H31*H32</f>
        <v>0</v>
      </c>
    </row>
    <row r="34" spans="1:8">
      <c r="A34" s="65" t="s">
        <v>215</v>
      </c>
      <c r="B34" s="107"/>
      <c r="C34" s="209"/>
      <c r="D34" s="186">
        <f>+$D$31/5</f>
        <v>0</v>
      </c>
      <c r="E34" s="186">
        <f>+$D$31/5</f>
        <v>0</v>
      </c>
      <c r="F34" s="186">
        <f>+$D$31/5</f>
        <v>0</v>
      </c>
      <c r="G34" s="186">
        <f>+$D$31/5</f>
        <v>0</v>
      </c>
      <c r="H34" s="186">
        <f>+$D$31/5</f>
        <v>0</v>
      </c>
    </row>
    <row r="35" spans="1:8">
      <c r="A35" s="65" t="s">
        <v>216</v>
      </c>
      <c r="B35" s="107"/>
      <c r="C35" s="209"/>
      <c r="D35" s="186">
        <f>0.004*D33</f>
        <v>0</v>
      </c>
      <c r="E35" s="186">
        <f>0.004*E33</f>
        <v>0</v>
      </c>
      <c r="F35" s="186">
        <f>0.004*F33</f>
        <v>0</v>
      </c>
      <c r="G35" s="186">
        <f>0.004*G33</f>
        <v>0</v>
      </c>
      <c r="H35" s="186">
        <f>0.004*H33</f>
        <v>0</v>
      </c>
    </row>
    <row r="36" spans="1:8">
      <c r="A36" s="65" t="s">
        <v>217</v>
      </c>
      <c r="B36" s="107"/>
      <c r="C36" s="209"/>
      <c r="D36" s="186">
        <f>+D33+D34+D35</f>
        <v>0</v>
      </c>
      <c r="E36" s="186">
        <f>+E33+E34+E35</f>
        <v>0</v>
      </c>
      <c r="F36" s="186">
        <f>+F33+F34+F35</f>
        <v>0</v>
      </c>
      <c r="G36" s="186">
        <f>+G33+G34+G35</f>
        <v>0</v>
      </c>
      <c r="H36" s="186">
        <f>+H33+H34+H35</f>
        <v>0</v>
      </c>
    </row>
    <row r="37" spans="1:8">
      <c r="A37" s="210" t="s">
        <v>218</v>
      </c>
      <c r="B37" s="211"/>
      <c r="C37" s="213"/>
      <c r="D37" s="186">
        <f>+D31-D34</f>
        <v>0</v>
      </c>
      <c r="E37" s="186">
        <f>+E31-E34</f>
        <v>0</v>
      </c>
      <c r="F37" s="186">
        <f>+F31-F34</f>
        <v>0</v>
      </c>
      <c r="G37" s="186">
        <f>+G31-G34</f>
        <v>0</v>
      </c>
      <c r="H37" s="186">
        <f>+H31-H34</f>
        <v>0</v>
      </c>
    </row>
    <row r="39" spans="1:8">
      <c r="A39" s="42" t="s">
        <v>220</v>
      </c>
    </row>
    <row r="40" spans="1:8">
      <c r="A40" s="65" t="s">
        <v>212</v>
      </c>
      <c r="B40" s="107"/>
      <c r="C40" s="214">
        <f>+C33</f>
        <v>0</v>
      </c>
      <c r="D40" s="215"/>
      <c r="E40" s="216">
        <f>+E16</f>
        <v>0</v>
      </c>
      <c r="F40" s="186">
        <f>+E46</f>
        <v>0</v>
      </c>
      <c r="G40" s="186">
        <f>+F46</f>
        <v>0</v>
      </c>
      <c r="H40" s="186">
        <f>+G46</f>
        <v>0</v>
      </c>
    </row>
    <row r="41" spans="1:8">
      <c r="A41" s="65" t="s">
        <v>213</v>
      </c>
      <c r="B41" s="107"/>
      <c r="C41" s="217"/>
      <c r="D41" s="218"/>
      <c r="E41" s="219">
        <f>+Pressupostos!$B$22</f>
        <v>0.06</v>
      </c>
      <c r="F41" s="208">
        <f>+Pressupostos!$B$22</f>
        <v>0.06</v>
      </c>
      <c r="G41" s="208">
        <f>+Pressupostos!$B$22</f>
        <v>0.06</v>
      </c>
      <c r="H41" s="208">
        <f>+Pressupostos!$B$22</f>
        <v>0.06</v>
      </c>
    </row>
    <row r="42" spans="1:8">
      <c r="A42" s="65" t="s">
        <v>214</v>
      </c>
      <c r="B42" s="107"/>
      <c r="C42" s="220"/>
      <c r="D42" s="221"/>
      <c r="E42" s="216">
        <f>+E40*E41</f>
        <v>0</v>
      </c>
      <c r="F42" s="216">
        <f>+F40*F41</f>
        <v>0</v>
      </c>
      <c r="G42" s="216">
        <f>+G40*G41</f>
        <v>0</v>
      </c>
      <c r="H42" s="216">
        <f>+H40*H41</f>
        <v>0</v>
      </c>
    </row>
    <row r="43" spans="1:8">
      <c r="A43" s="65" t="s">
        <v>215</v>
      </c>
      <c r="B43" s="107"/>
      <c r="C43" s="220"/>
      <c r="D43" s="221"/>
      <c r="E43" s="216">
        <f>+$E$40/5</f>
        <v>0</v>
      </c>
      <c r="F43" s="216">
        <f>+$E$40/5</f>
        <v>0</v>
      </c>
      <c r="G43" s="216">
        <f>+$E$40/5</f>
        <v>0</v>
      </c>
      <c r="H43" s="216">
        <f>+$E$40/5</f>
        <v>0</v>
      </c>
    </row>
    <row r="44" spans="1:8">
      <c r="A44" s="65" t="s">
        <v>216</v>
      </c>
      <c r="B44" s="107"/>
      <c r="C44" s="220"/>
      <c r="D44" s="221"/>
      <c r="E44" s="216">
        <f>0.004*E42</f>
        <v>0</v>
      </c>
      <c r="F44" s="216">
        <f>0.004*F42</f>
        <v>0</v>
      </c>
      <c r="G44" s="216">
        <f>0.004*G42</f>
        <v>0</v>
      </c>
      <c r="H44" s="216">
        <f>0.004*H42</f>
        <v>0</v>
      </c>
    </row>
    <row r="45" spans="1:8">
      <c r="A45" s="65" t="s">
        <v>217</v>
      </c>
      <c r="B45" s="107"/>
      <c r="C45" s="220"/>
      <c r="D45" s="221"/>
      <c r="E45" s="216">
        <f>+E42+E43+E44</f>
        <v>0</v>
      </c>
      <c r="F45" s="216">
        <f>+F42+F43+F44</f>
        <v>0</v>
      </c>
      <c r="G45" s="216">
        <f>+G42+G43+G44</f>
        <v>0</v>
      </c>
      <c r="H45" s="216">
        <f>+H42+H43+H44</f>
        <v>0</v>
      </c>
    </row>
    <row r="46" spans="1:8">
      <c r="A46" s="210" t="s">
        <v>221</v>
      </c>
      <c r="B46" s="211"/>
      <c r="C46" s="213"/>
      <c r="D46" s="221"/>
      <c r="E46" s="216">
        <f>+E40-E43</f>
        <v>0</v>
      </c>
      <c r="F46" s="216">
        <f>+F40-F43</f>
        <v>0</v>
      </c>
      <c r="G46" s="216">
        <f>+G40-G43</f>
        <v>0</v>
      </c>
      <c r="H46" s="216">
        <f>+H40-H43</f>
        <v>0</v>
      </c>
    </row>
    <row r="48" spans="1:8">
      <c r="A48" s="42" t="s">
        <v>222</v>
      </c>
    </row>
    <row r="49" spans="1:8">
      <c r="A49" s="65" t="s">
        <v>212</v>
      </c>
      <c r="B49" s="107"/>
      <c r="C49" s="214">
        <f>+C42</f>
        <v>0</v>
      </c>
      <c r="D49" s="222"/>
      <c r="E49" s="215"/>
      <c r="F49" s="186">
        <f>+F16</f>
        <v>0</v>
      </c>
      <c r="G49" s="186">
        <f>+F55</f>
        <v>0</v>
      </c>
      <c r="H49" s="186">
        <f>+G55</f>
        <v>0</v>
      </c>
    </row>
    <row r="50" spans="1:8">
      <c r="A50" s="65" t="s">
        <v>213</v>
      </c>
      <c r="B50" s="107"/>
      <c r="C50" s="217"/>
      <c r="D50" s="218"/>
      <c r="E50" s="218"/>
      <c r="F50" s="208">
        <f>+Pressupostos!$B$22</f>
        <v>0.06</v>
      </c>
      <c r="G50" s="208">
        <f>+Pressupostos!$B$22</f>
        <v>0.06</v>
      </c>
      <c r="H50" s="208">
        <f>+Pressupostos!$B$22</f>
        <v>0.06</v>
      </c>
    </row>
    <row r="51" spans="1:8">
      <c r="A51" s="65" t="s">
        <v>214</v>
      </c>
      <c r="B51" s="107"/>
      <c r="C51" s="220"/>
      <c r="D51" s="221"/>
      <c r="E51" s="221"/>
      <c r="F51" s="216">
        <f>+F49*F50</f>
        <v>0</v>
      </c>
      <c r="G51" s="216">
        <f>+G49*G50</f>
        <v>0</v>
      </c>
      <c r="H51" s="216">
        <f>+H49*H50</f>
        <v>0</v>
      </c>
    </row>
    <row r="52" spans="1:8">
      <c r="A52" s="65" t="s">
        <v>215</v>
      </c>
      <c r="B52" s="107"/>
      <c r="C52" s="220"/>
      <c r="D52" s="221"/>
      <c r="E52" s="221"/>
      <c r="F52" s="216">
        <f>$F$49/5</f>
        <v>0</v>
      </c>
      <c r="G52" s="216">
        <f>$F$49/5</f>
        <v>0</v>
      </c>
      <c r="H52" s="216">
        <f>$F$49/5</f>
        <v>0</v>
      </c>
    </row>
    <row r="53" spans="1:8">
      <c r="A53" s="65" t="s">
        <v>216</v>
      </c>
      <c r="B53" s="107"/>
      <c r="C53" s="220"/>
      <c r="D53" s="221"/>
      <c r="E53" s="221"/>
      <c r="F53" s="216">
        <f>+F51*0.004</f>
        <v>0</v>
      </c>
      <c r="G53" s="216">
        <f>+G51*0.004</f>
        <v>0</v>
      </c>
      <c r="H53" s="216">
        <f>+H51*0.004</f>
        <v>0</v>
      </c>
    </row>
    <row r="54" spans="1:8">
      <c r="A54" s="65" t="s">
        <v>217</v>
      </c>
      <c r="B54" s="107"/>
      <c r="C54" s="220"/>
      <c r="D54" s="221"/>
      <c r="E54" s="221"/>
      <c r="F54" s="216">
        <f>+F51+F52+F53</f>
        <v>0</v>
      </c>
      <c r="G54" s="216">
        <f>+G51+G52+G53</f>
        <v>0</v>
      </c>
      <c r="H54" s="216">
        <f>+H51+H52+H53</f>
        <v>0</v>
      </c>
    </row>
    <row r="55" spans="1:8">
      <c r="A55" s="210" t="s">
        <v>218</v>
      </c>
      <c r="B55" s="211"/>
      <c r="C55" s="213"/>
      <c r="D55" s="221"/>
      <c r="E55" s="221"/>
      <c r="F55" s="216">
        <f>+F49-F52</f>
        <v>0</v>
      </c>
      <c r="G55" s="216">
        <f>+G49-G52</f>
        <v>0</v>
      </c>
      <c r="H55" s="216">
        <f>+H49-H52</f>
        <v>0</v>
      </c>
    </row>
    <row r="57" spans="1:8">
      <c r="A57" s="42" t="s">
        <v>223</v>
      </c>
    </row>
    <row r="58" spans="1:8">
      <c r="A58" s="65" t="s">
        <v>212</v>
      </c>
      <c r="B58" s="107"/>
      <c r="C58" s="214">
        <f>+C51</f>
        <v>0</v>
      </c>
      <c r="D58" s="222"/>
      <c r="E58" s="221"/>
      <c r="F58" s="215"/>
      <c r="G58" s="186">
        <f>+G16</f>
        <v>0</v>
      </c>
      <c r="H58" s="186">
        <f>+G64</f>
        <v>0</v>
      </c>
    </row>
    <row r="59" spans="1:8">
      <c r="A59" s="65" t="s">
        <v>213</v>
      </c>
      <c r="B59" s="107"/>
      <c r="C59" s="217"/>
      <c r="D59" s="218"/>
      <c r="E59" s="218"/>
      <c r="F59" s="218"/>
      <c r="G59" s="208">
        <f>+Pressupostos!$B$22</f>
        <v>0.06</v>
      </c>
      <c r="H59" s="208">
        <f>+Pressupostos!$B$22</f>
        <v>0.06</v>
      </c>
    </row>
    <row r="60" spans="1:8">
      <c r="A60" s="65" t="s">
        <v>214</v>
      </c>
      <c r="B60" s="107"/>
      <c r="C60" s="220"/>
      <c r="D60" s="221"/>
      <c r="E60" s="221"/>
      <c r="F60" s="221"/>
      <c r="G60" s="216">
        <f>+G58*G59</f>
        <v>0</v>
      </c>
      <c r="H60" s="216">
        <f>+H58*H59</f>
        <v>0</v>
      </c>
    </row>
    <row r="61" spans="1:8">
      <c r="A61" s="65" t="s">
        <v>215</v>
      </c>
      <c r="B61" s="107"/>
      <c r="C61" s="220"/>
      <c r="D61" s="221"/>
      <c r="E61" s="221"/>
      <c r="F61" s="221"/>
      <c r="G61" s="216">
        <f>$G$58/5</f>
        <v>0</v>
      </c>
      <c r="H61" s="216">
        <f>$G$58/5</f>
        <v>0</v>
      </c>
    </row>
    <row r="62" spans="1:8">
      <c r="A62" s="65" t="s">
        <v>216</v>
      </c>
      <c r="B62" s="107"/>
      <c r="C62" s="220"/>
      <c r="D62" s="221"/>
      <c r="E62" s="221"/>
      <c r="F62" s="221"/>
      <c r="G62" s="216">
        <f>+G60*0.004</f>
        <v>0</v>
      </c>
      <c r="H62" s="216">
        <f>+H60*0.004</f>
        <v>0</v>
      </c>
    </row>
    <row r="63" spans="1:8">
      <c r="A63" s="65" t="s">
        <v>217</v>
      </c>
      <c r="B63" s="107"/>
      <c r="C63" s="220"/>
      <c r="D63" s="221"/>
      <c r="E63" s="221"/>
      <c r="F63" s="221"/>
      <c r="G63" s="216">
        <f>+G60+G61+G62</f>
        <v>0</v>
      </c>
      <c r="H63" s="216">
        <f>+H60+H61+H62</f>
        <v>0</v>
      </c>
    </row>
    <row r="64" spans="1:8">
      <c r="A64" s="210" t="s">
        <v>218</v>
      </c>
      <c r="B64" s="211"/>
      <c r="C64" s="213"/>
      <c r="D64" s="221"/>
      <c r="E64" s="221"/>
      <c r="F64" s="221"/>
      <c r="G64" s="223">
        <f>+G58-G61</f>
        <v>0</v>
      </c>
      <c r="H64" s="223">
        <f>+H58-H61</f>
        <v>0</v>
      </c>
    </row>
    <row r="66" spans="1:8">
      <c r="A66" s="42" t="s">
        <v>224</v>
      </c>
    </row>
    <row r="67" spans="1:8">
      <c r="A67" s="65" t="s">
        <v>212</v>
      </c>
      <c r="B67" s="107"/>
      <c r="C67" s="214">
        <f>+C60</f>
        <v>0</v>
      </c>
      <c r="D67" s="222"/>
      <c r="E67" s="222"/>
      <c r="F67" s="222"/>
      <c r="G67" s="222"/>
      <c r="H67" s="186">
        <f>+H16</f>
        <v>0</v>
      </c>
    </row>
    <row r="68" spans="1:8">
      <c r="A68" s="65" t="s">
        <v>213</v>
      </c>
      <c r="B68" s="107"/>
      <c r="C68" s="217"/>
      <c r="D68" s="218"/>
      <c r="E68" s="218"/>
      <c r="F68" s="218"/>
      <c r="G68" s="218"/>
      <c r="H68" s="208">
        <f>+Pressupostos!$B$22</f>
        <v>0.06</v>
      </c>
    </row>
    <row r="69" spans="1:8">
      <c r="A69" s="65" t="s">
        <v>214</v>
      </c>
      <c r="B69" s="107"/>
      <c r="C69" s="220"/>
      <c r="D69" s="221"/>
      <c r="E69" s="221"/>
      <c r="F69" s="221"/>
      <c r="G69" s="221"/>
      <c r="H69" s="216">
        <f>+H67*H68</f>
        <v>0</v>
      </c>
    </row>
    <row r="70" spans="1:8">
      <c r="A70" s="65" t="s">
        <v>215</v>
      </c>
      <c r="B70" s="107"/>
      <c r="C70" s="220"/>
      <c r="D70" s="221"/>
      <c r="E70" s="221"/>
      <c r="F70" s="221"/>
      <c r="G70" s="221"/>
      <c r="H70" s="216">
        <f>$H$67/5</f>
        <v>0</v>
      </c>
    </row>
    <row r="71" spans="1:8">
      <c r="A71" s="65" t="s">
        <v>216</v>
      </c>
      <c r="B71" s="107"/>
      <c r="C71" s="220"/>
      <c r="D71" s="221"/>
      <c r="E71" s="221"/>
      <c r="F71" s="221"/>
      <c r="G71" s="221"/>
      <c r="H71" s="216">
        <f>0.004*H69</f>
        <v>0</v>
      </c>
    </row>
    <row r="72" spans="1:8">
      <c r="A72" s="65" t="s">
        <v>217</v>
      </c>
      <c r="B72" s="107"/>
      <c r="C72" s="220"/>
      <c r="D72" s="221"/>
      <c r="E72" s="221"/>
      <c r="F72" s="221"/>
      <c r="G72" s="221"/>
      <c r="H72" s="216">
        <f>+H69+H70+H71</f>
        <v>0</v>
      </c>
    </row>
    <row r="73" spans="1:8">
      <c r="A73" s="210" t="s">
        <v>218</v>
      </c>
      <c r="B73" s="211"/>
      <c r="C73" s="213"/>
      <c r="D73" s="221"/>
      <c r="E73" s="221"/>
      <c r="F73" s="221"/>
      <c r="G73" s="221"/>
      <c r="H73" s="223">
        <f>+H67-H70</f>
        <v>0</v>
      </c>
    </row>
    <row r="75" spans="1:8">
      <c r="D75" s="224"/>
    </row>
    <row r="76" spans="1:8">
      <c r="A76" s="63" t="s">
        <v>225</v>
      </c>
      <c r="B76" s="111"/>
      <c r="C76" s="181">
        <f t="shared" ref="C76:H76" si="5">+C28+C37+C46+C55+C64+C73</f>
        <v>0</v>
      </c>
      <c r="D76" s="181">
        <f t="shared" si="5"/>
        <v>0</v>
      </c>
      <c r="E76" s="181">
        <f t="shared" si="5"/>
        <v>0</v>
      </c>
      <c r="F76" s="181">
        <f t="shared" si="5"/>
        <v>0</v>
      </c>
      <c r="G76" s="181">
        <f t="shared" si="5"/>
        <v>0</v>
      </c>
      <c r="H76" s="181">
        <f t="shared" si="5"/>
        <v>0</v>
      </c>
    </row>
    <row r="78" spans="1:8">
      <c r="A78" s="63" t="s">
        <v>226</v>
      </c>
      <c r="B78" s="111"/>
      <c r="C78" s="181">
        <f t="shared" ref="C78:H78" si="6">+C24+C33+C42+C51+C60+C69+C26+C35+C44+C53+C62+C71</f>
        <v>0</v>
      </c>
      <c r="D78" s="181">
        <f t="shared" si="6"/>
        <v>0</v>
      </c>
      <c r="E78" s="181">
        <f t="shared" si="6"/>
        <v>0</v>
      </c>
      <c r="F78" s="181">
        <f t="shared" si="6"/>
        <v>0</v>
      </c>
      <c r="G78" s="181">
        <f t="shared" si="6"/>
        <v>0</v>
      </c>
      <c r="H78" s="181">
        <f t="shared" si="6"/>
        <v>0</v>
      </c>
    </row>
    <row r="79" spans="1:8">
      <c r="A79" s="63" t="s">
        <v>227</v>
      </c>
      <c r="B79" s="111"/>
      <c r="C79" s="181">
        <f t="shared" ref="C79:H79" si="7">+C25+C34+C43+C52+C61+C70</f>
        <v>0</v>
      </c>
      <c r="D79" s="181">
        <f t="shared" si="7"/>
        <v>0</v>
      </c>
      <c r="E79" s="181">
        <f t="shared" si="7"/>
        <v>0</v>
      </c>
      <c r="F79" s="181">
        <f t="shared" si="7"/>
        <v>0</v>
      </c>
      <c r="G79" s="181">
        <f t="shared" si="7"/>
        <v>0</v>
      </c>
      <c r="H79" s="181">
        <f t="shared" si="7"/>
        <v>0</v>
      </c>
    </row>
  </sheetData>
  <sheetProtection selectLockedCells="1" selectUnlockedCells="1"/>
  <mergeCells count="2">
    <mergeCell ref="A3:H3"/>
    <mergeCell ref="A17:B17"/>
  </mergeCells>
  <printOptions horizontalCentered="1"/>
  <pageMargins left="0.15763888888888888" right="0.15763888888888888" top="0.39374999999999999" bottom="0.39374999999999999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17</vt:i4>
      </vt:variant>
      <vt:variant>
        <vt:lpstr>Intervalos com Nome</vt:lpstr>
      </vt:variant>
      <vt:variant>
        <vt:i4>18</vt:i4>
      </vt:variant>
    </vt:vector>
  </HeadingPairs>
  <TitlesOfParts>
    <vt:vector size="35" baseType="lpstr">
      <vt:lpstr>Regras de Utilização</vt:lpstr>
      <vt:lpstr>Pressupostos</vt:lpstr>
      <vt:lpstr>VN</vt:lpstr>
      <vt:lpstr>CMVMC</vt:lpstr>
      <vt:lpstr>FSE</vt:lpstr>
      <vt:lpstr>Custos Pessoal</vt:lpstr>
      <vt:lpstr>Investimentos</vt:lpstr>
      <vt:lpstr>FundoManeio</vt:lpstr>
      <vt:lpstr>Financiamento</vt:lpstr>
      <vt:lpstr>DR</vt:lpstr>
      <vt:lpstr>Cash Flow</vt:lpstr>
      <vt:lpstr>PlanoFinanceiro</vt:lpstr>
      <vt:lpstr>Balanço</vt:lpstr>
      <vt:lpstr>Indicadores</vt:lpstr>
      <vt:lpstr>Avaliação</vt:lpstr>
      <vt:lpstr>Gráficos</vt:lpstr>
      <vt:lpstr>Calculos Auxiliares</vt:lpstr>
      <vt:lpstr>Avaliação!Área_de_Impressão</vt:lpstr>
      <vt:lpstr>Balanço!Área_de_Impressão</vt:lpstr>
      <vt:lpstr>'Calculos Auxiliares'!Área_de_Impressão</vt:lpstr>
      <vt:lpstr>'Cash Flow'!Área_de_Impressão</vt:lpstr>
      <vt:lpstr>CMVMC!Área_de_Impressão</vt:lpstr>
      <vt:lpstr>'Custos Pessoal'!Área_de_Impressão</vt:lpstr>
      <vt:lpstr>DR!Área_de_Impressão</vt:lpstr>
      <vt:lpstr>Financiamento!Área_de_Impressão</vt:lpstr>
      <vt:lpstr>FSE!Área_de_Impressão</vt:lpstr>
      <vt:lpstr>FundoManeio!Área_de_Impressão</vt:lpstr>
      <vt:lpstr>Gráficos!Área_de_Impressão</vt:lpstr>
      <vt:lpstr>Indicadores!Área_de_Impressão</vt:lpstr>
      <vt:lpstr>Investimentos!Área_de_Impressão</vt:lpstr>
      <vt:lpstr>PlanoFinanceiro!Área_de_Impressão</vt:lpstr>
      <vt:lpstr>Pressupostos!Área_de_Impressão</vt:lpstr>
      <vt:lpstr>'Regras de Utilização'!Área_de_Impressão</vt:lpstr>
      <vt:lpstr>VN!Área_de_Impressão</vt:lpstr>
      <vt:lpstr>Financiamento!Títulos_de_Impressão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Gonçalves</dc:creator>
  <cp:lastModifiedBy>David Gonçalves</cp:lastModifiedBy>
  <dcterms:created xsi:type="dcterms:W3CDTF">2016-12-16T03:29:37Z</dcterms:created>
  <dcterms:modified xsi:type="dcterms:W3CDTF">2016-12-16T05:58:11Z</dcterms:modified>
</cp:coreProperties>
</file>