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4.xml.rels" ContentType="application/vnd.openxmlformats-package.relationships+xml"/>
  <Override PartName="/xl/worksheets/_rels/sheet1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1"/>
  </bookViews>
  <sheets>
    <sheet name="Regras de Utilização" sheetId="1" state="visible" r:id="rId2"/>
    <sheet name="Pressupostos" sheetId="2" state="visible" r:id="rId3"/>
    <sheet name="VN" sheetId="3" state="visible" r:id="rId4"/>
    <sheet name="CMVMC" sheetId="4" state="visible" r:id="rId5"/>
    <sheet name="FSE" sheetId="5" state="visible" r:id="rId6"/>
    <sheet name="Custos Pessoal" sheetId="6" state="visible" r:id="rId7"/>
    <sheet name="Investimentos" sheetId="7" state="visible" r:id="rId8"/>
    <sheet name="FundoManeio" sheetId="8" state="visible" r:id="rId9"/>
    <sheet name="Financiamento" sheetId="9" state="visible" r:id="rId10"/>
    <sheet name="DR" sheetId="10" state="visible" r:id="rId11"/>
    <sheet name="Cash Flow" sheetId="11" state="visible" r:id="rId12"/>
    <sheet name="PlanoFinanceiro" sheetId="12" state="visible" r:id="rId13"/>
    <sheet name="Balanço" sheetId="13" state="visible" r:id="rId14"/>
    <sheet name="Indicadores" sheetId="14" state="visible" r:id="rId15"/>
    <sheet name="Avaliação" sheetId="15" state="visible" r:id="rId16"/>
    <sheet name="Gráficos" sheetId="16" state="visible" r:id="rId17"/>
    <sheet name="Calculos Auxiliares" sheetId="17" state="visible" r:id="rId18"/>
  </sheets>
  <definedNames>
    <definedName function="false" hidden="false" localSheetId="14" name="_xlnm.Print_Area" vbProcedure="false">Avaliação!$A$1:$I$80</definedName>
    <definedName function="false" hidden="false" localSheetId="12" name="_xlnm.Print_Area" vbProcedure="false">Balanço!$A$1:$H$49</definedName>
    <definedName function="false" hidden="false" localSheetId="16" name="_xlnm.Print_Area" vbProcedure="false">'Calculos Auxiliares'!$A$1:$H$90</definedName>
    <definedName function="false" hidden="false" localSheetId="10" name="_xlnm.Print_Area" vbProcedure="false">'Cash Flow'!$A$1:$H$22</definedName>
    <definedName function="false" hidden="false" localSheetId="3" name="_xlnm.Print_Area" vbProcedure="false">CMVMC!$A$1:$H$23</definedName>
    <definedName function="false" hidden="false" localSheetId="5" name="_xlnm.Print_Area" vbProcedure="false">'Custos Pessoal'!$A$1:$I$71</definedName>
    <definedName function="false" hidden="false" localSheetId="9" name="_xlnm.Print_Area" vbProcedure="false">DR!$A$1:$H$37</definedName>
    <definedName function="false" hidden="false" localSheetId="8" name="_xlnm.Print_Area" vbProcedure="false">Financiamento!$A$1:$H$79</definedName>
    <definedName function="false" hidden="false" localSheetId="8" name="_xlnm.Print_Titles" vbProcedure="false">Financiamento!$1:$5</definedName>
    <definedName function="false" hidden="false" localSheetId="4" name="_xlnm.Print_Area" vbProcedure="false">FSE!$A$1:$K$49</definedName>
    <definedName function="false" hidden="false" localSheetId="7" name="_xlnm.Print_Area" vbProcedure="false">FundoManeio!$A$1:$H$25</definedName>
    <definedName function="false" hidden="false" localSheetId="15" name="_xlnm.Print_Area" vbProcedure="false">Gráficos!$D$1:$M$52</definedName>
    <definedName function="false" hidden="false" localSheetId="13" name="_xlnm.Print_Area" vbProcedure="false">Indicadores!$A$1:$G$51</definedName>
    <definedName function="false" hidden="false" localSheetId="6" name="_xlnm.Print_Area" vbProcedure="false">Investimentos!$A$1:$H$66</definedName>
    <definedName function="false" hidden="false" localSheetId="11" name="_xlnm.Print_Area" vbProcedure="false">PlanoFinanceiro!$A$1:$H$29</definedName>
    <definedName function="false" hidden="false" localSheetId="1" name="_xlnm.Print_Area" vbProcedure="false">Pressupostos!$A$1:$E$29</definedName>
    <definedName function="false" hidden="false" localSheetId="0" name="_xlnm.Print_Area" vbProcedure="false">'Regras de Utilização'!$B$1:$C$30</definedName>
    <definedName function="false" hidden="false" localSheetId="2" name="_xlnm.Print_Area" vbProcedure="false">VN!$A$1:$H$82</definedName>
    <definedName function="false" hidden="false" localSheetId="0" name="_xlnm.Print_Area" vbProcedure="false">'Regras de Utilização'!$B$1:$C$30</definedName>
    <definedName function="false" hidden="false" localSheetId="1" name="_xlnm.Print_Area" vbProcedure="false">Pressupostos!$A$1:$E$29</definedName>
    <definedName function="false" hidden="false" localSheetId="2" name="_xlnm.Print_Area" vbProcedure="false">VN!$A$1:$H$82</definedName>
    <definedName function="false" hidden="false" localSheetId="3" name="_xlnm.Print_Area" vbProcedure="false">CMVMC!$A$1:$H$23</definedName>
    <definedName function="false" hidden="false" localSheetId="4" name="_xlnm.Print_Area" vbProcedure="false">FSE!$A$1:$K$49</definedName>
    <definedName function="false" hidden="false" localSheetId="5" name="_xlnm.Print_Area" vbProcedure="false">'Custos Pessoal'!$A$1:$I$71</definedName>
    <definedName function="false" hidden="false" localSheetId="6" name="_xlnm.Print_Area" vbProcedure="false">Investimentos!$A$1:$H$66</definedName>
    <definedName function="false" hidden="false" localSheetId="7" name="_xlnm.Print_Area" vbProcedure="false">FundoManeio!$A$1:$H$25</definedName>
    <definedName function="false" hidden="false" localSheetId="8" name="_xlnm.Print_Area" vbProcedure="false">Financiamento!$A$1:$H$79</definedName>
    <definedName function="false" hidden="false" localSheetId="8" name="_xlnm.Print_Titles" vbProcedure="false">Financiamento!$1:$5</definedName>
    <definedName function="false" hidden="false" localSheetId="9" name="_xlnm.Print_Area" vbProcedure="false">DR!$A$1:$H$37</definedName>
    <definedName function="false" hidden="false" localSheetId="10" name="_xlnm.Print_Area" vbProcedure="false">'Cash Flow'!$A$1:$H$22</definedName>
    <definedName function="false" hidden="false" localSheetId="11" name="_xlnm.Print_Area" vbProcedure="false">PlanoFinanceiro!$A$1:$H$29</definedName>
    <definedName function="false" hidden="false" localSheetId="12" name="_xlnm.Print_Area" vbProcedure="false">Balanço!$A$1:$H$49</definedName>
    <definedName function="false" hidden="false" localSheetId="13" name="_xlnm.Print_Area" vbProcedure="false">Indicadores!$A$1:$G$51</definedName>
    <definedName function="false" hidden="false" localSheetId="14" name="_xlnm.Print_Area" vbProcedure="false">Avaliação!$A$1:$I$80</definedName>
    <definedName function="false" hidden="false" localSheetId="15" name="_xlnm.Print_Area" vbProcedure="false">Gráficos!$D$1:$M$52</definedName>
    <definedName function="false" hidden="false" localSheetId="16" name="_xlnm.Print_Area" vbProcedure="false">'Calculos Auxiliares'!$A$1:$H$90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<sst xmlns="http://schemas.openxmlformats.org/spreadsheetml/2006/main" count="593" uniqueCount="411">
  <si>
    <t xml:space="preserve">Regras de utilização</t>
  </si>
  <si>
    <t xml:space="preserve">Principais regras de utilização:</t>
  </si>
  <si>
    <r>
      <rPr>
        <sz val="10"/>
        <rFont val="ITC Zapf Dingbats"/>
        <family val="1"/>
        <charset val="1"/>
      </rPr>
      <t xml:space="preserve">Ü</t>
    </r>
    <r>
      <rPr>
        <sz val="10"/>
        <rFont val="Arial Narrow"/>
        <family val="2"/>
        <charset val="1"/>
      </rPr>
      <t xml:space="preserve"> Só devem ser inseridos valores nas células com fundo branco;</t>
    </r>
  </si>
  <si>
    <r>
      <rPr>
        <sz val="10"/>
        <rFont val="ITC Zapf Dingbats"/>
        <family val="1"/>
        <charset val="1"/>
      </rPr>
      <t xml:space="preserve">Ü</t>
    </r>
    <r>
      <rPr>
        <sz val="10"/>
        <rFont val="Arial Narrow"/>
        <family val="2"/>
        <charset val="1"/>
      </rPr>
      <t xml:space="preserve"> Os valores que se encontrem a azul, poderão ser alterados, mas dentro dos mesmos parâmetros;</t>
    </r>
  </si>
  <si>
    <r>
      <rPr>
        <sz val="10"/>
        <rFont val="ITC Zapf Dingbats"/>
        <family val="1"/>
        <charset val="1"/>
      </rPr>
      <t xml:space="preserve">Ü</t>
    </r>
    <r>
      <rPr>
        <sz val="10"/>
        <rFont val="Arial Narrow"/>
        <family val="2"/>
        <charset val="1"/>
      </rPr>
      <t xml:space="preserve"> A utilização deste modelo tem por base um trabalho prévio por parte do utilizador no que diz respeito à previsão de proveitos e de custos;</t>
    </r>
  </si>
  <si>
    <r>
      <rPr>
        <sz val="10"/>
        <rFont val="ITC Zapf Dingbats"/>
        <family val="1"/>
        <charset val="1"/>
      </rPr>
      <t xml:space="preserve">Ü</t>
    </r>
    <r>
      <rPr>
        <sz val="10"/>
        <rFont val="Arial Narrow"/>
        <family val="2"/>
        <charset val="1"/>
      </rPr>
      <t xml:space="preserve"> No caso de pretender efectuar uma análise de sensibilidade, utilize este mesmo modelo, mas com diferentes valores.</t>
    </r>
  </si>
  <si>
    <t xml:space="preserve">Passos para preenchimento:</t>
  </si>
  <si>
    <t xml:space="preserve">Colocar o nome da empresa na célula B1 na sheet de "Pressupostos";</t>
  </si>
  <si>
    <t xml:space="preserve">Estimar o volume de negócios da empresa, através das quantidades vendidas, preço de venda dos produtos e de prestação de serviços; Ver Mapa para situações em que não é possível determinar quantidades;</t>
  </si>
  <si>
    <t xml:space="preserve">Colocar na sheet CMVMC na célula correspondente, as margens brutas de negócio para cada um dos produtos vendidos;</t>
  </si>
  <si>
    <t xml:space="preserve">Na sheet FSE, estimar um valor médio mensal para cada umas das rubricas que se adaptem à empresa / negócio;</t>
  </si>
  <si>
    <t xml:space="preserve">Na sheet Custos Pessoal, definir os colaboradores (Gerência e Pessoal) da empresa e respectivas remunerações brutas mensais. Para além disto, definir, caso se aplique um valor para a formação e outros custos com pessoal;</t>
  </si>
  <si>
    <t xml:space="preserve">Posteriormente, definir o quadro de investimento da empresa / projecto na sheet de Investimentos, repartida pelas diferentes rubricas de investimento em activo fixo;</t>
  </si>
  <si>
    <t xml:space="preserve">Na sheet de Fundo Maneio, definir a Reserva de Segurança de Tesouraria. Esta rubrica representa um valor mínimo de disponibilidades a manter ao longo do projecto;</t>
  </si>
  <si>
    <t xml:space="preserve">Após a definição de todos estes pressupostos, estabelecer o valor de capital social inicial e eventuais aumentos, bem como o nível de suprimentos da empresa (sheet de Financiamento);</t>
  </si>
  <si>
    <t xml:space="preserve">Os inputs do modelo estão inseridos, sendo necessário apenas fazer o acerto de disponibilidades. Assim sendo, na sheet de Plano Financeiro utilizar a função "Ferramentas - Atingir Objectivo" de forma a que a linha de "Soma de Controlo" dê 0.</t>
  </si>
  <si>
    <t xml:space="preserve">Empresa:</t>
  </si>
  <si>
    <t xml:space="preserve">Herbawatter</t>
  </si>
  <si>
    <t xml:space="preserve">Pressupostos Gerais</t>
  </si>
  <si>
    <t xml:space="preserve">Unidade monetária</t>
  </si>
  <si>
    <t xml:space="preserve">(valores em euros)</t>
  </si>
  <si>
    <t xml:space="preserve">Prazo médio de Recebimento (dias) / (meses)</t>
  </si>
  <si>
    <t xml:space="preserve">Prazo médio de Pagamento (dias) / (meses)</t>
  </si>
  <si>
    <t xml:space="preserve">Prazo médio de Stockagem (dias) / (meses)</t>
  </si>
  <si>
    <t xml:space="preserve">Taxa de IVA - Vendas </t>
  </si>
  <si>
    <t xml:space="preserve">Taxa de IVA - Prestação Serviços</t>
  </si>
  <si>
    <t xml:space="preserve">Taxa de IVA - CMVMC</t>
  </si>
  <si>
    <t xml:space="preserve">Taxa de IVA - FSE</t>
  </si>
  <si>
    <t xml:space="preserve">Taxa média de IRS </t>
  </si>
  <si>
    <t xml:space="preserve">Taxa de IRC</t>
  </si>
  <si>
    <t xml:space="preserve">Taxa de distribuição dividendos</t>
  </si>
  <si>
    <t xml:space="preserve">Taxa de juro de empréstimo M/L Prazo</t>
  </si>
  <si>
    <t xml:space="preserve">Taxa de juro de empréstimo Curto Prazo</t>
  </si>
  <si>
    <t xml:space="preserve">Taxa de juro de activos sem risco - Rf</t>
  </si>
  <si>
    <r>
      <rPr>
        <sz val="8"/>
        <color rgb="FF0000D4"/>
        <rFont val="Arial Narrow"/>
        <family val="2"/>
        <charset val="1"/>
      </rPr>
      <t xml:space="preserve">NOTA: Quando não se aplica </t>
    </r>
    <r>
      <rPr>
        <i val="true"/>
        <u val="single"/>
        <sz val="8"/>
        <color rgb="FF0000D4"/>
        <rFont val="Arial Narrow"/>
        <family val="2"/>
        <charset val="1"/>
      </rPr>
      <t xml:space="preserve">Beta</t>
    </r>
    <r>
      <rPr>
        <sz val="8"/>
        <color rgb="FF0000D4"/>
        <rFont val="Arial Narrow"/>
        <family val="2"/>
        <charset val="1"/>
      </rPr>
      <t xml:space="preserve">, colocar: </t>
    </r>
  </si>
  <si>
    <t xml:space="preserve">Prémio de risco de mercado - (Rm-Rf)* ou pº</t>
  </si>
  <si>
    <r>
      <rPr>
        <sz val="8"/>
        <color rgb="FF0000D4"/>
        <rFont val="Arial Narrow"/>
        <family val="2"/>
        <charset val="1"/>
      </rPr>
      <t xml:space="preserve">   - O prémio de risco (</t>
    </r>
    <r>
      <rPr>
        <sz val="8"/>
        <rFont val="Arial Narrow"/>
        <family val="2"/>
        <charset val="1"/>
      </rPr>
      <t xml:space="preserve">pº</t>
    </r>
    <r>
      <rPr>
        <sz val="8"/>
        <color rgb="FF0000D4"/>
        <rFont val="Arial Narrow"/>
        <family val="2"/>
        <charset val="1"/>
      </rPr>
      <t xml:space="preserve">) adequado ao projecto </t>
    </r>
  </si>
  <si>
    <t xml:space="preserve">Beta empresas equivalentes</t>
  </si>
  <si>
    <t xml:space="preserve">   - Beta = 100%</t>
  </si>
  <si>
    <t xml:space="preserve">Taxa de crescimento dos cash flows na perpetuidade</t>
  </si>
  <si>
    <t xml:space="preserve">==&gt; R(Tx actualização) = Rf + pº</t>
  </si>
  <si>
    <t xml:space="preserve">* Rendimento esperado de mercado</t>
  </si>
  <si>
    <t xml:space="preserve">s</t>
  </si>
  <si>
    <t xml:space="preserve">Volume de negócios</t>
  </si>
  <si>
    <t xml:space="preserve">Taxa de variação dos preços</t>
  </si>
  <si>
    <t xml:space="preserve">VENDAS - MERCADO NACIONAL</t>
  </si>
  <si>
    <t xml:space="preserve">Produto A *</t>
  </si>
  <si>
    <t xml:space="preserve">Quantidades vendidas</t>
  </si>
  <si>
    <t xml:space="preserve">Taxa de crescimento das unidades vendidas</t>
  </si>
  <si>
    <t xml:space="preserve">Preço Unitário </t>
  </si>
  <si>
    <t xml:space="preserve">Produto B *</t>
  </si>
  <si>
    <t xml:space="preserve">Produto C *</t>
  </si>
  <si>
    <t xml:space="preserve">Produto D *</t>
  </si>
  <si>
    <t xml:space="preserve">TOTAL </t>
  </si>
  <si>
    <t xml:space="preserve">VENDAS - EXPORTAÇÃO</t>
  </si>
  <si>
    <t xml:space="preserve">* Produtos / Familias de Produtos / Mercadorias</t>
  </si>
  <si>
    <t xml:space="preserve">NOTA: Caso não tenha conhecimento das quantidades, colocar o valor das vendas na linha das "Quantidades Vendidas" e o valor 1 na linha do "Preço Unitário".</t>
  </si>
  <si>
    <t xml:space="preserve">PRESTAÇÃO DE SERVIÇOS - MERCADO NACIONAL</t>
  </si>
  <si>
    <t xml:space="preserve">Serviço A</t>
  </si>
  <si>
    <t xml:space="preserve">Taxa de crescimento Serviço A</t>
  </si>
  <si>
    <t xml:space="preserve">Serviço B</t>
  </si>
  <si>
    <t xml:space="preserve">Taxa de crescimento Serviço B</t>
  </si>
  <si>
    <t xml:space="preserve">Serviço C</t>
  </si>
  <si>
    <t xml:space="preserve">Taxa de crescimento Serviço C</t>
  </si>
  <si>
    <t xml:space="preserve">Serviço D</t>
  </si>
  <si>
    <t xml:space="preserve">Taxa de crescimento Serviço D</t>
  </si>
  <si>
    <t xml:space="preserve">PRESTAÇÃO DE SERVIÇOS - EXPORTAÇÕES</t>
  </si>
  <si>
    <t xml:space="preserve">TOTAL VENDAS - MERCADO NACIONAL</t>
  </si>
  <si>
    <t xml:space="preserve">TOTAL VENDAS - EXPORTAÇÕES</t>
  </si>
  <si>
    <t xml:space="preserve">TOTAL VENDAS</t>
  </si>
  <si>
    <t xml:space="preserve">IVA VENDAS</t>
  </si>
  <si>
    <t xml:space="preserve">TOTAL PRESTAÇÃO DE SERVIÇOS - MERCADO NACIONAL</t>
  </si>
  <si>
    <t xml:space="preserve">TOTAL PRESTAÇÃO DE SERVIÇOS - EXPORTAÇÕES</t>
  </si>
  <si>
    <t xml:space="preserve">TOTAL PRESTAÇÕES SERVIÇOS</t>
  </si>
  <si>
    <t xml:space="preserve">IVA PRESTAÇÃO DE SERVIÇOS</t>
  </si>
  <si>
    <t xml:space="preserve">TOTAL VOLUME DE NEGÓCIOS</t>
  </si>
  <si>
    <t xml:space="preserve">IVA</t>
  </si>
  <si>
    <t xml:space="preserve">TOTAL VOLUME DE NEGÓCIOS + IVA</t>
  </si>
  <si>
    <t xml:space="preserve"> </t>
  </si>
  <si>
    <t xml:space="preserve">CMVMC - Custo das Mercadorias Vendidas e Matérias Consumidas</t>
  </si>
  <si>
    <t xml:space="preserve">CMVMC</t>
  </si>
  <si>
    <t xml:space="preserve">Margem Bruta</t>
  </si>
  <si>
    <t xml:space="preserve">Produto A</t>
  </si>
  <si>
    <t xml:space="preserve">Produto B</t>
  </si>
  <si>
    <t xml:space="preserve">Produto C</t>
  </si>
  <si>
    <t xml:space="preserve">Produto D</t>
  </si>
  <si>
    <t xml:space="preserve">TOTAL CMVMC</t>
  </si>
  <si>
    <t xml:space="preserve">TOTAL CMVMC + IVA</t>
  </si>
  <si>
    <t xml:space="preserve">NOTA: Mapa construído caso a caso:</t>
  </si>
  <si>
    <t xml:space="preserve">a) Introduzir a Margem Bruta, quando conhecida e passível de ser utilizada e efectuar a respectiva fórmula de cálculo;</t>
  </si>
  <si>
    <t xml:space="preserve">b) Efectuar os cálculos auxiliares considerados necessários para alcançar a o nível de matéria-prima por unidade produzida e introduzir manualmente os valores;</t>
  </si>
  <si>
    <t xml:space="preserve">c) Caso não seja possível alcançar o nível do consumo de matéria-prima por produto, introduzir o valor do custo total, após a realização dos respectivos cálculos auxiliares.</t>
  </si>
  <si>
    <t xml:space="preserve">NOTA 2: Está disponível uma folha para cálculos auxiliares. Contém mapas para cálculo do CMVMC de projectos industriais.</t>
  </si>
  <si>
    <t xml:space="preserve">FSE - Fornecimentos e Serviços Externos</t>
  </si>
  <si>
    <t xml:space="preserve">Nº Meses</t>
  </si>
  <si>
    <t xml:space="preserve">Taxa de crescimento</t>
  </si>
  <si>
    <t xml:space="preserve">Tx IVA</t>
  </si>
  <si>
    <t xml:space="preserve">CF</t>
  </si>
  <si>
    <t xml:space="preserve">CV</t>
  </si>
  <si>
    <t xml:space="preserve">Valor Mensal</t>
  </si>
  <si>
    <t xml:space="preserve">Subcontratos</t>
  </si>
  <si>
    <t xml:space="preserve">Electricidade</t>
  </si>
  <si>
    <t xml:space="preserve">Combustiveis</t>
  </si>
  <si>
    <t xml:space="preserve">Agua</t>
  </si>
  <si>
    <t xml:space="preserve">Outros Fluidos</t>
  </si>
  <si>
    <t xml:space="preserve">Ferramentas e Utensilios</t>
  </si>
  <si>
    <t xml:space="preserve">Livros e doc. técnica</t>
  </si>
  <si>
    <t xml:space="preserve">Material de escritório</t>
  </si>
  <si>
    <t xml:space="preserve">Artigos para oferta</t>
  </si>
  <si>
    <t xml:space="preserve">Rendas e alugueres</t>
  </si>
  <si>
    <t xml:space="preserve">Despesas de representação</t>
  </si>
  <si>
    <t xml:space="preserve">Comunicação</t>
  </si>
  <si>
    <t xml:space="preserve">Seguros</t>
  </si>
  <si>
    <t xml:space="preserve">Royalties</t>
  </si>
  <si>
    <t xml:space="preserve">Transportes de mercadorias</t>
  </si>
  <si>
    <t xml:space="preserve">Deslocações e estadias</t>
  </si>
  <si>
    <t xml:space="preserve">Comissões</t>
  </si>
  <si>
    <t xml:space="preserve">Honorários</t>
  </si>
  <si>
    <t xml:space="preserve">Contencioso e notariado</t>
  </si>
  <si>
    <t xml:space="preserve">Conservação e reparação</t>
  </si>
  <si>
    <t xml:space="preserve">Publicidade e divulgação</t>
  </si>
  <si>
    <t xml:space="preserve">Limpeza, higiene e conforto</t>
  </si>
  <si>
    <t xml:space="preserve">Vigilância e segurança</t>
  </si>
  <si>
    <t xml:space="preserve">Trabalhos especializados</t>
  </si>
  <si>
    <t xml:space="preserve">Outros forn. e serviços</t>
  </si>
  <si>
    <t xml:space="preserve">TOTAL FSE  </t>
  </si>
  <si>
    <t xml:space="preserve">FSE - Custos Fixos</t>
  </si>
  <si>
    <t xml:space="preserve">FSE - Custos Variáveis</t>
  </si>
  <si>
    <t xml:space="preserve">TOTAL FSE</t>
  </si>
  <si>
    <t xml:space="preserve">FSE + IVA</t>
  </si>
  <si>
    <t xml:space="preserve">Custos com Pessoal</t>
  </si>
  <si>
    <t xml:space="preserve">Quadro de Colaboradores</t>
  </si>
  <si>
    <t xml:space="preserve">Rem. Base Mensal</t>
  </si>
  <si>
    <r>
      <rPr>
        <b val="true"/>
        <u val="single"/>
        <sz val="8"/>
        <rFont val="Arial Narrow"/>
        <family val="2"/>
        <charset val="1"/>
      </rPr>
      <t xml:space="preserve">Gerência / Administração</t>
    </r>
    <r>
      <rPr>
        <sz val="8"/>
        <rFont val="Arial Narrow"/>
        <family val="2"/>
        <charset val="1"/>
      </rPr>
      <t xml:space="preserve"> (nominal)</t>
    </r>
  </si>
  <si>
    <t xml:space="preserve">David Gonçalves</t>
  </si>
  <si>
    <t xml:space="preserve">Rúben Tadeia</t>
  </si>
  <si>
    <t xml:space="preserve">Guilherme Vierira</t>
  </si>
  <si>
    <t xml:space="preserve">Sub-Total Remunerações</t>
  </si>
  <si>
    <t xml:space="preserve">Pessoal</t>
  </si>
  <si>
    <t xml:space="preserve">Categorias</t>
  </si>
  <si>
    <t xml:space="preserve">N.º de trabalhadores</t>
  </si>
  <si>
    <t xml:space="preserve">Rem. Base Média Mensal</t>
  </si>
  <si>
    <t xml:space="preserve">Operadores</t>
  </si>
  <si>
    <t xml:space="preserve">Administrativos/auxiliares</t>
  </si>
  <si>
    <t xml:space="preserve">TOTAL Remunerações</t>
  </si>
  <si>
    <t xml:space="preserve">Nº de colaboradores (Incluindo Gerência)</t>
  </si>
  <si>
    <t xml:space="preserve">Outros Custos</t>
  </si>
  <si>
    <t xml:space="preserve">Segurança Social</t>
  </si>
  <si>
    <t xml:space="preserve">Gerência / Administração</t>
  </si>
  <si>
    <t xml:space="preserve">Outro Pessoal</t>
  </si>
  <si>
    <t xml:space="preserve">Seguros Acidentes de Trabalho</t>
  </si>
  <si>
    <t xml:space="preserve">Subsídio Alimentação</t>
  </si>
  <si>
    <t xml:space="preserve">Formação </t>
  </si>
  <si>
    <t xml:space="preserve">Outros custos com pessoal</t>
  </si>
  <si>
    <t xml:space="preserve">TOTAL OUTROS CUSTOS</t>
  </si>
  <si>
    <t xml:space="preserve">TOTAL CUSTOS PESSOAL</t>
  </si>
  <si>
    <t xml:space="preserve">QUADRO RESUMO</t>
  </si>
  <si>
    <t xml:space="preserve">Vencimentos</t>
  </si>
  <si>
    <t xml:space="preserve">Gerência/Administração</t>
  </si>
  <si>
    <t xml:space="preserve">Encargos</t>
  </si>
  <si>
    <t xml:space="preserve">Sub. Alimentação</t>
  </si>
  <si>
    <t xml:space="preserve">Retenções Colaboradores</t>
  </si>
  <si>
    <t xml:space="preserve">Retenção SS Colaborador</t>
  </si>
  <si>
    <t xml:space="preserve">Retenção IRS Colaborador</t>
  </si>
  <si>
    <t xml:space="preserve">TOTAL Retenções</t>
  </si>
  <si>
    <t xml:space="preserve">Investimento</t>
  </si>
  <si>
    <t xml:space="preserve">Investimento por ano*</t>
  </si>
  <si>
    <t xml:space="preserve">Imobilizado Incorpóreo</t>
  </si>
  <si>
    <t xml:space="preserve">   Despesas de Instalação</t>
  </si>
  <si>
    <t xml:space="preserve">   Propriedade Industrial e O. Direitos</t>
  </si>
  <si>
    <t xml:space="preserve">   Outras imobilizações incorpóreas</t>
  </si>
  <si>
    <t xml:space="preserve">Total Imobilizado Incorpóreo</t>
  </si>
  <si>
    <t xml:space="preserve">Imobilizado Corpóreo</t>
  </si>
  <si>
    <t xml:space="preserve">   Edifícios e outras construções</t>
  </si>
  <si>
    <t xml:space="preserve">   Equipamento básico</t>
  </si>
  <si>
    <t xml:space="preserve">   Equipamento de transporte</t>
  </si>
  <si>
    <t xml:space="preserve">   Ferramentas e utensílios e moldes</t>
  </si>
  <si>
    <t xml:space="preserve">   Equipamento administrativo</t>
  </si>
  <si>
    <t xml:space="preserve">   Outras imobilizações corpóreas</t>
  </si>
  <si>
    <t xml:space="preserve">Total Imobilizado Corpóreo</t>
  </si>
  <si>
    <t xml:space="preserve">TOTAL INVESTIMENTO</t>
  </si>
  <si>
    <t xml:space="preserve">*Deverão ser considerados, quando aplicável investimentos de reposição</t>
  </si>
  <si>
    <t xml:space="preserve">Valores Acumulados Balanço</t>
  </si>
  <si>
    <t xml:space="preserve">   Propriedade Industrial e O.Direitos</t>
  </si>
  <si>
    <t xml:space="preserve">   Edificios e outras construções</t>
  </si>
  <si>
    <t xml:space="preserve">TOTAL IMOBILIZADO</t>
  </si>
  <si>
    <t xml:space="preserve">Amortizações do Exercício</t>
  </si>
  <si>
    <t xml:space="preserve">Taxa</t>
  </si>
  <si>
    <t xml:space="preserve">   Despesas de instalação</t>
  </si>
  <si>
    <t xml:space="preserve">TOTAL AMORTIZAÇÕES</t>
  </si>
  <si>
    <t xml:space="preserve">Investimento em Fundo Maneio Necessário</t>
  </si>
  <si>
    <t xml:space="preserve">reserva de segurança de tesouraria, que representa o volume mínimo de disponibilidades necessário para a empresa enfrentar </t>
  </si>
  <si>
    <t xml:space="preserve">eventuais atrasos nos recebimentos de clientes e/ou eventuais antecipações não previstas dos pagamentos aos fornecedores</t>
  </si>
  <si>
    <t xml:space="preserve">Necessidades Fundo Maneio</t>
  </si>
  <si>
    <t xml:space="preserve">Reserva Segurança Tesouraria</t>
  </si>
  <si>
    <t xml:space="preserve">Clientes</t>
  </si>
  <si>
    <t xml:space="preserve">os clientes demoram um mês a pagar em média</t>
  </si>
  <si>
    <t xml:space="preserve">Existências</t>
  </si>
  <si>
    <t xml:space="preserve">os materiais ficam 15 dias em stock</t>
  </si>
  <si>
    <t xml:space="preserve">*</t>
  </si>
  <si>
    <t xml:space="preserve">TOTAL</t>
  </si>
  <si>
    <t xml:space="preserve">Recursos Fundo Maneio</t>
  </si>
  <si>
    <t xml:space="preserve">Fornecedores</t>
  </si>
  <si>
    <t xml:space="preserve">pagamos a 30 dias</t>
  </si>
  <si>
    <t xml:space="preserve">Estado</t>
  </si>
  <si>
    <t xml:space="preserve">o Iva +e entregue trimestralmente e a SS e o IRS retido é entregue no mês seguinte</t>
  </si>
  <si>
    <t xml:space="preserve">Fundo Maneio Necessário</t>
  </si>
  <si>
    <t xml:space="preserve">Investimento em Fundo de Maneio</t>
  </si>
  <si>
    <t xml:space="preserve">* A considerar caso seja necessário</t>
  </si>
  <si>
    <t xml:space="preserve">Financiamento</t>
  </si>
  <si>
    <t xml:space="preserve">Investimento = Capital Fixo + FMN</t>
  </si>
  <si>
    <t xml:space="preserve">Margem de segurança</t>
  </si>
  <si>
    <t xml:space="preserve">Necessidades de financiamento</t>
  </si>
  <si>
    <t xml:space="preserve">Fontes de Financiamento</t>
  </si>
  <si>
    <t xml:space="preserve">Meios Libertos</t>
  </si>
  <si>
    <t xml:space="preserve">Capitais Próprios</t>
  </si>
  <si>
    <t xml:space="preserve">Empréstimos de Sócios / Suprimentos</t>
  </si>
  <si>
    <t xml:space="preserve">Financiamento bancário e outras Inst. Crédito</t>
  </si>
  <si>
    <t xml:space="preserve">Ano 0</t>
  </si>
  <si>
    <t xml:space="preserve">Capital em dívida (início período)</t>
  </si>
  <si>
    <t xml:space="preserve">Taxa de Juro</t>
  </si>
  <si>
    <t xml:space="preserve">Juro Anual</t>
  </si>
  <si>
    <t xml:space="preserve">Reembolso Anual</t>
  </si>
  <si>
    <t xml:space="preserve">Imposto Selo (0,4%)</t>
  </si>
  <si>
    <t xml:space="preserve">Serviço da dívida</t>
  </si>
  <si>
    <t xml:space="preserve">Valor em dívida</t>
  </si>
  <si>
    <t xml:space="preserve">Ano 1</t>
  </si>
  <si>
    <t xml:space="preserve">Ano 2</t>
  </si>
  <si>
    <t xml:space="preserve">Valor em divida</t>
  </si>
  <si>
    <t xml:space="preserve">Ano 3</t>
  </si>
  <si>
    <t xml:space="preserve">Ano 4</t>
  </si>
  <si>
    <t xml:space="preserve">Ano 5</t>
  </si>
  <si>
    <t xml:space="preserve">Capital em dívida</t>
  </si>
  <si>
    <t xml:space="preserve">Juros pagos com Imposto Selo incluído</t>
  </si>
  <si>
    <t xml:space="preserve">Reembolso</t>
  </si>
  <si>
    <t xml:space="preserve">Demonstração de Resultados Previsional</t>
  </si>
  <si>
    <t xml:space="preserve">Vendas </t>
  </si>
  <si>
    <t xml:space="preserve">Prestações de Serviços</t>
  </si>
  <si>
    <t xml:space="preserve">Volume de Negócios</t>
  </si>
  <si>
    <t xml:space="preserve">(-) Variação da Produção</t>
  </si>
  <si>
    <t xml:space="preserve">Outros custos variáveis (FSE)</t>
  </si>
  <si>
    <t xml:space="preserve">Margem Bruta de Contribuição</t>
  </si>
  <si>
    <t xml:space="preserve">FSE- Custos Fixos</t>
  </si>
  <si>
    <t xml:space="preserve">Resultado Económico</t>
  </si>
  <si>
    <t xml:space="preserve">Impostos</t>
  </si>
  <si>
    <t xml:space="preserve">Custos com o Pessoal</t>
  </si>
  <si>
    <t xml:space="preserve">% de Vendas</t>
  </si>
  <si>
    <t xml:space="preserve">Outros Custos Operacionais</t>
  </si>
  <si>
    <t xml:space="preserve">Outros Proveitos Operacionais</t>
  </si>
  <si>
    <t xml:space="preserve">EBITDA</t>
  </si>
  <si>
    <t xml:space="preserve">Amortizações</t>
  </si>
  <si>
    <t xml:space="preserve">Provisões</t>
  </si>
  <si>
    <t xml:space="preserve">EBIT</t>
  </si>
  <si>
    <t xml:space="preserve">Custos Financeiros</t>
  </si>
  <si>
    <t xml:space="preserve">Proveitos Financeiros</t>
  </si>
  <si>
    <t xml:space="preserve">RESULTADO FINANCEIRO</t>
  </si>
  <si>
    <t xml:space="preserve">Custos Extraordinários</t>
  </si>
  <si>
    <t xml:space="preserve">Proveitos Extraordinários</t>
  </si>
  <si>
    <t xml:space="preserve">RAI</t>
  </si>
  <si>
    <t xml:space="preserve">Impostos sobre os lucros</t>
  </si>
  <si>
    <t xml:space="preserve">RESULTADO LÍQUIDO </t>
  </si>
  <si>
    <t xml:space="preserve">% DOS CUSTOS DE ESTRUTURA S/VN</t>
  </si>
  <si>
    <t xml:space="preserve">% DO RESULTADO LÍQUIDO S/VN</t>
  </si>
  <si>
    <t xml:space="preserve">Mapa de Cash Flows Operacionais</t>
  </si>
  <si>
    <t xml:space="preserve">Meios Libertos do Projecto</t>
  </si>
  <si>
    <t xml:space="preserve">Resultados Operacionais (EBIT) x (1-IRC)</t>
  </si>
  <si>
    <t xml:space="preserve">Amortizações do exercício</t>
  </si>
  <si>
    <t xml:space="preserve">Provisões do exercício</t>
  </si>
  <si>
    <t xml:space="preserve">Investim./Desinvest. em Fundo Maneio</t>
  </si>
  <si>
    <t xml:space="preserve">   Fundo de Maneio</t>
  </si>
  <si>
    <t xml:space="preserve">CASH FLOW de Exploração</t>
  </si>
  <si>
    <t xml:space="preserve">Investim./Desinvest. em Capital Fixo</t>
  </si>
  <si>
    <t xml:space="preserve">   Capital Fixo</t>
  </si>
  <si>
    <t xml:space="preserve">Free cash-flow</t>
  </si>
  <si>
    <t xml:space="preserve">CASH FLOW acumulado</t>
  </si>
  <si>
    <t xml:space="preserve">Plano de Financiamento</t>
  </si>
  <si>
    <t xml:space="preserve">ORIGENS DE FUNDOS</t>
  </si>
  <si>
    <t xml:space="preserve">Meios Libertos Brutos</t>
  </si>
  <si>
    <t xml:space="preserve">Capital Social (entrada de fundos)</t>
  </si>
  <si>
    <t xml:space="preserve">Empréstimos Obtidos</t>
  </si>
  <si>
    <t xml:space="preserve">Desinvest. em Capital Fixo</t>
  </si>
  <si>
    <t xml:space="preserve">Desinvest. em FMN</t>
  </si>
  <si>
    <t xml:space="preserve">Empréstimos de sócios / suprimentos</t>
  </si>
  <si>
    <t xml:space="preserve">Total das Origens</t>
  </si>
  <si>
    <t xml:space="preserve">APLICAÇÕES DE FUNDOS</t>
  </si>
  <si>
    <t xml:space="preserve">Inv. Capital Fixo</t>
  </si>
  <si>
    <t xml:space="preserve">Inv Fundo de Maneio</t>
  </si>
  <si>
    <t xml:space="preserve">Imposto sobre os Lucros </t>
  </si>
  <si>
    <t xml:space="preserve">Pagamento de Dividendos </t>
  </si>
  <si>
    <t xml:space="preserve">Reembolso de Empréstimos</t>
  </si>
  <si>
    <t xml:space="preserve">Encargos Financeiros</t>
  </si>
  <si>
    <t xml:space="preserve">Total das Aplicações</t>
  </si>
  <si>
    <t xml:space="preserve">Saldo de Tesouraria Anual</t>
  </si>
  <si>
    <t xml:space="preserve">Saldo de Tesouraria Acumulado</t>
  </si>
  <si>
    <t xml:space="preserve">Aplicações / Empréstimo Curto Prazo</t>
  </si>
  <si>
    <t xml:space="preserve">Soma Controlo</t>
  </si>
  <si>
    <t xml:space="preserve">Balanço Previsional</t>
  </si>
  <si>
    <t xml:space="preserve">ACTIVO</t>
  </si>
  <si>
    <t xml:space="preserve">Imobilizado</t>
  </si>
  <si>
    <t xml:space="preserve">Amortizações Acumuladas</t>
  </si>
  <si>
    <t xml:space="preserve">Matérias Primas e Subsidiárias</t>
  </si>
  <si>
    <t xml:space="preserve">Produtos Acabados e em Curso</t>
  </si>
  <si>
    <t xml:space="preserve">Mercadorias</t>
  </si>
  <si>
    <t xml:space="preserve">Créditos de curto prazo</t>
  </si>
  <si>
    <t xml:space="preserve">Dívidas de Clientes</t>
  </si>
  <si>
    <t xml:space="preserve">Estado e Outros Entes Públicos</t>
  </si>
  <si>
    <t xml:space="preserve">Outros devedores</t>
  </si>
  <si>
    <t xml:space="preserve">Disponibilidades</t>
  </si>
  <si>
    <t xml:space="preserve">Aplicações Financeiras</t>
  </si>
  <si>
    <t xml:space="preserve">Acréscimos e Diferimentos</t>
  </si>
  <si>
    <t xml:space="preserve">TOTAL ACTIVO</t>
  </si>
  <si>
    <t xml:space="preserve">CAPITAL PRÓPRIO</t>
  </si>
  <si>
    <t xml:space="preserve">Capital Social</t>
  </si>
  <si>
    <t xml:space="preserve">Suprimentos</t>
  </si>
  <si>
    <t xml:space="preserve">Prestações Suplementares</t>
  </si>
  <si>
    <t xml:space="preserve">Reservas de reavaliação</t>
  </si>
  <si>
    <t xml:space="preserve">Reservas e Resultados Transitados</t>
  </si>
  <si>
    <t xml:space="preserve">Resultados Líquidos</t>
  </si>
  <si>
    <t xml:space="preserve">TOTAL CAPITAIS PRÓPRIOS</t>
  </si>
  <si>
    <t xml:space="preserve">PASSIVO</t>
  </si>
  <si>
    <t xml:space="preserve">Provisão para impostos</t>
  </si>
  <si>
    <t xml:space="preserve">Dívidas a 3º - M/L Prazo</t>
  </si>
  <si>
    <t xml:space="preserve">Dívidas a Instituições de Crédito</t>
  </si>
  <si>
    <t xml:space="preserve">Dívidas a Fornecedores de Imob</t>
  </si>
  <si>
    <t xml:space="preserve">Outros credores</t>
  </si>
  <si>
    <t xml:space="preserve">Dívidas a 3º - Curto Prazo</t>
  </si>
  <si>
    <t xml:space="preserve">Dívidas a Fornecedores</t>
  </si>
  <si>
    <t xml:space="preserve">TOTAL PASSIVO</t>
  </si>
  <si>
    <t xml:space="preserve">TOTAL PASSIVO + CAPITAIS PRÓPRIOS</t>
  </si>
  <si>
    <t xml:space="preserve">Principais Indicadores</t>
  </si>
  <si>
    <t xml:space="preserve">INDICADORES ECONÓMICOS</t>
  </si>
  <si>
    <t xml:space="preserve">Taxa de Crescimento do Negócio</t>
  </si>
  <si>
    <t xml:space="preserve">Eficiência Operacional</t>
  </si>
  <si>
    <t xml:space="preserve">Margem Operacional das Vendas</t>
  </si>
  <si>
    <t xml:space="preserve">Rentabilidade Líquida das Vendas</t>
  </si>
  <si>
    <t xml:space="preserve">Peso dos Custos c/Pessoal nos PO</t>
  </si>
  <si>
    <t xml:space="preserve">INDICADORES ECONÓMICOS - FINANCEIROS</t>
  </si>
  <si>
    <t xml:space="preserve">Return On Investment (ROI)</t>
  </si>
  <si>
    <t xml:space="preserve">Rendibilidade do Activo</t>
  </si>
  <si>
    <t xml:space="preserve">Rotação do Activo</t>
  </si>
  <si>
    <t xml:space="preserve">Rotação do Imobilizado</t>
  </si>
  <si>
    <t xml:space="preserve">Rendibilidade dos Capitais Próprios (ROE)</t>
  </si>
  <si>
    <t xml:space="preserve">Rotação dos Capitais Próprios</t>
  </si>
  <si>
    <t xml:space="preserve">    Measures the firm’s profit per  dollar of sales revenue.</t>
  </si>
  <si>
    <t xml:space="preserve">INDICADORES FINANCEIROS</t>
  </si>
  <si>
    <t xml:space="preserve">Autonomia Financeira</t>
  </si>
  <si>
    <t xml:space="preserve">Solvabilidade Total</t>
  </si>
  <si>
    <t xml:space="preserve">Endividamento Total</t>
  </si>
  <si>
    <t xml:space="preserve">Measures solvency by showing the firm's ability to pay current liabilities out of current assets.</t>
  </si>
  <si>
    <t xml:space="preserve">INDICADORES DE LIQUIDEZ</t>
  </si>
  <si>
    <t xml:space="preserve">Liquidez Geral</t>
  </si>
  <si>
    <t xml:space="preserve">Liquidez Reduzida</t>
  </si>
  <si>
    <t xml:space="preserve">ANÁLISE DO EQUILÍBRIO FINANCEIRO</t>
  </si>
  <si>
    <t xml:space="preserve">Capitais Permanentes</t>
  </si>
  <si>
    <t xml:space="preserve">Activo Fixo</t>
  </si>
  <si>
    <t xml:space="preserve">FUNDO DE MANEIO LÍQUIDO</t>
  </si>
  <si>
    <t xml:space="preserve">   Shows the extent to which the firm’s most liquid assets cover its current liabilities</t>
  </si>
  <si>
    <t xml:space="preserve">Necessidades Cíclicas</t>
  </si>
  <si>
    <t xml:space="preserve">Recursos Cíclicos</t>
  </si>
  <si>
    <t xml:space="preserve">NECESSIDADES FUNDO DE MANEIO</t>
  </si>
  <si>
    <t xml:space="preserve">Tesouraria Activa</t>
  </si>
  <si>
    <t xml:space="preserve">Tesouraria Passiva</t>
  </si>
  <si>
    <t xml:space="preserve">TESOURARIA LÍQUIDA</t>
  </si>
  <si>
    <t xml:space="preserve">CONTROLO : TRL = FML - NFM</t>
  </si>
  <si>
    <t xml:space="preserve">Variação do FML</t>
  </si>
  <si>
    <t xml:space="preserve">Variação das NFM</t>
  </si>
  <si>
    <t xml:space="preserve">Variação da TRL</t>
  </si>
  <si>
    <t xml:space="preserve">INDICADORES DE RISCO NEGÓCIO</t>
  </si>
  <si>
    <t xml:space="preserve">Grau de Alavanca Operacional</t>
  </si>
  <si>
    <t xml:space="preserve">Ponto Crítico</t>
  </si>
  <si>
    <t xml:space="preserve">Custos Fixos) = Pessoal + FSEfixo+Amortizações</t>
  </si>
  <si>
    <t xml:space="preserve">Margem de Segurança</t>
  </si>
  <si>
    <t xml:space="preserve">Custos Variavies) = CMVMV + FSEvariavel</t>
  </si>
  <si>
    <t xml:space="preserve">Custos Totais / Volume de vendas = Ponto critico (em euros)</t>
  </si>
  <si>
    <t xml:space="preserve">Avaliação do Projecto / Empresa</t>
  </si>
  <si>
    <t xml:space="preserve">Na perspectiva do Projecto</t>
  </si>
  <si>
    <t xml:space="preserve">CF Acum</t>
  </si>
  <si>
    <t xml:space="preserve">Free Cash Flow to Firm</t>
  </si>
  <si>
    <t xml:space="preserve">WACC</t>
  </si>
  <si>
    <t xml:space="preserve">Factor de actualização</t>
  </si>
  <si>
    <t xml:space="preserve">Fluxos actualizados</t>
  </si>
  <si>
    <t xml:space="preserve">Valor Actual Líquido (VAL)</t>
  </si>
  <si>
    <t xml:space="preserve">Taxa Interna de Rentibilidade</t>
  </si>
  <si>
    <t xml:space="preserve">Pay Back period</t>
  </si>
  <si>
    <t xml:space="preserve">Anos</t>
  </si>
  <si>
    <t xml:space="preserve">Peso</t>
  </si>
  <si>
    <t xml:space="preserve">Custo</t>
  </si>
  <si>
    <t xml:space="preserve">Custo ponderado</t>
  </si>
  <si>
    <t xml:space="preserve">Passivo Médio e Longo Prazo</t>
  </si>
  <si>
    <t xml:space="preserve">Capital Próprio</t>
  </si>
  <si>
    <t xml:space="preserve">Na perspectiva do Investidor</t>
  </si>
  <si>
    <t xml:space="preserve">Free Cash Flow do Equity</t>
  </si>
  <si>
    <t xml:space="preserve">Taxa de juro de activos sem risco</t>
  </si>
  <si>
    <t xml:space="preserve">Prémio de risco de mercado</t>
  </si>
  <si>
    <t xml:space="preserve">Taxa de Actualização</t>
  </si>
  <si>
    <t xml:space="preserve">Factor actualização</t>
  </si>
  <si>
    <t xml:space="preserve">Fluxos Actualizados</t>
  </si>
  <si>
    <t xml:space="preserve">Ano 6</t>
  </si>
  <si>
    <t xml:space="preserve">Cálculos Auxiliares</t>
  </si>
  <si>
    <t xml:space="preserve">Consumo de Unidades de Matérias-Primas por Unidade de Produto Acabado</t>
  </si>
  <si>
    <t xml:space="preserve">Matérias Primas e Subsidiárias (descriminação)</t>
  </si>
  <si>
    <t xml:space="preserve">Unidade de Medida</t>
  </si>
  <si>
    <t xml:space="preserve">Produção (em Quantidades)</t>
  </si>
  <si>
    <t xml:space="preserve">Unidades físicas</t>
  </si>
  <si>
    <t xml:space="preserve">Produtos</t>
  </si>
  <si>
    <t xml:space="preserve">Consumo de Matérias Primas 1*</t>
  </si>
  <si>
    <t xml:space="preserve">Preço das Matérias Primas e Subsidiárias</t>
  </si>
  <si>
    <t xml:space="preserve">Matérias Primas e Subsidiárias </t>
  </si>
  <si>
    <t xml:space="preserve">Valor do consumo 2*</t>
  </si>
  <si>
    <t xml:space="preserve">1* obtido da  multiplicação da produção pelo consumo de matéria prima por unidade de produto acabado.</t>
  </si>
  <si>
    <t xml:space="preserve">2* obtido da multiplicação do consumo das matérias-primas pelo preço.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</si>
</sst>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0%"/>
    <numFmt numFmtId="166" formatCode="0.00"/>
    <numFmt numFmtId="167" formatCode="0.0"/>
    <numFmt numFmtId="168" formatCode="0.00%"/>
    <numFmt numFmtId="169" formatCode="0.0%"/>
    <numFmt numFmtId="170" formatCode="#,##0_ ;[RED]\-#,##0\ "/>
    <numFmt numFmtId="171" formatCode="#,##0.0"/>
    <numFmt numFmtId="172" formatCode="#,##0.00_ ;[RED]\-#,##0.00\ "/>
    <numFmt numFmtId="173" formatCode="0_ ;[RED]\-0\ "/>
    <numFmt numFmtId="174" formatCode="#,##0;[RED]\-#,##0"/>
    <numFmt numFmtId="175" formatCode="#,##0.00"/>
    <numFmt numFmtId="176" formatCode="#,##0"/>
    <numFmt numFmtId="177" formatCode="0"/>
    <numFmt numFmtId="178" formatCode="MMM&quot;/YY&quot;;@"/>
    <numFmt numFmtId="179" formatCode="_-* #,##0.00&quot; €&quot;_-;\-* #,##0.00&quot; €&quot;_-;_-* \-??&quot; €&quot;_-;_-@_-"/>
    <numFmt numFmtId="180" formatCode="#,##0_ ;\-#,##0\ "/>
    <numFmt numFmtId="181" formatCode="_-* #,##0.00\ _€_-;\-* #,##0.00\ _€_-;_-* \-??\ _€_-;_-@_-"/>
    <numFmt numFmtId="182" formatCode="#,##0.00;[RED]\-#,##0.00"/>
    <numFmt numFmtId="183" formatCode="0.000"/>
    <numFmt numFmtId="184" formatCode="\$#,##0.00_);[RED]&quot;($&quot;#,##0.00\)"/>
  </numFmts>
  <fonts count="45">
    <font>
      <sz val="1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 Narrow"/>
      <family val="2"/>
      <charset val="1"/>
    </font>
    <font>
      <b val="true"/>
      <sz val="8"/>
      <color rgb="FF000090"/>
      <name val="Arial Narrow"/>
      <family val="2"/>
      <charset val="1"/>
    </font>
    <font>
      <b val="true"/>
      <u val="single"/>
      <sz val="10"/>
      <name val="Arial Narrow"/>
      <family val="2"/>
      <charset val="1"/>
    </font>
    <font>
      <sz val="10"/>
      <name val="ITC Zapf Dingbats"/>
      <family val="1"/>
      <charset val="1"/>
    </font>
    <font>
      <sz val="10"/>
      <name val="Arial Narrow"/>
      <family val="2"/>
      <charset val="1"/>
    </font>
    <font>
      <b val="true"/>
      <sz val="8"/>
      <name val="Arial Narrow"/>
      <family val="2"/>
      <charset val="1"/>
    </font>
    <font>
      <b val="true"/>
      <sz val="10"/>
      <color rgb="FFFFFFFF"/>
      <name val="Arial Narrow"/>
      <family val="2"/>
      <charset val="1"/>
    </font>
    <font>
      <sz val="10"/>
      <color rgb="FFFFFFFF"/>
      <name val="Arial Narrow"/>
      <family val="2"/>
      <charset val="1"/>
    </font>
    <font>
      <sz val="8"/>
      <color rgb="FFCCFFFF"/>
      <name val="Arial Narrow"/>
      <family val="2"/>
      <charset val="1"/>
    </font>
    <font>
      <sz val="8"/>
      <color rgb="FF993366"/>
      <name val="Arial Narrow"/>
      <family val="2"/>
      <charset val="1"/>
    </font>
    <font>
      <sz val="8"/>
      <color rgb="FF0000D4"/>
      <name val="Arial Narrow"/>
      <family val="2"/>
      <charset val="1"/>
    </font>
    <font>
      <i val="true"/>
      <u val="single"/>
      <sz val="8"/>
      <color rgb="FF0000D4"/>
      <name val="Arial Narrow"/>
      <family val="2"/>
      <charset val="1"/>
    </font>
    <font>
      <sz val="8"/>
      <name val="ITC Zapf Dingbats"/>
      <family val="1"/>
      <charset val="1"/>
    </font>
    <font>
      <sz val="8"/>
      <name val="Trebuchet MS"/>
      <family val="2"/>
      <charset val="1"/>
    </font>
    <font>
      <sz val="8"/>
      <color rgb="FFFFFFFF"/>
      <name val="Arial Narrow"/>
      <family val="2"/>
      <charset val="1"/>
    </font>
    <font>
      <b val="true"/>
      <sz val="8"/>
      <color rgb="FFFFFFFF"/>
      <name val="Arial Narrow"/>
      <family val="2"/>
      <charset val="1"/>
    </font>
    <font>
      <sz val="8"/>
      <color rgb="FF808080"/>
      <name val="Arial Narrow"/>
      <family val="2"/>
      <charset val="1"/>
    </font>
    <font>
      <b val="true"/>
      <sz val="8"/>
      <color rgb="FF0000D4"/>
      <name val="Arial Narrow"/>
      <family val="2"/>
      <charset val="1"/>
    </font>
    <font>
      <sz val="10"/>
      <color rgb="FF000090"/>
      <name val="Arial Narrow"/>
      <family val="2"/>
    </font>
    <font>
      <sz val="14"/>
      <color rgb="FF333333"/>
      <name val="Arial"/>
      <family val="2"/>
    </font>
    <font>
      <u val="single"/>
      <sz val="14"/>
      <color rgb="FF333333"/>
      <name val="Arial"/>
      <family val="2"/>
    </font>
    <font>
      <b val="true"/>
      <u val="single"/>
      <sz val="8"/>
      <name val="Arial Narrow"/>
      <family val="2"/>
      <charset val="1"/>
    </font>
    <font>
      <b val="true"/>
      <i val="true"/>
      <u val="single"/>
      <sz val="8"/>
      <name val="Arial Narrow"/>
      <family val="2"/>
      <charset val="1"/>
    </font>
    <font>
      <i val="true"/>
      <sz val="8"/>
      <name val="Arial Narrow"/>
      <family val="2"/>
      <charset val="1"/>
    </font>
    <font>
      <u val="single"/>
      <sz val="8"/>
      <name val="Arial Narrow"/>
      <family val="2"/>
      <charset val="1"/>
    </font>
    <font>
      <b val="true"/>
      <i val="true"/>
      <sz val="8"/>
      <name val="Arial Narrow"/>
      <family val="2"/>
      <charset val="1"/>
    </font>
    <font>
      <b val="true"/>
      <sz val="8"/>
      <color rgb="FF808080"/>
      <name val="Arial Narrow"/>
      <family val="2"/>
      <charset val="1"/>
    </font>
    <font>
      <sz val="8"/>
      <color rgb="FF33CCCC"/>
      <name val="Arial Narrow"/>
      <family val="2"/>
      <charset val="1"/>
    </font>
    <font>
      <sz val="8"/>
      <color rgb="FF333399"/>
      <name val="Arial Narrow"/>
      <family val="2"/>
      <charset val="1"/>
    </font>
    <font>
      <sz val="8"/>
      <name val="Tahoma"/>
      <family val="2"/>
      <charset val="1"/>
    </font>
    <font>
      <b val="true"/>
      <sz val="8"/>
      <name val="Arial"/>
      <family val="2"/>
      <charset val="1"/>
    </font>
    <font>
      <sz val="12"/>
      <color rgb="FF333333"/>
      <name val="Arial"/>
      <family val="2"/>
      <charset val="1"/>
    </font>
    <font>
      <sz val="12"/>
      <name val="Arial Narrow"/>
      <family val="2"/>
      <charset val="1"/>
    </font>
    <font>
      <sz val="12"/>
      <color rgb="FF333333"/>
      <name val="Arial"/>
      <family val="2"/>
    </font>
    <font>
      <sz val="11"/>
      <color rgb="FF333333"/>
      <name val="Arial"/>
      <family val="2"/>
    </font>
    <font>
      <sz val="16"/>
      <color rgb="FF800000"/>
      <name val="Arial"/>
      <family val="2"/>
    </font>
    <font>
      <b val="true"/>
      <sz val="12"/>
      <color rgb="FF808080"/>
      <name val="Tahoma"/>
      <family val="2"/>
    </font>
    <font>
      <sz val="10"/>
      <color rgb="FF333333"/>
      <name val="Arial"/>
      <family val="2"/>
    </font>
    <font>
      <b val="true"/>
      <sz val="10"/>
      <color rgb="FF333333"/>
      <name val="Tahoma"/>
      <family val="2"/>
    </font>
    <font>
      <sz val="7.75"/>
      <color rgb="FF333333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DDDDD"/>
      </patternFill>
    </fill>
    <fill>
      <patternFill patternType="solid">
        <fgColor rgb="FF000090"/>
        <bgColor rgb="FF000080"/>
      </patternFill>
    </fill>
    <fill>
      <patternFill patternType="solid">
        <fgColor rgb="FFDDDDDD"/>
        <bgColor rgb="FFCCFFCC"/>
      </patternFill>
    </fill>
    <fill>
      <patternFill patternType="solid">
        <fgColor rgb="FF808080"/>
        <bgColor rgb="FF969696"/>
      </patternFill>
    </fill>
  </fills>
  <borders count="49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009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/>
      <right style="thin">
        <color rgb="FFC0C0C0"/>
      </right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/>
      <right/>
      <top style="thin">
        <color rgb="FFC0C0C0"/>
      </top>
      <bottom style="double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double">
        <color rgb="FFC0C0C0"/>
      </bottom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double">
        <color rgb="FFC0C0C0"/>
      </top>
      <bottom/>
      <diagonal/>
    </border>
    <border diagonalUp="false" diagonalDown="false">
      <left/>
      <right/>
      <top style="double">
        <color rgb="FFC0C0C0"/>
      </top>
      <bottom/>
      <diagonal/>
    </border>
    <border diagonalUp="false" diagonalDown="false">
      <left/>
      <right/>
      <top/>
      <bottom style="double">
        <color rgb="FFC0C0C0"/>
      </bottom>
      <diagonal/>
    </border>
    <border diagonalUp="false" diagonalDown="false">
      <left/>
      <right style="thin">
        <color rgb="FFC0C0C0"/>
      </right>
      <top style="double">
        <color rgb="FFC0C0C0"/>
      </top>
      <bottom style="double">
        <color rgb="FFC0C0C0"/>
      </bottom>
      <diagonal/>
    </border>
    <border diagonalUp="false" diagonalDown="false">
      <left/>
      <right style="thin">
        <color rgb="FFC0C0C0"/>
      </right>
      <top/>
      <bottom style="double">
        <color rgb="FFC0C0C0"/>
      </bottom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 style="double">
        <color rgb="FFC0C0C0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double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double">
        <color rgb="FFC0C0C0"/>
      </top>
      <bottom style="double">
        <color rgb="FFC0C0C0"/>
      </bottom>
      <diagonal/>
    </border>
    <border diagonalUp="false" diagonalDown="false">
      <left/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3C3C3C"/>
      </left>
      <right/>
      <top/>
      <bottom/>
      <diagonal/>
    </border>
    <border diagonalUp="false" diagonalDown="false">
      <left style="thin">
        <color rgb="FF3C3C3C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3C3C3C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33333"/>
      </left>
      <right/>
      <top style="medium">
        <color rgb="FF333333"/>
      </top>
      <bottom style="medium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medium">
        <color rgb="FF333333"/>
      </top>
      <bottom style="medium">
        <color rgb="FF333333"/>
      </bottom>
      <diagonal/>
    </border>
    <border diagonalUp="false" diagonalDown="false">
      <left style="thin">
        <color rgb="FFC0C0C0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medium">
        <color rgb="FF333333"/>
      </right>
      <top style="thin">
        <color rgb="FFC0C0C0"/>
      </top>
      <bottom style="thin">
        <color rgb="FFC0C0C0"/>
      </bottom>
      <diagonal/>
    </border>
    <border diagonalUp="false" diagonalDown="false">
      <left style="medium">
        <color rgb="FF333333"/>
      </left>
      <right/>
      <top style="thin">
        <color rgb="FFC0C0C0"/>
      </top>
      <bottom style="medium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medium">
        <color rgb="FF333333"/>
      </bottom>
      <diagonal/>
    </border>
    <border diagonalUp="false" diagonalDown="false">
      <left style="thin">
        <color rgb="FFC0C0C0"/>
      </left>
      <right style="medium">
        <color rgb="FF333333"/>
      </right>
      <top style="thin">
        <color rgb="FFC0C0C0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thin">
        <color rgb="FFC0C0C0"/>
      </top>
      <bottom/>
      <diagonal/>
    </border>
    <border diagonalUp="false" diagonalDown="false">
      <left style="thin">
        <color rgb="FFC0C0C0"/>
      </left>
      <right style="medium">
        <color rgb="FF333333"/>
      </right>
      <top style="thin">
        <color rgb="FFC0C0C0"/>
      </top>
      <bottom/>
      <diagonal/>
    </border>
    <border diagonalUp="false" diagonalDown="false">
      <left style="medium">
        <color rgb="FF333333"/>
      </left>
      <right/>
      <top/>
      <bottom style="medium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medium">
        <color rgb="FF333333"/>
      </bottom>
      <diagonal/>
    </border>
    <border diagonalUp="false" diagonalDown="false">
      <left style="thin">
        <color rgb="FFC0C0C0"/>
      </left>
      <right style="medium">
        <color rgb="FF333333"/>
      </right>
      <top/>
      <bottom style="medium">
        <color rgb="FF333333"/>
      </bottom>
      <diagonal/>
    </border>
    <border diagonalUp="false" diagonalDown="false">
      <left style="medium">
        <color rgb="FF333333"/>
      </left>
      <right/>
      <top/>
      <bottom style="thin">
        <color rgb="FFC0C0C0"/>
      </bottom>
      <diagonal/>
    </border>
    <border diagonalUp="false" diagonalDown="false">
      <left style="thin">
        <color rgb="FFC0C0C0"/>
      </left>
      <right style="medium">
        <color rgb="FF333333"/>
      </right>
      <top/>
      <bottom style="thin">
        <color rgb="FFC0C0C0"/>
      </bottom>
      <diagonal/>
    </border>
    <border diagonalUp="false" diagonalDown="false">
      <left style="medium">
        <color rgb="FF333333"/>
      </left>
      <right/>
      <top/>
      <bottom/>
      <diagonal/>
    </border>
    <border diagonalUp="false" diagonalDown="false">
      <left/>
      <right style="medium">
        <color rgb="FF333333"/>
      </right>
      <top/>
      <bottom/>
      <diagonal/>
    </border>
    <border diagonalUp="false" diagonalDown="false">
      <left/>
      <right/>
      <top style="thin">
        <color rgb="FF3C3C3C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5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7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0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2" borderId="0" xfId="20" applyFont="true" applyBorder="true" applyAlignment="true" applyProtection="true">
      <alignment horizontal="left" vertical="bottom" textRotation="0" wrapText="true" indent="0" shrinkToFit="false"/>
      <protection locked="true" hidden="true"/>
    </xf>
    <xf numFmtId="164" fontId="9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7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0" fillId="3" borderId="2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9" fillId="2" borderId="0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9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9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0" borderId="0" xfId="20" applyFont="true" applyBorder="false" applyAlignment="true" applyProtection="true">
      <alignment horizontal="general" vertical="center" textRotation="0" wrapText="true" indent="0" shrinkToFit="false"/>
      <protection locked="true" hidden="tru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1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2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3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5" fillId="5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5" fillId="0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15" fillId="0" borderId="3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5" fontId="15" fillId="0" borderId="4" xfId="19" applyFont="true" applyBorder="true" applyAlignment="true" applyProtection="true">
      <alignment horizontal="left" vertical="bottom" textRotation="0" wrapText="false" indent="2" shrinkToFit="false"/>
      <protection locked="true" hidden="true"/>
    </xf>
    <xf numFmtId="165" fontId="5" fillId="0" borderId="4" xfId="19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1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6" xfId="19" applyFont="true" applyBorder="true" applyAlignment="true" applyProtection="true">
      <alignment horizontal="left" vertical="center" textRotation="0" wrapText="false" indent="2" shrinkToFit="false"/>
      <protection locked="true" hidden="true"/>
    </xf>
    <xf numFmtId="165" fontId="15" fillId="0" borderId="7" xfId="19" applyFont="true" applyBorder="true" applyAlignment="true" applyProtection="true">
      <alignment horizontal="left" vertical="center" textRotation="0" wrapText="false" indent="2" shrinkToFit="false"/>
      <protection locked="true" hidden="true"/>
    </xf>
    <xf numFmtId="165" fontId="15" fillId="0" borderId="4" xfId="19" applyFont="true" applyBorder="true" applyAlignment="true" applyProtection="true">
      <alignment horizontal="left" vertical="center" textRotation="0" wrapText="false" indent="2" shrinkToFit="false"/>
      <protection locked="true" hidden="true"/>
    </xf>
    <xf numFmtId="165" fontId="15" fillId="0" borderId="0" xfId="19" applyFont="true" applyBorder="true" applyAlignment="true" applyProtection="true">
      <alignment horizontal="left" vertical="center" textRotation="0" wrapText="false" indent="2" shrinkToFit="false"/>
      <protection locked="true" hidden="true"/>
    </xf>
    <xf numFmtId="165" fontId="15" fillId="0" borderId="8" xfId="19" applyFont="true" applyBorder="true" applyAlignment="true" applyProtection="true">
      <alignment horizontal="left" vertical="center" textRotation="0" wrapText="false" indent="2" shrinkToFit="false"/>
      <protection locked="true" hidden="true"/>
    </xf>
    <xf numFmtId="166" fontId="1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9" xfId="19" applyFont="true" applyBorder="true" applyAlignment="true" applyProtection="true">
      <alignment horizontal="left" vertical="center" textRotation="0" wrapText="false" indent="2" shrinkToFit="false"/>
      <protection locked="true" hidden="tru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9" fontId="5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5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5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5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2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9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2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true"/>
    </xf>
    <xf numFmtId="164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1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0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5" borderId="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10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8" fontId="15" fillId="2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5" borderId="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0" fillId="5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1" fontId="5" fillId="5" borderId="3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5" fillId="5" borderId="5" xfId="0" applyFont="true" applyBorder="true" applyAlignment="true" applyProtection="true">
      <alignment horizontal="left" vertical="bottom" textRotation="0" wrapText="false" indent="2" shrinkToFit="false"/>
      <protection locked="true" hidden="true"/>
    </xf>
    <xf numFmtId="170" fontId="15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0" fontId="5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15" fillId="5" borderId="2" xfId="19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8" fontId="15" fillId="2" borderId="2" xfId="1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2" fontId="15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2" fontId="5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10" fillId="5" borderId="1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1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21" fillId="0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2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1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0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5" fillId="5" borderId="12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71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1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5" borderId="1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6" fillId="5" borderId="1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15" fillId="2" borderId="11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5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0" fontId="10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0" fontId="10" fillId="2" borderId="1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5" borderId="1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6" fillId="5" borderId="17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0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0" fillId="5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5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15" fillId="0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5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8" fontId="15" fillId="0" borderId="2" xfId="19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15" fillId="2" borderId="2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10" fillId="0" borderId="0" xfId="0" applyFont="true" applyBorder="false" applyAlignment="true" applyProtection="true">
      <alignment horizontal="left" vertical="bottom" textRotation="0" wrapText="false" indent="2" shrinkToFit="false"/>
      <protection locked="true" hidden="true"/>
    </xf>
    <xf numFmtId="164" fontId="11" fillId="4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true"/>
    </xf>
    <xf numFmtId="164" fontId="10" fillId="5" borderId="1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0" fillId="5" borderId="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0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0" fillId="5" borderId="1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5" borderId="1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5" borderId="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15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5" fillId="5" borderId="2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5" fillId="2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5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0" fontId="1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4" fontId="5" fillId="5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0" fillId="5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1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0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0" fontId="10" fillId="5" borderId="1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0" fontId="10" fillId="5" borderId="1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73" fontId="5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2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27" fillId="5" borderId="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4" fontId="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4" fontId="15" fillId="0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5" fillId="5" borderId="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0" fontId="10" fillId="5" borderId="2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0" fontId="10" fillId="5" borderId="1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0" fontId="10" fillId="5" borderId="2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2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4" fontId="5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4" fontId="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10" fillId="5" borderId="1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4" fontId="29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5" borderId="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5" borderId="19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5" borderId="3" xfId="0" applyFont="true" applyBorder="true" applyAlignment="true" applyProtection="true">
      <alignment horizontal="left" vertical="bottom" textRotation="0" wrapText="false" indent="2" shrinkToFit="false"/>
      <protection locked="true" hidden="true"/>
    </xf>
    <xf numFmtId="168" fontId="5" fillId="5" borderId="2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5" fillId="5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4" fontId="5" fillId="5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4" fontId="5" fillId="5" borderId="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15" fillId="2" borderId="2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5" fontId="15" fillId="0" borderId="2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5" fillId="5" borderId="0" xfId="19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5" borderId="2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5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5" fillId="5" borderId="3" xfId="19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0" fontId="5" fillId="2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5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5" borderId="19" xfId="0" applyFont="true" applyBorder="true" applyAlignment="true" applyProtection="true">
      <alignment horizontal="left" vertical="bottom" textRotation="0" wrapText="false" indent="2" shrinkToFit="false"/>
      <protection locked="true" hidden="true"/>
    </xf>
    <xf numFmtId="165" fontId="5" fillId="5" borderId="23" xfId="19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0" fontId="5" fillId="5" borderId="6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4" fontId="1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5" fillId="2" borderId="0" xfId="19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0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left" vertical="bottom" textRotation="0" wrapText="false" indent="2" shrinkToFit="false"/>
      <protection locked="true" hidden="true"/>
    </xf>
    <xf numFmtId="164" fontId="22" fillId="5" borderId="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5" fillId="5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5" borderId="5" xfId="0" applyFont="true" applyBorder="true" applyAlignment="true" applyProtection="true">
      <alignment horizontal="justify" vertical="bottom" textRotation="0" wrapText="false" indent="0" shrinkToFit="false"/>
      <protection locked="true" hidden="true"/>
    </xf>
    <xf numFmtId="164" fontId="5" fillId="5" borderId="2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0" fontId="15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6" fontId="15" fillId="5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6" fontId="1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6" fontId="1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6" fontId="10" fillId="5" borderId="1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3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2" fillId="5" borderId="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5" fillId="5" borderId="2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1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2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9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4" fontId="5" fillId="5" borderId="1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7" fontId="5" fillId="5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6" fontId="15" fillId="0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76" fontId="5" fillId="5" borderId="2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6" fontId="5" fillId="2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76" fontId="10" fillId="5" borderId="2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10" fillId="5" borderId="1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6" fontId="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6" fontId="5" fillId="5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6" fontId="5" fillId="2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5" borderId="2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6" fontId="10" fillId="5" borderId="11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5" fillId="0" borderId="0" xfId="0" applyFont="true" applyBorder="true" applyAlignment="true" applyProtection="true">
      <alignment horizontal="left" vertical="bottom" textRotation="0" wrapText="false" indent="2" shrinkToFit="false"/>
      <protection locked="true" hidden="true"/>
    </xf>
    <xf numFmtId="176" fontId="5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6" fontId="5" fillId="0" borderId="1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0" fillId="5" borderId="2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5" borderId="10" xfId="0" applyFont="true" applyBorder="true" applyAlignment="true" applyProtection="true">
      <alignment horizontal="left" vertical="bottom" textRotation="0" wrapText="false" indent="3" shrinkToFit="false"/>
      <protection locked="true" hidden="true"/>
    </xf>
    <xf numFmtId="164" fontId="10" fillId="0" borderId="24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18" xfId="0" applyFont="true" applyBorder="true" applyAlignment="true" applyProtection="true">
      <alignment horizontal="left" vertical="bottom" textRotation="0" wrapText="false" indent="3" shrinkToFit="false"/>
      <protection locked="true" hidden="true"/>
    </xf>
    <xf numFmtId="164" fontId="3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6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15" fillId="5" borderId="2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10" fillId="5" borderId="2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5" borderId="21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fill" vertical="bottom" textRotation="0" wrapText="false" indent="0" shrinkToFit="false"/>
      <protection locked="true" hidden="true"/>
    </xf>
    <xf numFmtId="176" fontId="5" fillId="2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1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6" fontId="5" fillId="5" borderId="6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5" fillId="6" borderId="7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5" fillId="5" borderId="2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5" fillId="6" borderId="7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5" borderId="0" xfId="0" applyFont="true" applyBorder="true" applyAlignment="true" applyProtection="true">
      <alignment horizontal="left" vertical="bottom" textRotation="0" wrapText="false" indent="2" shrinkToFit="false"/>
      <protection locked="true" hidden="true"/>
    </xf>
    <xf numFmtId="164" fontId="1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6" fontId="5" fillId="6" borderId="6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6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6" fontId="5" fillId="6" borderId="2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6" fontId="5" fillId="6" borderId="2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6" fontId="5" fillId="5" borderId="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5" fillId="6" borderId="4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5" fillId="6" borderId="0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5" fillId="5" borderId="3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5" fillId="6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6" fontId="5" fillId="6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6" fontId="5" fillId="6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6" fontId="5" fillId="5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8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0" fontId="5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0" fillId="5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0" fontId="5" fillId="0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5" fillId="5" borderId="25" xfId="19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74" fontId="1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6" fontId="3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76" fontId="19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76" fontId="33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5" fontId="10" fillId="5" borderId="1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70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5" borderId="24" xfId="0" applyFont="true" applyBorder="true" applyAlignment="true" applyProtection="true">
      <alignment horizontal="left" vertical="bottom" textRotation="0" wrapText="false" indent="2" shrinkToFit="false"/>
      <protection locked="true" hidden="true"/>
    </xf>
    <xf numFmtId="174" fontId="5" fillId="5" borderId="3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5" borderId="19" xfId="0" applyFont="true" applyBorder="true" applyAlignment="true" applyProtection="true">
      <alignment horizontal="left" vertical="bottom" textRotation="0" wrapText="false" indent="3" shrinkToFit="false"/>
      <protection locked="true" hidden="true"/>
    </xf>
    <xf numFmtId="176" fontId="1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4" fontId="5" fillId="5" borderId="26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0" fillId="5" borderId="21" xfId="0" applyFont="true" applyBorder="true" applyAlignment="true" applyProtection="true">
      <alignment horizontal="left" vertical="bottom" textRotation="0" wrapText="false" indent="2" shrinkToFit="false"/>
      <protection locked="true" hidden="true"/>
    </xf>
    <xf numFmtId="164" fontId="5" fillId="2" borderId="27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4" fontId="5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4" fontId="5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70" fontId="3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3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false" applyAlignment="true" applyProtection="true">
      <alignment horizontal="left" vertical="bottom" textRotation="0" wrapText="false" indent="2" shrinkToFit="false"/>
      <protection locked="true" hidden="true"/>
    </xf>
    <xf numFmtId="170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3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4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3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0" fillId="5" borderId="28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76" fontId="5" fillId="5" borderId="2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5" fillId="5" borderId="22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6" fontId="5" fillId="2" borderId="7" xfId="19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5" borderId="30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76" fontId="5" fillId="5" borderId="30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76" fontId="5" fillId="5" borderId="9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10" fillId="5" borderId="30" xfId="0" applyFont="true" applyBorder="true" applyAlignment="true" applyProtection="true">
      <alignment horizontal="left" vertical="top" textRotation="0" wrapText="true" indent="0" shrinkToFit="false"/>
      <protection locked="true" hidden="true"/>
    </xf>
    <xf numFmtId="176" fontId="5" fillId="5" borderId="30" xfId="19" applyFont="true" applyBorder="true" applyAlignment="true" applyProtection="true">
      <alignment horizontal="right" vertical="center" textRotation="0" wrapText="false" indent="0" shrinkToFit="false"/>
      <protection locked="false" hidden="true"/>
    </xf>
    <xf numFmtId="164" fontId="20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0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9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7" fontId="5" fillId="5" borderId="2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7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4" fontId="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6" fontId="5" fillId="5" borderId="2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0" fontId="1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80" fontId="1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80" fontId="3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20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0" fillId="5" borderId="3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0" fillId="5" borderId="3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0" fillId="5" borderId="3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5" borderId="34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5" fillId="5" borderId="35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5" fillId="5" borderId="3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5" fillId="5" borderId="37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5" fillId="5" borderId="38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5" fillId="5" borderId="39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5" fillId="5" borderId="6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5" fillId="5" borderId="40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5" fillId="5" borderId="4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5" fillId="5" borderId="42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5" fillId="5" borderId="43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6" fontId="5" fillId="5" borderId="37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5" fillId="5" borderId="44" xfId="0" applyFont="true" applyBorder="true" applyAlignment="true" applyProtection="true">
      <alignment horizontal="left" vertical="bottom" textRotation="0" wrapText="false" indent="2" shrinkToFit="false"/>
      <protection locked="true" hidden="true"/>
    </xf>
    <xf numFmtId="176" fontId="5" fillId="5" borderId="9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76" fontId="5" fillId="5" borderId="45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5" fillId="5" borderId="34" xfId="0" applyFont="true" applyBorder="true" applyAlignment="true" applyProtection="true">
      <alignment horizontal="left" vertical="bottom" textRotation="0" wrapText="false" indent="2" shrinkToFit="false"/>
      <protection locked="true" hidden="true"/>
    </xf>
    <xf numFmtId="176" fontId="5" fillId="5" borderId="35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10" fillId="5" borderId="3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6" fontId="10" fillId="5" borderId="35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5" fillId="0" borderId="46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1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1" fontId="5" fillId="0" borderId="47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0" fontId="5" fillId="0" borderId="47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0" fillId="5" borderId="36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6" fontId="5" fillId="5" borderId="38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76" fontId="5" fillId="5" borderId="35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82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76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6" fontId="10" fillId="5" borderId="2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7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0" fillId="2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6" fontId="10" fillId="2" borderId="0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5" fillId="5" borderId="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8" fontId="5" fillId="5" borderId="2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71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5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5" borderId="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76" fontId="5" fillId="5" borderId="2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83" fontId="5" fillId="5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82" fontId="3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82" fontId="5" fillId="0" borderId="0" xfId="15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82" fontId="33" fillId="0" borderId="0" xfId="15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8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10" fillId="5" borderId="2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82" fontId="5" fillId="0" borderId="0" xfId="15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6" fontId="10" fillId="5" borderId="2" xfId="19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8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5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8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6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9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6" fontId="5" fillId="0" borderId="4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5" fillId="0" borderId="48" xfId="19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9" fontId="5" fillId="0" borderId="4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7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6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83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82" fontId="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0" fillId="2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7" fontId="5" fillId="2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5" xfId="0" applyFont="true" applyBorder="true" applyAlignment="true" applyProtection="true">
      <alignment horizontal="left" vertical="bottom" textRotation="0" wrapText="false" indent="2" shrinkToFit="false"/>
      <protection locked="false" hidden="false"/>
    </xf>
    <xf numFmtId="176" fontId="10" fillId="2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4" fontId="5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4" fontId="5" fillId="2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6" fontId="5" fillId="2" borderId="0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77" fontId="5" fillId="5" borderId="3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76" fontId="5" fillId="5" borderId="3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77" fontId="1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7" fontId="5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6" fontId="5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Book1" xfId="20" builtinId="53" customBuiltin="true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9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-1" strike="noStrike">
                <a:solidFill>
                  <a:srgbClr val="808080"/>
                </a:solidFill>
                <a:uFill>
                  <a:solidFill>
                    <a:srgbClr val="ffffff"/>
                  </a:solidFill>
                </a:uFill>
                <a:latin typeface="Tahoma"/>
                <a:ea typeface="Tahoma"/>
              </a:defRPr>
            </a:pPr>
            <a:r>
              <a:rPr b="1" sz="1200" spc="-1" strike="noStrike">
                <a:solidFill>
                  <a:srgbClr val="808080"/>
                </a:solidFill>
                <a:uFill>
                  <a:solidFill>
                    <a:srgbClr val="ffffff"/>
                  </a:solidFill>
                </a:uFill>
                <a:latin typeface="Tahoma"/>
                <a:ea typeface="Tahoma"/>
              </a:rPr>
              <a:t>Margem Bruta vs Custos Fixos</a:t>
            </a:r>
          </a:p>
        </c:rich>
      </c:tx>
      <c:layout>
        <c:manualLayout>
          <c:xMode val="edge"/>
          <c:yMode val="edge"/>
          <c:x val="0.275418060200669"/>
          <c:y val="0.018687649290431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75418060200669"/>
          <c:y val="0.316003934241956"/>
          <c:w val="0.519286510590858"/>
          <c:h val="0.509203316003934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DR!$C$9:$H$9</c:f>
              <c:numCache>
                <c:formatCode>General</c:formatCode>
                <c:ptCount val="6"/>
                <c:pt idx="0">
                  <c:v>60</c:v>
                </c:pt>
                <c:pt idx="1">
                  <c:v>71976</c:v>
                </c:pt>
                <c:pt idx="2">
                  <c:v>213624.768</c:v>
                </c:pt>
                <c:pt idx="3">
                  <c:v>422122.541568</c:v>
                </c:pt>
                <c:pt idx="4">
                  <c:v>543482.7722688</c:v>
                </c:pt>
                <c:pt idx="5">
                  <c:v>641309.671277184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DR!$C$13:$H$13</c:f>
              <c:numCache>
                <c:formatCode>General</c:formatCode>
                <c:ptCount val="6"/>
                <c:pt idx="0">
                  <c:v>-2132.7</c:v>
                </c:pt>
                <c:pt idx="1">
                  <c:v>35033.28</c:v>
                </c:pt>
                <c:pt idx="2">
                  <c:v>127181.32224</c:v>
                </c:pt>
                <c:pt idx="3">
                  <c:v>264438.92826624</c:v>
                </c:pt>
                <c:pt idx="4">
                  <c:v>343573.225142784</c:v>
                </c:pt>
                <c:pt idx="5">
                  <c:v>407496.010468485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fff00"/>
            </a:solidFill>
            <a:ln w="12600">
              <a:solidFill>
                <a:srgbClr val="ffff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DR!$C$15:$H$15</c:f>
              <c:numCache>
                <c:formatCode>General</c:formatCode>
                <c:ptCount val="6"/>
                <c:pt idx="0">
                  <c:v>898.5</c:v>
                </c:pt>
                <c:pt idx="1">
                  <c:v>5750.4</c:v>
                </c:pt>
                <c:pt idx="2">
                  <c:v>7475.52</c:v>
                </c:pt>
                <c:pt idx="3">
                  <c:v>9344.4</c:v>
                </c:pt>
                <c:pt idx="4">
                  <c:v>10746.06</c:v>
                </c:pt>
                <c:pt idx="5">
                  <c:v>10746.06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5146213"/>
        <c:axId val="32098570"/>
      </c:lineChart>
      <c:catAx>
        <c:axId val="4514621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333333"/>
                    </a:solidFill>
                    <a:uFill>
                      <a:solidFill>
                        <a:srgbClr val="ffffff"/>
                      </a:solidFill>
                    </a:uFill>
                    <a:latin typeface="Tahoma"/>
                    <a:ea typeface="Tahoma"/>
                  </a:defRPr>
                </a:pPr>
                <a:r>
                  <a:rPr b="1" sz="1000" spc="-1" strike="noStrike">
                    <a:solidFill>
                      <a:srgbClr val="333333"/>
                    </a:solidFill>
                    <a:uFill>
                      <a:solidFill>
                        <a:srgbClr val="ffffff"/>
                      </a:solidFill>
                    </a:uFill>
                    <a:latin typeface="Tahoma"/>
                    <a:ea typeface="Tahoma"/>
                  </a:rPr>
                  <a:t>Anos do projecto</a:t>
                </a:r>
              </a:p>
            </c:rich>
          </c:tx>
          <c:layout>
            <c:manualLayout>
              <c:xMode val="edge"/>
              <c:yMode val="edge"/>
              <c:x val="0.333333333333333"/>
              <c:y val="0.8662357735000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240">
            <a:solidFill>
              <a:srgbClr val="33333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333333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32098570"/>
        <c:crosses val="autoZero"/>
        <c:auto val="1"/>
        <c:lblAlgn val="ctr"/>
        <c:lblOffset val="100"/>
      </c:catAx>
      <c:valAx>
        <c:axId val="32098570"/>
        <c:scaling>
          <c:orientation val="minMax"/>
        </c:scaling>
        <c:delete val="0"/>
        <c:axPos val="l"/>
        <c:majorGridlines>
          <c:spPr>
            <a:ln w="3240">
              <a:solidFill>
                <a:srgbClr val="33333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333333"/>
                    </a:solidFill>
                    <a:uFill>
                      <a:solidFill>
                        <a:srgbClr val="ffffff"/>
                      </a:solidFill>
                    </a:uFill>
                    <a:latin typeface="Tahoma"/>
                    <a:ea typeface="Tahoma"/>
                  </a:defRPr>
                </a:pPr>
                <a:r>
                  <a:rPr b="1" sz="1000" spc="-1" strike="noStrike">
                    <a:solidFill>
                      <a:srgbClr val="333333"/>
                    </a:solidFill>
                    <a:uFill>
                      <a:solidFill>
                        <a:srgbClr val="ffffff"/>
                      </a:solidFill>
                    </a:uFill>
                    <a:latin typeface="Tahoma"/>
                    <a:ea typeface="Tahoma"/>
                  </a:rPr>
                  <a:t>Valores em Euros</a:t>
                </a:r>
              </a:p>
            </c:rich>
          </c:tx>
          <c:layout>
            <c:manualLayout>
              <c:xMode val="edge"/>
              <c:yMode val="edge"/>
              <c:x val="0.00880713489409142"/>
              <c:y val="0.353098215540256"/>
            </c:manualLayout>
          </c:layout>
          <c:overlay val="0"/>
        </c:title>
        <c:numFmt formatCode="#,##0_ ;[RED]\-#,##0\ " sourceLinked="0"/>
        <c:majorTickMark val="out"/>
        <c:minorTickMark val="none"/>
        <c:tickLblPos val="nextTo"/>
        <c:spPr>
          <a:ln w="3240">
            <a:solidFill>
              <a:srgbClr val="33333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333333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45146213"/>
        <c:crossesAt val="1"/>
        <c:crossBetween val="midCat"/>
      </c:valAx>
      <c:spPr>
        <a:solidFill>
          <a:srgbClr val="ccffff"/>
        </a:solidFill>
        <a:ln w="12600">
          <a:solidFill>
            <a:srgbClr val="808080"/>
          </a:solidFill>
          <a:round/>
        </a:ln>
      </c:spPr>
    </c:plotArea>
    <c:legend>
      <c:legendPos val="r"/>
      <c:layout>
        <c:manualLayout>
          <c:xMode val="edge"/>
          <c:yMode val="edge"/>
          <c:x val="0.729825811790385"/>
          <c:y val="0.412639405204461"/>
        </c:manualLayout>
      </c:layout>
      <c:overlay val="0"/>
      <c:spPr>
        <a:solidFill>
          <a:srgbClr val="ffffff"/>
        </a:solidFill>
        <a:ln w="3240">
          <a:solidFill>
            <a:srgbClr val="333333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333333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-1" strike="noStrike">
                <a:solidFill>
                  <a:srgbClr val="808080"/>
                </a:solidFill>
                <a:uFill>
                  <a:solidFill>
                    <a:srgbClr val="ffffff"/>
                  </a:solidFill>
                </a:uFill>
                <a:latin typeface="Tahoma"/>
                <a:ea typeface="Tahoma"/>
              </a:defRPr>
            </a:pPr>
            <a:r>
              <a:rPr b="1" sz="1200" spc="-1" strike="noStrike">
                <a:solidFill>
                  <a:srgbClr val="808080"/>
                </a:solidFill>
                <a:uFill>
                  <a:solidFill>
                    <a:srgbClr val="ffffff"/>
                  </a:solidFill>
                </a:uFill>
                <a:latin typeface="Tahoma"/>
                <a:ea typeface="Tahoma"/>
              </a:rPr>
              <a:t>V.Negócios vs EBITDA</a:t>
            </a:r>
          </a:p>
        </c:rich>
      </c:tx>
      <c:layout>
        <c:manualLayout>
          <c:xMode val="edge"/>
          <c:yMode val="edge"/>
          <c:x val="0.314046822742475"/>
          <c:y val="0.037370047766226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2441471571906"/>
          <c:y val="0.30472042708626"/>
          <c:w val="0.506967670011148"/>
          <c:h val="0.449704973307109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DR!$C$9:$H$9</c:f>
              <c:numCache>
                <c:formatCode>General</c:formatCode>
                <c:ptCount val="6"/>
                <c:pt idx="0">
                  <c:v>60</c:v>
                </c:pt>
                <c:pt idx="1">
                  <c:v>71976</c:v>
                </c:pt>
                <c:pt idx="2">
                  <c:v>213624.768</c:v>
                </c:pt>
                <c:pt idx="3">
                  <c:v>422122.541568</c:v>
                </c:pt>
                <c:pt idx="4">
                  <c:v>543482.7722688</c:v>
                </c:pt>
                <c:pt idx="5">
                  <c:v>641309.671277184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DR!$C$22:$H$22</c:f>
              <c:numCache>
                <c:formatCode>General</c:formatCode>
                <c:ptCount val="6"/>
                <c:pt idx="0">
                  <c:v>-53163.45</c:v>
                </c:pt>
                <c:pt idx="1">
                  <c:v>-74018.8</c:v>
                </c:pt>
                <c:pt idx="2">
                  <c:v>7219.98784</c:v>
                </c:pt>
                <c:pt idx="3">
                  <c:v>137479.56500224</c:v>
                </c:pt>
                <c:pt idx="4">
                  <c:v>210527.603348224</c:v>
                </c:pt>
                <c:pt idx="5">
                  <c:v>269578.406202143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5342813"/>
        <c:axId val="33977008"/>
      </c:lineChart>
      <c:catAx>
        <c:axId val="1534281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333333"/>
                    </a:solidFill>
                    <a:uFill>
                      <a:solidFill>
                        <a:srgbClr val="ffffff"/>
                      </a:solidFill>
                    </a:uFill>
                    <a:latin typeface="Tahoma"/>
                    <a:ea typeface="Tahoma"/>
                  </a:defRPr>
                </a:pPr>
                <a:r>
                  <a:rPr b="1" sz="1000" spc="-1" strike="noStrike">
                    <a:solidFill>
                      <a:srgbClr val="333333"/>
                    </a:solidFill>
                    <a:uFill>
                      <a:solidFill>
                        <a:srgbClr val="ffffff"/>
                      </a:solidFill>
                    </a:uFill>
                    <a:latin typeface="Tahoma"/>
                    <a:ea typeface="Tahoma"/>
                  </a:rPr>
                  <a:t>Anos </a:t>
                </a:r>
              </a:p>
            </c:rich>
          </c:tx>
          <c:layout>
            <c:manualLayout>
              <c:xMode val="edge"/>
              <c:yMode val="edge"/>
              <c:x val="0.403511705685619"/>
              <c:y val="0.79558864849676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240">
            <a:solidFill>
              <a:srgbClr val="33333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333333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33977008"/>
        <c:crosses val="autoZero"/>
        <c:auto val="1"/>
        <c:lblAlgn val="ctr"/>
        <c:lblOffset val="100"/>
      </c:catAx>
      <c:valAx>
        <c:axId val="33977008"/>
        <c:scaling>
          <c:orientation val="minMax"/>
        </c:scaling>
        <c:delete val="0"/>
        <c:axPos val="l"/>
        <c:majorGridlines>
          <c:spPr>
            <a:ln w="3240">
              <a:solidFill>
                <a:srgbClr val="33333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333333"/>
                    </a:solidFill>
                    <a:uFill>
                      <a:solidFill>
                        <a:srgbClr val="ffffff"/>
                      </a:solidFill>
                    </a:uFill>
                    <a:latin typeface="Tahoma"/>
                    <a:ea typeface="Tahoma"/>
                  </a:defRPr>
                </a:pPr>
                <a:r>
                  <a:rPr b="1" sz="1000" spc="-1" strike="noStrike">
                    <a:solidFill>
                      <a:srgbClr val="333333"/>
                    </a:solidFill>
                    <a:uFill>
                      <a:solidFill>
                        <a:srgbClr val="ffffff"/>
                      </a:solidFill>
                    </a:uFill>
                    <a:latin typeface="Tahoma"/>
                    <a:ea typeface="Tahoma"/>
                  </a:rPr>
                  <a:t>Valores em Euros</a:t>
                </a:r>
              </a:p>
            </c:rich>
          </c:tx>
          <c:layout>
            <c:manualLayout>
              <c:xMode val="edge"/>
              <c:yMode val="edge"/>
              <c:x val="0.0141025641025641"/>
              <c:y val="0.31216633885923"/>
            </c:manualLayout>
          </c:layout>
          <c:overlay val="0"/>
        </c:title>
        <c:numFmt formatCode="#,##0_ ;[RED]\-#,##0\ " sourceLinked="0"/>
        <c:majorTickMark val="out"/>
        <c:minorTickMark val="none"/>
        <c:tickLblPos val="nextTo"/>
        <c:spPr>
          <a:ln w="3240">
            <a:solidFill>
              <a:srgbClr val="33333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333333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5342813"/>
        <c:crossesAt val="1"/>
        <c:crossBetween val="midCat"/>
      </c:valAx>
      <c:spPr>
        <a:solidFill>
          <a:srgbClr val="ccffff"/>
        </a:solidFill>
        <a:ln w="12600">
          <a:solidFill>
            <a:srgbClr val="808080"/>
          </a:solidFill>
          <a:round/>
        </a:ln>
      </c:spPr>
    </c:plotArea>
    <c:legend>
      <c:legendPos val="r"/>
      <c:layout>
        <c:manualLayout>
          <c:xMode val="edge"/>
          <c:yMode val="edge"/>
          <c:x val="0.729825811790385"/>
          <c:y val="0.434944237918216"/>
        </c:manualLayout>
      </c:layout>
      <c:overlay val="0"/>
      <c:spPr>
        <a:solidFill>
          <a:srgbClr val="ffffff"/>
        </a:solidFill>
        <a:ln w="3240">
          <a:solidFill>
            <a:srgbClr val="333333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333333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-1" strike="noStrike">
                <a:solidFill>
                  <a:srgbClr val="808080"/>
                </a:solidFill>
                <a:uFill>
                  <a:solidFill>
                    <a:srgbClr val="ffffff"/>
                  </a:solidFill>
                </a:uFill>
                <a:latin typeface="Tahoma"/>
                <a:ea typeface="Tahoma"/>
              </a:defRPr>
            </a:pPr>
            <a:r>
              <a:rPr b="1" sz="1200" spc="-1" strike="noStrike">
                <a:solidFill>
                  <a:srgbClr val="808080"/>
                </a:solidFill>
                <a:uFill>
                  <a:solidFill>
                    <a:srgbClr val="ffffff"/>
                  </a:solidFill>
                </a:uFill>
                <a:latin typeface="Tahoma"/>
                <a:ea typeface="Tahoma"/>
              </a:rPr>
              <a:t>V.Negócios vs Cash flow</a:t>
            </a:r>
          </a:p>
        </c:rich>
      </c:tx>
      <c:layout>
        <c:manualLayout>
          <c:xMode val="edge"/>
          <c:yMode val="edge"/>
          <c:x val="0.306311846592497"/>
          <c:y val="0.033704696093639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6615978084642"/>
          <c:y val="0.317162600479481"/>
          <c:w val="0.489405713646783"/>
          <c:h val="0.42532788041179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DR!$C$9:$H$9</c:f>
              <c:numCache>
                <c:formatCode>General</c:formatCode>
                <c:ptCount val="6"/>
                <c:pt idx="0">
                  <c:v>60</c:v>
                </c:pt>
                <c:pt idx="1">
                  <c:v>71976</c:v>
                </c:pt>
                <c:pt idx="2">
                  <c:v>213624.768</c:v>
                </c:pt>
                <c:pt idx="3">
                  <c:v>422122.541568</c:v>
                </c:pt>
                <c:pt idx="4">
                  <c:v>543482.7722688</c:v>
                </c:pt>
                <c:pt idx="5">
                  <c:v>641309.671277184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5509425"/>
        <c:axId val="35073080"/>
      </c:lineChart>
      <c:catAx>
        <c:axId val="855094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333333"/>
                    </a:solidFill>
                    <a:uFill>
                      <a:solidFill>
                        <a:srgbClr val="ffffff"/>
                      </a:solidFill>
                    </a:uFill>
                    <a:latin typeface="Tahoma"/>
                    <a:ea typeface="Tahoma"/>
                  </a:defRPr>
                </a:pPr>
                <a:r>
                  <a:rPr b="1" sz="1000" spc="-1" strike="noStrike">
                    <a:solidFill>
                      <a:srgbClr val="333333"/>
                    </a:solidFill>
                    <a:uFill>
                      <a:solidFill>
                        <a:srgbClr val="ffffff"/>
                      </a:solidFill>
                    </a:uFill>
                    <a:latin typeface="Tahoma"/>
                    <a:ea typeface="Tahoma"/>
                  </a:rPr>
                  <a:t>Anos</a:t>
                </a:r>
              </a:p>
            </c:rich>
          </c:tx>
          <c:layout>
            <c:manualLayout>
              <c:xMode val="edge"/>
              <c:yMode val="edge"/>
              <c:x val="0.399619835634819"/>
              <c:y val="0.8582710478070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240">
            <a:solidFill>
              <a:srgbClr val="33333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333333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35073080"/>
        <c:crosses val="autoZero"/>
        <c:auto val="1"/>
        <c:lblAlgn val="ctr"/>
        <c:lblOffset val="100"/>
      </c:catAx>
      <c:valAx>
        <c:axId val="35073080"/>
        <c:scaling>
          <c:orientation val="minMax"/>
        </c:scaling>
        <c:delete val="0"/>
        <c:axPos val="l"/>
        <c:majorGridlines>
          <c:spPr>
            <a:ln w="3240">
              <a:solidFill>
                <a:srgbClr val="33333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333333"/>
                    </a:solidFill>
                    <a:uFill>
                      <a:solidFill>
                        <a:srgbClr val="ffffff"/>
                      </a:solidFill>
                    </a:uFill>
                    <a:latin typeface="Tahoma"/>
                    <a:ea typeface="Tahoma"/>
                  </a:defRPr>
                </a:pPr>
                <a:r>
                  <a:rPr b="1" sz="1000" spc="-1" strike="noStrike">
                    <a:solidFill>
                      <a:srgbClr val="333333"/>
                    </a:solidFill>
                    <a:uFill>
                      <a:solidFill>
                        <a:srgbClr val="ffffff"/>
                      </a:solidFill>
                    </a:uFill>
                    <a:latin typeface="Tahoma"/>
                    <a:ea typeface="Tahoma"/>
                  </a:rPr>
                  <a:t>Valores em Euros</a:t>
                </a:r>
              </a:p>
            </c:rich>
          </c:tx>
          <c:layout>
            <c:manualLayout>
              <c:xMode val="edge"/>
              <c:yMode val="edge"/>
              <c:x val="0.0176664616760776"/>
              <c:y val="0.313354956987731"/>
            </c:manualLayout>
          </c:layout>
          <c:overlay val="0"/>
        </c:title>
        <c:numFmt formatCode="#,##0_ ;[RED]\-#,##0\ " sourceLinked="0"/>
        <c:majorTickMark val="out"/>
        <c:minorTickMark val="none"/>
        <c:tickLblPos val="nextTo"/>
        <c:spPr>
          <a:ln w="3240">
            <a:solidFill>
              <a:srgbClr val="33333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333333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85509425"/>
        <c:crossesAt val="1"/>
        <c:crossBetween val="midCat"/>
      </c:valAx>
      <c:spPr>
        <a:solidFill>
          <a:srgbClr val="ccffff"/>
        </a:solidFill>
        <a:ln w="12600">
          <a:solidFill>
            <a:srgbClr val="808080"/>
          </a:solidFill>
          <a:round/>
        </a:ln>
      </c:spPr>
    </c:plotArea>
    <c:legend>
      <c:legendPos val="r"/>
      <c:layout>
        <c:manualLayout>
          <c:xMode val="edge"/>
          <c:yMode val="edge"/>
          <c:x val="0.683099178775565"/>
          <c:y val="0.440299309663796"/>
        </c:manualLayout>
      </c:layout>
      <c:overlay val="0"/>
      <c:spPr>
        <a:solidFill>
          <a:srgbClr val="ffffff"/>
        </a:solidFill>
        <a:ln w="3240">
          <a:solidFill>
            <a:srgbClr val="333333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333333"/>
      </a:solidFill>
      <a:round/>
    </a:ln>
  </c:spPr>
</c:chartSpace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257040</xdr:colOff>
      <xdr:row>3</xdr:row>
      <xdr:rowOff>66600</xdr:rowOff>
    </xdr:from>
    <xdr:to>
      <xdr:col>10</xdr:col>
      <xdr:colOff>9000</xdr:colOff>
      <xdr:row>5</xdr:row>
      <xdr:rowOff>142560</xdr:rowOff>
    </xdr:to>
    <xdr:sp>
      <xdr:nvSpPr>
        <xdr:cNvPr id="0" name="CustomShape 1"/>
        <xdr:cNvSpPr/>
      </xdr:nvSpPr>
      <xdr:spPr>
        <a:xfrm>
          <a:off x="9305640" y="590400"/>
          <a:ext cx="1561680" cy="4186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22680" anchor="ctr"/>
        <a:p>
          <a:pPr algn="ctr">
            <a:lnSpc>
              <a:spcPct val="100000"/>
            </a:lnSpc>
          </a:pPr>
          <a:r>
            <a:rPr b="0" lang="en-GB" sz="1000" spc="-1" strike="noStrike">
              <a:solidFill>
                <a:srgbClr val="000090"/>
              </a:solidFill>
              <a:uFill>
                <a:solidFill>
                  <a:srgbClr val="ffffff"/>
                </a:solidFill>
              </a:uFill>
              <a:latin typeface="Arial Narrow"/>
            </a:rPr>
            <a:t>Colocar os anos de vigência do projecto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95400</xdr:colOff>
      <xdr:row>4</xdr:row>
      <xdr:rowOff>0</xdr:rowOff>
    </xdr:from>
    <xdr:to>
      <xdr:col>8</xdr:col>
      <xdr:colOff>342720</xdr:colOff>
      <xdr:row>5</xdr:row>
      <xdr:rowOff>28080</xdr:rowOff>
    </xdr:to>
    <xdr:sp>
      <xdr:nvSpPr>
        <xdr:cNvPr id="1" name="CustomShape 1"/>
        <xdr:cNvSpPr/>
      </xdr:nvSpPr>
      <xdr:spPr>
        <a:xfrm>
          <a:off x="9144000" y="695160"/>
          <a:ext cx="247320" cy="199440"/>
        </a:xfrm>
        <a:prstGeom prst="leftArrow">
          <a:avLst>
            <a:gd name="adj1" fmla="val 50000"/>
            <a:gd name="adj2" fmla="val 30952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285840</xdr:colOff>
      <xdr:row>6</xdr:row>
      <xdr:rowOff>123840</xdr:rowOff>
    </xdr:from>
    <xdr:to>
      <xdr:col>11</xdr:col>
      <xdr:colOff>333000</xdr:colOff>
      <xdr:row>8</xdr:row>
      <xdr:rowOff>132840</xdr:rowOff>
    </xdr:to>
    <xdr:sp>
      <xdr:nvSpPr>
        <xdr:cNvPr id="2" name="CustomShape 1"/>
        <xdr:cNvSpPr/>
      </xdr:nvSpPr>
      <xdr:spPr>
        <a:xfrm>
          <a:off x="9572400" y="1314360"/>
          <a:ext cx="2761920" cy="351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44280" rIns="44280" tIns="17280" bIns="17280"/>
        <a:p>
          <a:pPr>
            <a:lnSpc>
              <a:spcPct val="100000"/>
            </a:lnSpc>
          </a:pPr>
          <a:r>
            <a:rPr b="0" lang="en-GB" sz="1400" spc="-1" strike="noStrike">
              <a:solidFill>
                <a:srgbClr val="333333"/>
              </a:solidFill>
              <a:uFill>
                <a:solidFill>
                  <a:srgbClr val="ffffff"/>
                </a:solidFill>
              </a:uFill>
              <a:latin typeface="Arial"/>
            </a:rPr>
            <a:t>Contribution Margin  =  1 -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200160</xdr:colOff>
      <xdr:row>6</xdr:row>
      <xdr:rowOff>28440</xdr:rowOff>
    </xdr:from>
    <xdr:to>
      <xdr:col>13</xdr:col>
      <xdr:colOff>371160</xdr:colOff>
      <xdr:row>8</xdr:row>
      <xdr:rowOff>47160</xdr:rowOff>
    </xdr:to>
    <xdr:sp>
      <xdr:nvSpPr>
        <xdr:cNvPr id="3" name="CustomShape 1"/>
        <xdr:cNvSpPr/>
      </xdr:nvSpPr>
      <xdr:spPr>
        <a:xfrm>
          <a:off x="12201480" y="1218960"/>
          <a:ext cx="1980720" cy="3614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44280" rIns="44280" tIns="17280" bIns="17280"/>
        <a:p>
          <a:pPr>
            <a:lnSpc>
              <a:spcPct val="100000"/>
            </a:lnSpc>
          </a:pPr>
          <a:r>
            <a:rPr b="0" lang="en-GB" sz="1400" spc="-1" strike="noStrike" u="sng">
              <a:solidFill>
                <a:srgbClr val="333333"/>
              </a:solidFill>
              <a:uFill>
                <a:solidFill>
                  <a:srgbClr val="ffffff"/>
                </a:solidFill>
              </a:uFill>
              <a:latin typeface="Arial"/>
            </a:rPr>
            <a:t>CMVMC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219240</xdr:colOff>
      <xdr:row>7</xdr:row>
      <xdr:rowOff>123840</xdr:rowOff>
    </xdr:from>
    <xdr:to>
      <xdr:col>12</xdr:col>
      <xdr:colOff>371160</xdr:colOff>
      <xdr:row>9</xdr:row>
      <xdr:rowOff>132840</xdr:rowOff>
    </xdr:to>
    <xdr:sp>
      <xdr:nvSpPr>
        <xdr:cNvPr id="4" name="CustomShape 1"/>
        <xdr:cNvSpPr/>
      </xdr:nvSpPr>
      <xdr:spPr>
        <a:xfrm>
          <a:off x="12220560" y="1485720"/>
          <a:ext cx="1056960" cy="3520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44280" rIns="44280" tIns="17280" bIns="17280"/>
        <a:p>
          <a:pPr>
            <a:lnSpc>
              <a:spcPct val="100000"/>
            </a:lnSpc>
          </a:pPr>
          <a:r>
            <a:rPr b="0" lang="en-GB" sz="1400" spc="-1" strike="noStrike">
              <a:solidFill>
                <a:srgbClr val="333333"/>
              </a:solidFill>
              <a:uFill>
                <a:solidFill>
                  <a:srgbClr val="ffffff"/>
                </a:solidFill>
              </a:uFill>
              <a:latin typeface="Arial"/>
            </a:rPr>
            <a:t>Net Sales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152280</xdr:colOff>
      <xdr:row>6</xdr:row>
      <xdr:rowOff>142920</xdr:rowOff>
    </xdr:from>
    <xdr:to>
      <xdr:col>10</xdr:col>
      <xdr:colOff>904320</xdr:colOff>
      <xdr:row>8</xdr:row>
      <xdr:rowOff>85320</xdr:rowOff>
    </xdr:to>
    <xdr:sp>
      <xdr:nvSpPr>
        <xdr:cNvPr id="5" name="CustomShape 1"/>
        <xdr:cNvSpPr/>
      </xdr:nvSpPr>
      <xdr:spPr>
        <a:xfrm>
          <a:off x="9905760" y="1123920"/>
          <a:ext cx="2561760" cy="266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333333"/>
              </a:solidFill>
              <a:uFill>
                <a:solidFill>
                  <a:srgbClr val="ffffff"/>
                </a:solidFill>
              </a:uFill>
              <a:latin typeface="Arial"/>
            </a:rPr>
            <a:t>Gross profit margin% =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314280</xdr:colOff>
      <xdr:row>5</xdr:row>
      <xdr:rowOff>133200</xdr:rowOff>
    </xdr:from>
    <xdr:to>
      <xdr:col>12</xdr:col>
      <xdr:colOff>123480</xdr:colOff>
      <xdr:row>7</xdr:row>
      <xdr:rowOff>75600</xdr:rowOff>
    </xdr:to>
    <xdr:sp>
      <xdr:nvSpPr>
        <xdr:cNvPr id="6" name="CustomShape 1"/>
        <xdr:cNvSpPr/>
      </xdr:nvSpPr>
      <xdr:spPr>
        <a:xfrm>
          <a:off x="11877480" y="952200"/>
          <a:ext cx="1418760" cy="266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333333"/>
              </a:solidFill>
              <a:uFill>
                <a:solidFill>
                  <a:srgbClr val="ffffff"/>
                </a:solidFill>
              </a:uFill>
              <a:latin typeface="Arial"/>
            </a:rPr>
            <a:t>Gross profit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343080</xdr:colOff>
      <xdr:row>7</xdr:row>
      <xdr:rowOff>47520</xdr:rowOff>
    </xdr:from>
    <xdr:to>
      <xdr:col>13</xdr:col>
      <xdr:colOff>114120</xdr:colOff>
      <xdr:row>8</xdr:row>
      <xdr:rowOff>161640</xdr:rowOff>
    </xdr:to>
    <xdr:sp>
      <xdr:nvSpPr>
        <xdr:cNvPr id="7" name="CustomShape 1"/>
        <xdr:cNvSpPr/>
      </xdr:nvSpPr>
      <xdr:spPr>
        <a:xfrm>
          <a:off x="11906280" y="1190520"/>
          <a:ext cx="2085480" cy="275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333333"/>
              </a:solidFill>
              <a:uFill>
                <a:solidFill>
                  <a:srgbClr val="ffffff"/>
                </a:solidFill>
              </a:uFill>
              <a:latin typeface="Arial"/>
            </a:rPr>
            <a:t>Net sales revenue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333360</xdr:colOff>
      <xdr:row>7</xdr:row>
      <xdr:rowOff>85680</xdr:rowOff>
    </xdr:from>
    <xdr:to>
      <xdr:col>12</xdr:col>
      <xdr:colOff>561960</xdr:colOff>
      <xdr:row>7</xdr:row>
      <xdr:rowOff>85680</xdr:rowOff>
    </xdr:to>
    <xdr:sp>
      <xdr:nvSpPr>
        <xdr:cNvPr id="8" name="Line 1"/>
        <xdr:cNvSpPr/>
      </xdr:nvSpPr>
      <xdr:spPr>
        <a:xfrm>
          <a:off x="11896560" y="1228680"/>
          <a:ext cx="183816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181080</xdr:colOff>
      <xdr:row>9</xdr:row>
      <xdr:rowOff>38160</xdr:rowOff>
    </xdr:from>
    <xdr:to>
      <xdr:col>13</xdr:col>
      <xdr:colOff>37800</xdr:colOff>
      <xdr:row>12</xdr:row>
      <xdr:rowOff>104400</xdr:rowOff>
    </xdr:to>
    <xdr:sp>
      <xdr:nvSpPr>
        <xdr:cNvPr id="9" name="CustomShape 1"/>
        <xdr:cNvSpPr/>
      </xdr:nvSpPr>
      <xdr:spPr>
        <a:xfrm>
          <a:off x="9934560" y="1504800"/>
          <a:ext cx="3980880" cy="551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333333"/>
              </a:solidFill>
              <a:uFill>
                <a:solidFill>
                  <a:srgbClr val="ffffff"/>
                </a:solidFill>
              </a:uFill>
              <a:latin typeface="Arial"/>
            </a:rPr>
            <a:t>Monitoring gross profit margin &amp; comparing it to other companies in the same industry is very important for long term profitability.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0</xdr:colOff>
      <xdr:row>24</xdr:row>
      <xdr:rowOff>152280</xdr:rowOff>
    </xdr:from>
    <xdr:to>
      <xdr:col>10</xdr:col>
      <xdr:colOff>495000</xdr:colOff>
      <xdr:row>26</xdr:row>
      <xdr:rowOff>85320</xdr:rowOff>
    </xdr:to>
    <xdr:sp>
      <xdr:nvSpPr>
        <xdr:cNvPr id="10" name="CustomShape 1"/>
        <xdr:cNvSpPr/>
      </xdr:nvSpPr>
      <xdr:spPr>
        <a:xfrm>
          <a:off x="9753480" y="4124160"/>
          <a:ext cx="2304720" cy="256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333333"/>
              </a:solidFill>
              <a:uFill>
                <a:solidFill>
                  <a:srgbClr val="ffffff"/>
                </a:solidFill>
              </a:uFill>
              <a:latin typeface="Arial"/>
            </a:rPr>
            <a:t>Current Ratio =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9</xdr:col>
      <xdr:colOff>542880</xdr:colOff>
      <xdr:row>24</xdr:row>
      <xdr:rowOff>9360</xdr:rowOff>
    </xdr:from>
    <xdr:to>
      <xdr:col>12</xdr:col>
      <xdr:colOff>514080</xdr:colOff>
      <xdr:row>25</xdr:row>
      <xdr:rowOff>94680</xdr:rowOff>
    </xdr:to>
    <xdr:sp>
      <xdr:nvSpPr>
        <xdr:cNvPr id="11" name="CustomShape 1"/>
        <xdr:cNvSpPr/>
      </xdr:nvSpPr>
      <xdr:spPr>
        <a:xfrm>
          <a:off x="11201040" y="3981240"/>
          <a:ext cx="2485800" cy="246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333333"/>
              </a:solidFill>
              <a:uFill>
                <a:solidFill>
                  <a:srgbClr val="ffffff"/>
                </a:solidFill>
              </a:uFill>
              <a:latin typeface="Arial"/>
            </a:rPr>
            <a:t>Current Assets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9</xdr:col>
      <xdr:colOff>542880</xdr:colOff>
      <xdr:row>25</xdr:row>
      <xdr:rowOff>142920</xdr:rowOff>
    </xdr:from>
    <xdr:to>
      <xdr:col>13</xdr:col>
      <xdr:colOff>428400</xdr:colOff>
      <xdr:row>27</xdr:row>
      <xdr:rowOff>85320</xdr:rowOff>
    </xdr:to>
    <xdr:sp>
      <xdr:nvSpPr>
        <xdr:cNvPr id="12" name="CustomShape 1"/>
        <xdr:cNvSpPr/>
      </xdr:nvSpPr>
      <xdr:spPr>
        <a:xfrm>
          <a:off x="11201040" y="4276440"/>
          <a:ext cx="3105000" cy="266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333333"/>
              </a:solidFill>
              <a:uFill>
                <a:solidFill>
                  <a:srgbClr val="ffffff"/>
                </a:solidFill>
              </a:uFill>
              <a:latin typeface="Arial"/>
            </a:rPr>
            <a:t>Current Liabilities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9</xdr:col>
      <xdr:colOff>428400</xdr:colOff>
      <xdr:row>25</xdr:row>
      <xdr:rowOff>133200</xdr:rowOff>
    </xdr:from>
    <xdr:to>
      <xdr:col>13</xdr:col>
      <xdr:colOff>247320</xdr:colOff>
      <xdr:row>25</xdr:row>
      <xdr:rowOff>133200</xdr:rowOff>
    </xdr:to>
    <xdr:sp>
      <xdr:nvSpPr>
        <xdr:cNvPr id="13" name="Line 1"/>
        <xdr:cNvSpPr/>
      </xdr:nvSpPr>
      <xdr:spPr>
        <a:xfrm>
          <a:off x="11086560" y="4266720"/>
          <a:ext cx="303840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29</xdr:row>
      <xdr:rowOff>38160</xdr:rowOff>
    </xdr:from>
    <xdr:to>
      <xdr:col>10</xdr:col>
      <xdr:colOff>495000</xdr:colOff>
      <xdr:row>30</xdr:row>
      <xdr:rowOff>133200</xdr:rowOff>
    </xdr:to>
    <xdr:sp>
      <xdr:nvSpPr>
        <xdr:cNvPr id="14" name="CustomShape 1"/>
        <xdr:cNvSpPr/>
      </xdr:nvSpPr>
      <xdr:spPr>
        <a:xfrm>
          <a:off x="9753480" y="4819680"/>
          <a:ext cx="2304720" cy="256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333333"/>
              </a:solidFill>
              <a:uFill>
                <a:solidFill>
                  <a:srgbClr val="ffffff"/>
                </a:solidFill>
              </a:uFill>
              <a:latin typeface="Arial"/>
            </a:rPr>
            <a:t>Quick Ratio =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9</xdr:col>
      <xdr:colOff>419040</xdr:colOff>
      <xdr:row>28</xdr:row>
      <xdr:rowOff>85680</xdr:rowOff>
    </xdr:from>
    <xdr:to>
      <xdr:col>12</xdr:col>
      <xdr:colOff>390240</xdr:colOff>
      <xdr:row>30</xdr:row>
      <xdr:rowOff>9000</xdr:rowOff>
    </xdr:to>
    <xdr:sp>
      <xdr:nvSpPr>
        <xdr:cNvPr id="15" name="CustomShape 1"/>
        <xdr:cNvSpPr/>
      </xdr:nvSpPr>
      <xdr:spPr>
        <a:xfrm>
          <a:off x="11077200" y="4705200"/>
          <a:ext cx="2485800" cy="246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333333"/>
              </a:solidFill>
              <a:uFill>
                <a:solidFill>
                  <a:srgbClr val="ffffff"/>
                </a:solidFill>
              </a:uFill>
              <a:latin typeface="Arial"/>
            </a:rPr>
            <a:t>Quick Assets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9</xdr:col>
      <xdr:colOff>495360</xdr:colOff>
      <xdr:row>30</xdr:row>
      <xdr:rowOff>66600</xdr:rowOff>
    </xdr:from>
    <xdr:to>
      <xdr:col>13</xdr:col>
      <xdr:colOff>380880</xdr:colOff>
      <xdr:row>32</xdr:row>
      <xdr:rowOff>9000</xdr:rowOff>
    </xdr:to>
    <xdr:sp>
      <xdr:nvSpPr>
        <xdr:cNvPr id="16" name="CustomShape 1"/>
        <xdr:cNvSpPr/>
      </xdr:nvSpPr>
      <xdr:spPr>
        <a:xfrm>
          <a:off x="11153520" y="5009760"/>
          <a:ext cx="3105000" cy="266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333333"/>
              </a:solidFill>
              <a:uFill>
                <a:solidFill>
                  <a:srgbClr val="ffffff"/>
                </a:solidFill>
              </a:uFill>
              <a:latin typeface="Arial"/>
            </a:rPr>
            <a:t>Current Liabilities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9</xdr:col>
      <xdr:colOff>361800</xdr:colOff>
      <xdr:row>30</xdr:row>
      <xdr:rowOff>18720</xdr:rowOff>
    </xdr:from>
    <xdr:to>
      <xdr:col>12</xdr:col>
      <xdr:colOff>266400</xdr:colOff>
      <xdr:row>30</xdr:row>
      <xdr:rowOff>18720</xdr:rowOff>
    </xdr:to>
    <xdr:sp>
      <xdr:nvSpPr>
        <xdr:cNvPr id="17" name="Line 1"/>
        <xdr:cNvSpPr/>
      </xdr:nvSpPr>
      <xdr:spPr>
        <a:xfrm>
          <a:off x="11019960" y="4961880"/>
          <a:ext cx="241920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752400</xdr:colOff>
      <xdr:row>29</xdr:row>
      <xdr:rowOff>56880</xdr:rowOff>
    </xdr:from>
    <xdr:to>
      <xdr:col>12</xdr:col>
      <xdr:colOff>123480</xdr:colOff>
      <xdr:row>29</xdr:row>
      <xdr:rowOff>56880</xdr:rowOff>
    </xdr:to>
    <xdr:sp>
      <xdr:nvSpPr>
        <xdr:cNvPr id="18" name="Line 1"/>
        <xdr:cNvSpPr/>
      </xdr:nvSpPr>
      <xdr:spPr>
        <a:xfrm>
          <a:off x="12315600" y="4838400"/>
          <a:ext cx="980640" cy="0"/>
        </a:xfrm>
        <a:prstGeom prst="line">
          <a:avLst/>
        </a:prstGeom>
        <a:ln w="9360">
          <a:solidFill>
            <a:srgbClr val="8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104760</xdr:colOff>
      <xdr:row>28</xdr:row>
      <xdr:rowOff>57240</xdr:rowOff>
    </xdr:from>
    <xdr:to>
      <xdr:col>16</xdr:col>
      <xdr:colOff>447480</xdr:colOff>
      <xdr:row>30</xdr:row>
      <xdr:rowOff>47520</xdr:rowOff>
    </xdr:to>
    <xdr:sp>
      <xdr:nvSpPr>
        <xdr:cNvPr id="19" name="CustomShape 1"/>
        <xdr:cNvSpPr/>
      </xdr:nvSpPr>
      <xdr:spPr>
        <a:xfrm>
          <a:off x="13277520" y="4676760"/>
          <a:ext cx="3162240" cy="313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>
            <a:lnSpc>
              <a:spcPct val="100000"/>
            </a:lnSpc>
          </a:pPr>
          <a:r>
            <a:rPr b="0" lang="en-GB" sz="1600" spc="-1" strike="noStrike">
              <a:solidFill>
                <a:srgbClr val="800000"/>
              </a:solidFill>
              <a:uFill>
                <a:solidFill>
                  <a:srgbClr val="ffffff"/>
                </a:solidFill>
              </a:uFill>
              <a:latin typeface="Arial"/>
            </a:rPr>
            <a:t>(Current assets – Inventory)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47520</xdr:colOff>
      <xdr:row>27</xdr:row>
      <xdr:rowOff>95040</xdr:rowOff>
    </xdr:from>
    <xdr:to>
      <xdr:col>8</xdr:col>
      <xdr:colOff>28440</xdr:colOff>
      <xdr:row>29</xdr:row>
      <xdr:rowOff>133200</xdr:rowOff>
    </xdr:to>
    <xdr:sp>
      <xdr:nvSpPr>
        <xdr:cNvPr id="20" name="Line 1"/>
        <xdr:cNvSpPr/>
      </xdr:nvSpPr>
      <xdr:spPr>
        <a:xfrm>
          <a:off x="8895960" y="4552560"/>
          <a:ext cx="885960" cy="362160"/>
        </a:xfrm>
        <a:prstGeom prst="line">
          <a:avLst/>
        </a:prstGeom>
        <a:ln w="9360">
          <a:solidFill>
            <a:srgbClr val="8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9360</xdr:colOff>
      <xdr:row>25</xdr:row>
      <xdr:rowOff>133200</xdr:rowOff>
    </xdr:from>
    <xdr:to>
      <xdr:col>8</xdr:col>
      <xdr:colOff>9360</xdr:colOff>
      <xdr:row>26</xdr:row>
      <xdr:rowOff>75960</xdr:rowOff>
    </xdr:to>
    <xdr:sp>
      <xdr:nvSpPr>
        <xdr:cNvPr id="21" name="Line 1"/>
        <xdr:cNvSpPr/>
      </xdr:nvSpPr>
      <xdr:spPr>
        <a:xfrm flipV="1">
          <a:off x="8857800" y="4266720"/>
          <a:ext cx="905040" cy="104760"/>
        </a:xfrm>
        <a:prstGeom prst="line">
          <a:avLst/>
        </a:prstGeom>
        <a:ln w="9360">
          <a:solidFill>
            <a:srgbClr val="8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47520</xdr:colOff>
      <xdr:row>7</xdr:row>
      <xdr:rowOff>66600</xdr:rowOff>
    </xdr:from>
    <xdr:to>
      <xdr:col>8</xdr:col>
      <xdr:colOff>56880</xdr:colOff>
      <xdr:row>7</xdr:row>
      <xdr:rowOff>75960</xdr:rowOff>
    </xdr:to>
    <xdr:sp>
      <xdr:nvSpPr>
        <xdr:cNvPr id="22" name="Line 1"/>
        <xdr:cNvSpPr/>
      </xdr:nvSpPr>
      <xdr:spPr>
        <a:xfrm>
          <a:off x="8895960" y="1209600"/>
          <a:ext cx="914400" cy="9360"/>
        </a:xfrm>
        <a:prstGeom prst="line">
          <a:avLst/>
        </a:prstGeom>
        <a:ln w="9360">
          <a:solidFill>
            <a:srgbClr val="8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85680</xdr:colOff>
      <xdr:row>14</xdr:row>
      <xdr:rowOff>85680</xdr:rowOff>
    </xdr:from>
    <xdr:to>
      <xdr:col>13</xdr:col>
      <xdr:colOff>218520</xdr:colOff>
      <xdr:row>16</xdr:row>
      <xdr:rowOff>28080</xdr:rowOff>
    </xdr:to>
    <xdr:sp>
      <xdr:nvSpPr>
        <xdr:cNvPr id="23" name="CustomShape 1"/>
        <xdr:cNvSpPr/>
      </xdr:nvSpPr>
      <xdr:spPr>
        <a:xfrm>
          <a:off x="9839160" y="2361960"/>
          <a:ext cx="4257000" cy="266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333333"/>
              </a:solidFill>
              <a:uFill>
                <a:solidFill>
                  <a:srgbClr val="ffffff"/>
                </a:solidFill>
              </a:uFill>
              <a:latin typeface="Arial"/>
            </a:rPr>
            <a:t>Net Profit on Sales  =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152280</xdr:colOff>
      <xdr:row>13</xdr:row>
      <xdr:rowOff>114480</xdr:rowOff>
    </xdr:from>
    <xdr:to>
      <xdr:col>15</xdr:col>
      <xdr:colOff>266400</xdr:colOff>
      <xdr:row>15</xdr:row>
      <xdr:rowOff>56880</xdr:rowOff>
    </xdr:to>
    <xdr:sp>
      <xdr:nvSpPr>
        <xdr:cNvPr id="24" name="CustomShape 1"/>
        <xdr:cNvSpPr/>
      </xdr:nvSpPr>
      <xdr:spPr>
        <a:xfrm>
          <a:off x="11715480" y="2228760"/>
          <a:ext cx="3838320" cy="266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333333"/>
              </a:solidFill>
              <a:uFill>
                <a:solidFill>
                  <a:srgbClr val="ffffff"/>
                </a:solidFill>
              </a:uFill>
              <a:latin typeface="Arial"/>
            </a:rPr>
            <a:t>Net Profit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181080</xdr:colOff>
      <xdr:row>15</xdr:row>
      <xdr:rowOff>57240</xdr:rowOff>
    </xdr:from>
    <xdr:to>
      <xdr:col>14</xdr:col>
      <xdr:colOff>533160</xdr:colOff>
      <xdr:row>16</xdr:row>
      <xdr:rowOff>161640</xdr:rowOff>
    </xdr:to>
    <xdr:sp>
      <xdr:nvSpPr>
        <xdr:cNvPr id="25" name="CustomShape 1"/>
        <xdr:cNvSpPr/>
      </xdr:nvSpPr>
      <xdr:spPr>
        <a:xfrm>
          <a:off x="11744280" y="2495520"/>
          <a:ext cx="3371400" cy="266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333333"/>
              </a:solidFill>
              <a:uFill>
                <a:solidFill>
                  <a:srgbClr val="ffffff"/>
                </a:solidFill>
              </a:uFill>
              <a:latin typeface="Arial"/>
            </a:rPr>
            <a:t>Net  Sales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161640</xdr:colOff>
      <xdr:row>15</xdr:row>
      <xdr:rowOff>56880</xdr:rowOff>
    </xdr:from>
    <xdr:to>
      <xdr:col>13</xdr:col>
      <xdr:colOff>18720</xdr:colOff>
      <xdr:row>15</xdr:row>
      <xdr:rowOff>56880</xdr:rowOff>
    </xdr:to>
    <xdr:sp>
      <xdr:nvSpPr>
        <xdr:cNvPr id="26" name="Line 1"/>
        <xdr:cNvSpPr/>
      </xdr:nvSpPr>
      <xdr:spPr>
        <a:xfrm>
          <a:off x="11724840" y="2495160"/>
          <a:ext cx="217152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37800</xdr:colOff>
      <xdr:row>8</xdr:row>
      <xdr:rowOff>85680</xdr:rowOff>
    </xdr:from>
    <xdr:to>
      <xdr:col>8</xdr:col>
      <xdr:colOff>161640</xdr:colOff>
      <xdr:row>15</xdr:row>
      <xdr:rowOff>47520</xdr:rowOff>
    </xdr:to>
    <xdr:sp>
      <xdr:nvSpPr>
        <xdr:cNvPr id="27" name="Line 1"/>
        <xdr:cNvSpPr/>
      </xdr:nvSpPr>
      <xdr:spPr>
        <a:xfrm>
          <a:off x="8886240" y="1390320"/>
          <a:ext cx="1028880" cy="1095480"/>
        </a:xfrm>
        <a:prstGeom prst="line">
          <a:avLst/>
        </a:prstGeom>
        <a:ln w="9360">
          <a:solidFill>
            <a:srgbClr val="8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9360</xdr:colOff>
      <xdr:row>0</xdr:row>
      <xdr:rowOff>152280</xdr:rowOff>
    </xdr:from>
    <xdr:to>
      <xdr:col>12</xdr:col>
      <xdr:colOff>123480</xdr:colOff>
      <xdr:row>16</xdr:row>
      <xdr:rowOff>123480</xdr:rowOff>
    </xdr:to>
    <xdr:graphicFrame>
      <xdr:nvGraphicFramePr>
        <xdr:cNvPr id="28" name="Gráfico 1"/>
        <xdr:cNvGraphicFramePr/>
      </xdr:nvGraphicFramePr>
      <xdr:xfrm>
        <a:off x="2123640" y="152280"/>
        <a:ext cx="6458040" cy="256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9360</xdr:colOff>
      <xdr:row>17</xdr:row>
      <xdr:rowOff>95400</xdr:rowOff>
    </xdr:from>
    <xdr:to>
      <xdr:col>12</xdr:col>
      <xdr:colOff>123480</xdr:colOff>
      <xdr:row>33</xdr:row>
      <xdr:rowOff>66600</xdr:rowOff>
    </xdr:to>
    <xdr:graphicFrame>
      <xdr:nvGraphicFramePr>
        <xdr:cNvPr id="29" name="Gráfico 2"/>
        <xdr:cNvGraphicFramePr/>
      </xdr:nvGraphicFramePr>
      <xdr:xfrm>
        <a:off x="2123640" y="2847960"/>
        <a:ext cx="6458040" cy="256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9360</xdr:colOff>
      <xdr:row>34</xdr:row>
      <xdr:rowOff>133200</xdr:rowOff>
    </xdr:from>
    <xdr:to>
      <xdr:col>12</xdr:col>
      <xdr:colOff>104400</xdr:colOff>
      <xdr:row>50</xdr:row>
      <xdr:rowOff>94680</xdr:rowOff>
    </xdr:to>
    <xdr:graphicFrame>
      <xdr:nvGraphicFramePr>
        <xdr:cNvPr id="30" name="Gráfico 3"/>
        <xdr:cNvGraphicFramePr/>
      </xdr:nvGraphicFramePr>
      <xdr:xfrm>
        <a:off x="2123640" y="5638320"/>
        <a:ext cx="6438960" cy="255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C3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RowHeight="12.75"/>
  <cols>
    <col collapsed="false" hidden="false" max="1" min="1" style="1" width="3.78125"/>
    <col collapsed="false" hidden="false" max="2" min="2" style="1" width="8.97767857142857"/>
    <col collapsed="false" hidden="false" max="3" min="3" style="1" width="87.6428571428571"/>
    <col collapsed="false" hidden="false" max="1025" min="4" style="1" width="8.97767857142857"/>
  </cols>
  <sheetData>
    <row r="1" customFormat="false" ht="13.5" hidden="false" customHeight="false" outlineLevel="0" collapsed="false">
      <c r="B1" s="2"/>
      <c r="C1" s="2"/>
    </row>
    <row r="2" customFormat="false" ht="13.5" hidden="false" customHeight="false" outlineLevel="0" collapsed="false">
      <c r="B2" s="3" t="s">
        <v>0</v>
      </c>
      <c r="C2" s="3"/>
    </row>
    <row r="3" customFormat="false" ht="13.5" hidden="false" customHeight="false" outlineLevel="0" collapsed="false">
      <c r="B3" s="2"/>
      <c r="C3" s="2"/>
    </row>
    <row r="4" customFormat="false" ht="13.5" hidden="false" customHeight="false" outlineLevel="0" collapsed="false">
      <c r="B4" s="2"/>
      <c r="C4" s="2"/>
    </row>
    <row r="5" customFormat="false" ht="13.5" hidden="false" customHeight="false" outlineLevel="0" collapsed="false">
      <c r="B5" s="4" t="s">
        <v>1</v>
      </c>
      <c r="C5" s="2"/>
    </row>
    <row r="6" customFormat="false" ht="12.75" hidden="false" customHeight="false" outlineLevel="0" collapsed="false">
      <c r="B6" s="5" t="s">
        <v>2</v>
      </c>
      <c r="C6" s="5"/>
    </row>
    <row r="7" customFormat="false" ht="12.75" hidden="false" customHeight="false" outlineLevel="0" collapsed="false">
      <c r="B7" s="5" t="s">
        <v>3</v>
      </c>
      <c r="C7" s="5"/>
    </row>
    <row r="8" customFormat="false" ht="12.75" hidden="false" customHeight="true" outlineLevel="0" collapsed="false">
      <c r="B8" s="6" t="s">
        <v>4</v>
      </c>
      <c r="C8" s="6"/>
    </row>
    <row r="9" customFormat="false" ht="12.75" hidden="false" customHeight="true" outlineLevel="0" collapsed="false">
      <c r="B9" s="6" t="s">
        <v>5</v>
      </c>
      <c r="C9" s="6"/>
    </row>
    <row r="10" customFormat="false" ht="13.5" hidden="false" customHeight="false" outlineLevel="0" collapsed="false">
      <c r="B10" s="7"/>
      <c r="C10" s="8"/>
    </row>
    <row r="11" customFormat="false" ht="13.5" hidden="false" customHeight="false" outlineLevel="0" collapsed="false">
      <c r="B11" s="7"/>
      <c r="C11" s="8"/>
    </row>
    <row r="12" customFormat="false" ht="13.5" hidden="false" customHeight="false" outlineLevel="0" collapsed="false">
      <c r="B12" s="9" t="s">
        <v>6</v>
      </c>
      <c r="C12" s="8"/>
    </row>
    <row r="13" customFormat="false" ht="13.5" hidden="false" customHeight="false" outlineLevel="0" collapsed="false">
      <c r="B13" s="9"/>
      <c r="C13" s="8"/>
    </row>
    <row r="14" customFormat="false" ht="40.5" hidden="false" customHeight="true" outlineLevel="0" collapsed="false">
      <c r="B14" s="10" t="n">
        <v>1</v>
      </c>
      <c r="C14" s="11" t="s">
        <v>7</v>
      </c>
    </row>
    <row r="15" customFormat="false" ht="13.5" hidden="false" customHeight="false" outlineLevel="0" collapsed="false">
      <c r="B15" s="12"/>
      <c r="C15" s="8"/>
    </row>
    <row r="16" customFormat="false" ht="40.5" hidden="false" customHeight="true" outlineLevel="0" collapsed="false">
      <c r="B16" s="10" t="n">
        <v>2</v>
      </c>
      <c r="C16" s="11" t="s">
        <v>8</v>
      </c>
    </row>
    <row r="17" customFormat="false" ht="12.75" hidden="false" customHeight="false" outlineLevel="0" collapsed="false">
      <c r="B17" s="13"/>
      <c r="C17" s="14"/>
    </row>
    <row r="18" customFormat="false" ht="40.5" hidden="false" customHeight="true" outlineLevel="0" collapsed="false">
      <c r="B18" s="10" t="n">
        <v>3</v>
      </c>
      <c r="C18" s="11" t="s">
        <v>9</v>
      </c>
    </row>
    <row r="19" customFormat="false" ht="12.75" hidden="false" customHeight="false" outlineLevel="0" collapsed="false">
      <c r="B19" s="13"/>
      <c r="C19" s="14"/>
    </row>
    <row r="20" customFormat="false" ht="40.5" hidden="false" customHeight="true" outlineLevel="0" collapsed="false">
      <c r="B20" s="10" t="n">
        <v>4</v>
      </c>
      <c r="C20" s="15" t="s">
        <v>10</v>
      </c>
    </row>
    <row r="21" customFormat="false" ht="12.75" hidden="false" customHeight="false" outlineLevel="0" collapsed="false">
      <c r="B21" s="13"/>
      <c r="C21" s="14"/>
    </row>
    <row r="22" customFormat="false" ht="40.5" hidden="false" customHeight="true" outlineLevel="0" collapsed="false">
      <c r="B22" s="10" t="n">
        <v>5</v>
      </c>
      <c r="C22" s="11" t="s">
        <v>11</v>
      </c>
    </row>
    <row r="23" customFormat="false" ht="13.5" hidden="false" customHeight="false" outlineLevel="0" collapsed="false">
      <c r="B23" s="16"/>
      <c r="C23" s="2"/>
    </row>
    <row r="24" customFormat="false" ht="40.5" hidden="false" customHeight="true" outlineLevel="0" collapsed="false">
      <c r="B24" s="10" t="n">
        <v>6</v>
      </c>
      <c r="C24" s="11" t="s">
        <v>12</v>
      </c>
    </row>
    <row r="25" customFormat="false" ht="13.5" hidden="false" customHeight="false" outlineLevel="0" collapsed="false">
      <c r="B25" s="17"/>
      <c r="C25" s="2"/>
    </row>
    <row r="26" customFormat="false" ht="40.5" hidden="false" customHeight="true" outlineLevel="0" collapsed="false">
      <c r="B26" s="10" t="n">
        <v>7</v>
      </c>
      <c r="C26" s="18" t="s">
        <v>13</v>
      </c>
    </row>
    <row r="27" customFormat="false" ht="13.5" hidden="false" customHeight="false" outlineLevel="0" collapsed="false">
      <c r="B27" s="17"/>
      <c r="C27" s="2"/>
    </row>
    <row r="28" customFormat="false" ht="40.5" hidden="false" customHeight="true" outlineLevel="0" collapsed="false">
      <c r="B28" s="10" t="n">
        <v>8</v>
      </c>
      <c r="C28" s="18" t="s">
        <v>14</v>
      </c>
    </row>
    <row r="29" customFormat="false" ht="13.5" hidden="false" customHeight="false" outlineLevel="0" collapsed="false">
      <c r="B29" s="17"/>
      <c r="C29" s="2"/>
    </row>
    <row r="30" customFormat="false" ht="40.5" hidden="false" customHeight="true" outlineLevel="0" collapsed="false">
      <c r="B30" s="10" t="n">
        <v>9</v>
      </c>
      <c r="C30" s="18" t="s">
        <v>15</v>
      </c>
    </row>
  </sheetData>
  <mergeCells count="5">
    <mergeCell ref="B2:C2"/>
    <mergeCell ref="B6:C6"/>
    <mergeCell ref="B7:C7"/>
    <mergeCell ref="B8:C8"/>
    <mergeCell ref="B9:C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4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0" activeCellId="0" sqref="E20"/>
    </sheetView>
  </sheetViews>
  <sheetFormatPr defaultRowHeight="12.75"/>
  <cols>
    <col collapsed="false" hidden="false" max="1" min="1" style="19" width="33.6651785714286"/>
    <col collapsed="false" hidden="false" max="3" min="2" style="19" width="15.59375"/>
    <col collapsed="false" hidden="false" max="4" min="4" style="19" width="5.31696428571429"/>
    <col collapsed="false" hidden="false" max="5" min="5" style="19" width="24.5669642857143"/>
    <col collapsed="false" hidden="false" max="1025" min="6" style="19" width="8.74107142857143"/>
  </cols>
  <sheetData>
    <row r="1" customFormat="false" ht="13.5" hidden="false" customHeight="false" outlineLevel="0" collapsed="false">
      <c r="A1" s="20" t="s">
        <v>16</v>
      </c>
      <c r="B1" s="21" t="s">
        <v>17</v>
      </c>
      <c r="C1" s="22"/>
      <c r="D1" s="22"/>
      <c r="E1" s="22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2.75" hidden="false" customHeight="false" outlineLevel="0" collapsed="false">
      <c r="A3" s="23" t="s">
        <v>18</v>
      </c>
      <c r="B3" s="23"/>
      <c r="C3" s="23"/>
      <c r="D3" s="23"/>
      <c r="E3" s="2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customFormat="false" ht="12.75" hidden="false" customHeight="false" outlineLevel="0" collapsed="false">
      <c r="A4" s="0"/>
      <c r="B4" s="0"/>
      <c r="C4" s="0"/>
      <c r="D4" s="0"/>
      <c r="E4" s="24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customFormat="false" ht="12.75" hidden="false" customHeight="false" outlineLevel="0" collapsed="false">
      <c r="A5" s="0"/>
      <c r="B5" s="0"/>
      <c r="C5" s="25"/>
      <c r="D5" s="26"/>
      <c r="E5" s="27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customFormat="false" ht="12.75" hidden="false" customHeight="false" outlineLevel="0" collapsed="false">
      <c r="A6" s="28" t="s">
        <v>19</v>
      </c>
      <c r="B6" s="29" t="s">
        <v>20</v>
      </c>
      <c r="C6" s="25"/>
      <c r="D6" s="26"/>
      <c r="E6" s="27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customFormat="false" ht="12.75" hidden="false" customHeight="false" outlineLevel="0" collapsed="false">
      <c r="A7" s="30"/>
      <c r="B7" s="31"/>
      <c r="C7" s="25"/>
      <c r="D7" s="26"/>
      <c r="E7" s="27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customFormat="false" ht="12.75" hidden="false" customHeight="false" outlineLevel="0" collapsed="false">
      <c r="A8" s="28" t="s">
        <v>21</v>
      </c>
      <c r="B8" s="29" t="n">
        <v>30</v>
      </c>
      <c r="C8" s="32" t="n">
        <f aca="false">+B8/30</f>
        <v>1</v>
      </c>
      <c r="D8" s="26"/>
      <c r="E8" s="27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customFormat="false" ht="12.75" hidden="false" customHeight="false" outlineLevel="0" collapsed="false">
      <c r="A9" s="28" t="s">
        <v>22</v>
      </c>
      <c r="B9" s="33" t="n">
        <v>30</v>
      </c>
      <c r="C9" s="32" t="n">
        <f aca="false">+B9/30</f>
        <v>1</v>
      </c>
      <c r="D9" s="26"/>
      <c r="E9" s="27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customFormat="false" ht="12.75" hidden="false" customHeight="false" outlineLevel="0" collapsed="false">
      <c r="A10" s="28" t="s">
        <v>23</v>
      </c>
      <c r="B10" s="33" t="n">
        <v>15</v>
      </c>
      <c r="C10" s="32" t="n">
        <f aca="false">+B10/30</f>
        <v>0.5</v>
      </c>
      <c r="D10" s="26"/>
      <c r="E10" s="27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customFormat="false" ht="12.75" hidden="false" customHeight="false" outlineLevel="0" collapsed="false">
      <c r="A11" s="30"/>
      <c r="B11" s="31"/>
      <c r="C11" s="25"/>
      <c r="D11" s="26"/>
      <c r="E11" s="27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customFormat="false" ht="12.75" hidden="false" customHeight="false" outlineLevel="0" collapsed="false">
      <c r="A12" s="28" t="s">
        <v>24</v>
      </c>
      <c r="B12" s="34" t="n">
        <v>0.23</v>
      </c>
      <c r="C12" s="35"/>
      <c r="D12" s="26"/>
      <c r="E12" s="36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 customFormat="false" ht="12.75" hidden="false" customHeight="false" outlineLevel="0" collapsed="false">
      <c r="A13" s="28" t="s">
        <v>25</v>
      </c>
      <c r="B13" s="34" t="n">
        <v>0.23</v>
      </c>
      <c r="C13" s="35"/>
      <c r="D13" s="26"/>
      <c r="E13" s="36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 customFormat="false" ht="12.75" hidden="false" customHeight="false" outlineLevel="0" collapsed="false">
      <c r="A14" s="28" t="s">
        <v>26</v>
      </c>
      <c r="B14" s="34" t="n">
        <v>0.23</v>
      </c>
      <c r="C14" s="37"/>
      <c r="D14" s="26"/>
      <c r="E14" s="36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 customFormat="false" ht="12.75" hidden="false" customHeight="false" outlineLevel="0" collapsed="false">
      <c r="A15" s="28" t="s">
        <v>27</v>
      </c>
      <c r="B15" s="34" t="n">
        <v>0.23</v>
      </c>
      <c r="C15" s="38"/>
      <c r="D15" s="26"/>
      <c r="E15" s="36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 customFormat="false" ht="12.75" hidden="false" customHeight="false" outlineLevel="0" collapsed="false">
      <c r="A16" s="30"/>
      <c r="B16" s="31"/>
      <c r="C16" s="25"/>
      <c r="D16" s="26"/>
      <c r="E16" s="27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 customFormat="false" ht="12.75" hidden="false" customHeight="false" outlineLevel="0" collapsed="false">
      <c r="A17" s="28" t="s">
        <v>28</v>
      </c>
      <c r="B17" s="39" t="n">
        <v>0.15</v>
      </c>
      <c r="C17" s="25"/>
      <c r="D17" s="26"/>
      <c r="E17" s="27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 customFormat="false" ht="13.5" hidden="false" customHeight="true" outlineLevel="0" collapsed="false">
      <c r="A18" s="28" t="s">
        <v>29</v>
      </c>
      <c r="B18" s="39" t="n">
        <v>0.21</v>
      </c>
      <c r="C18" s="25"/>
      <c r="D18" s="26"/>
      <c r="E18" s="27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 customFormat="false" ht="13.5" hidden="false" customHeight="true" outlineLevel="0" collapsed="false">
      <c r="A19" s="28" t="s">
        <v>30</v>
      </c>
      <c r="B19" s="39" t="n">
        <v>0</v>
      </c>
      <c r="C19" s="25"/>
      <c r="D19" s="26"/>
      <c r="E19" s="27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 customFormat="false" ht="12.75" hidden="false" customHeight="false" outlineLevel="0" collapsed="false">
      <c r="A20" s="30"/>
      <c r="B20" s="31"/>
      <c r="C20" s="25"/>
      <c r="D20" s="26"/>
      <c r="E20" s="27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</row>
    <row r="21" customFormat="false" ht="12.75" hidden="false" customHeight="false" outlineLevel="0" collapsed="false">
      <c r="A21" s="28" t="s">
        <v>31</v>
      </c>
      <c r="B21" s="39" t="n">
        <v>0.06</v>
      </c>
      <c r="C21" s="25"/>
      <c r="D21" s="26"/>
      <c r="E21" s="27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</row>
    <row r="22" customFormat="false" ht="12.75" hidden="false" customHeight="false" outlineLevel="0" collapsed="false">
      <c r="A22" s="28" t="s">
        <v>32</v>
      </c>
      <c r="B22" s="39" t="n">
        <v>0.06</v>
      </c>
      <c r="C22" s="0"/>
      <c r="D22" s="26"/>
      <c r="E22" s="27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customFormat="false" ht="12.75" hidden="false" customHeight="false" outlineLevel="0" collapsed="false">
      <c r="A23" s="0"/>
      <c r="B23" s="40"/>
      <c r="C23" s="25"/>
      <c r="D23" s="26"/>
      <c r="E23" s="27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</row>
    <row r="24" customFormat="false" ht="12.75" hidden="false" customHeight="true" outlineLevel="0" collapsed="false">
      <c r="A24" s="28" t="s">
        <v>33</v>
      </c>
      <c r="B24" s="41" t="n">
        <v>0.03</v>
      </c>
      <c r="C24" s="42" t="s">
        <v>34</v>
      </c>
      <c r="D24" s="42"/>
      <c r="E24" s="42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customFormat="false" ht="12.75" hidden="false" customHeight="false" outlineLevel="0" collapsed="false">
      <c r="A25" s="28" t="s">
        <v>35</v>
      </c>
      <c r="B25" s="41" t="n">
        <v>0.1</v>
      </c>
      <c r="C25" s="43" t="s">
        <v>36</v>
      </c>
      <c r="D25" s="43"/>
      <c r="E25" s="43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</row>
    <row r="26" customFormat="false" ht="12.75" hidden="false" customHeight="false" outlineLevel="0" collapsed="false">
      <c r="A26" s="28" t="s">
        <v>37</v>
      </c>
      <c r="B26" s="41" t="n">
        <v>1</v>
      </c>
      <c r="C26" s="44" t="s">
        <v>38</v>
      </c>
      <c r="D26" s="45"/>
      <c r="E26" s="46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</row>
    <row r="27" customFormat="false" ht="12.75" hidden="false" customHeight="false" outlineLevel="0" collapsed="false">
      <c r="A27" s="28" t="s">
        <v>39</v>
      </c>
      <c r="B27" s="47" t="n">
        <v>0.02</v>
      </c>
      <c r="C27" s="48" t="s">
        <v>40</v>
      </c>
      <c r="D27" s="48"/>
      <c r="E27" s="48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</row>
    <row r="28" customFormat="false" ht="12.75" hidden="false" customHeight="false" outlineLevel="0" collapsed="false">
      <c r="A28" s="19" t="s">
        <v>41</v>
      </c>
      <c r="B28" s="0"/>
      <c r="C28" s="25"/>
      <c r="D28" s="26"/>
      <c r="E28" s="27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r="29" customFormat="false" ht="12.75" hidden="false" customHeight="false" outlineLevel="0" collapsed="false">
      <c r="A29" s="0"/>
      <c r="B29" s="0"/>
      <c r="C29" s="25"/>
      <c r="D29" s="26"/>
      <c r="E29" s="27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customFormat="false" ht="12.75" hidden="false" customHeight="false" outlineLevel="0" collapsed="false">
      <c r="A30" s="0"/>
      <c r="B30" s="0"/>
      <c r="C30" s="25"/>
      <c r="D30" s="26"/>
      <c r="E30" s="27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customFormat="false" ht="12.75" hidden="false" customHeight="false" outlineLevel="0" collapsed="false">
      <c r="A31" s="0"/>
      <c r="B31" s="0"/>
      <c r="C31" s="25"/>
      <c r="D31" s="26"/>
      <c r="E31" s="27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customFormat="false" ht="12.75" hidden="false" customHeight="false" outlineLevel="0" collapsed="false">
      <c r="A32" s="49"/>
      <c r="B32" s="0"/>
      <c r="C32" s="25"/>
      <c r="D32" s="26"/>
      <c r="E32" s="27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  <row r="33" customFormat="false" ht="12.75" hidden="false" customHeight="false" outlineLevel="0" collapsed="false">
      <c r="A33" s="50"/>
      <c r="B33" s="0"/>
      <c r="C33" s="25"/>
      <c r="D33" s="26"/>
      <c r="E33" s="27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</row>
    <row r="34" customFormat="false" ht="12.75" hidden="false" customHeight="false" outlineLevel="0" collapsed="false">
      <c r="A34" s="0"/>
      <c r="B34" s="0"/>
      <c r="C34" s="25"/>
      <c r="D34" s="26"/>
      <c r="E34" s="27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customFormat="false" ht="12.75" hidden="false" customHeight="false" outlineLevel="0" collapsed="false">
      <c r="A35" s="0"/>
      <c r="B35" s="0"/>
      <c r="C35" s="25"/>
      <c r="D35" s="26"/>
      <c r="E35" s="27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customFormat="false" ht="12.75" hidden="false" customHeight="false" outlineLevel="0" collapsed="false">
      <c r="A36" s="30"/>
      <c r="B36" s="30"/>
      <c r="C36" s="30"/>
      <c r="D36" s="51"/>
      <c r="E36" s="51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</row>
    <row r="37" customFormat="false" ht="12.75" hidden="false" customHeight="false" outlineLevel="0" collapsed="false">
      <c r="A37" s="30"/>
      <c r="B37" s="30"/>
      <c r="C37" s="30"/>
      <c r="D37" s="51"/>
      <c r="E37" s="52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</row>
    <row r="38" customFormat="false" ht="12.75" hidden="false" customHeight="false" outlineLevel="0" collapsed="false">
      <c r="A38" s="30"/>
      <c r="B38" s="30"/>
      <c r="C38" s="30"/>
      <c r="D38" s="53"/>
      <c r="E38" s="52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</row>
    <row r="39" customFormat="false" ht="12.75" hidden="false" customHeight="false" outlineLevel="0" collapsed="false">
      <c r="A39" s="30"/>
      <c r="B39" s="30"/>
      <c r="C39" s="30"/>
      <c r="D39" s="54"/>
      <c r="E39" s="30"/>
      <c r="F39" s="5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</row>
    <row r="40" customFormat="false" ht="12.75" hidden="false" customHeight="false" outlineLevel="0" collapsed="false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</row>
    <row r="41" customFormat="false" ht="12.75" hidden="false" customHeight="fals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</row>
    <row r="42" customFormat="false" ht="12.75" hidden="false" customHeight="false" outlineLevel="0" collapsed="false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</row>
    <row r="43" customFormat="false" ht="12.75" hidden="false" customHeight="fals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</row>
  </sheetData>
  <mergeCells count="4">
    <mergeCell ref="A3:E3"/>
    <mergeCell ref="C24:E24"/>
    <mergeCell ref="C25:E25"/>
    <mergeCell ref="C27:E27"/>
  </mergeCells>
  <printOptions headings="false" gridLines="false" gridLinesSet="true" horizontalCentered="true" verticalCentered="false"/>
  <pageMargins left="0.75" right="0.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81"/>
  <sheetViews>
    <sheetView windowProtection="false" showFormulas="false" showGridLines="false" showRowColHeaders="tru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C11" activeCellId="0" sqref="C11"/>
    </sheetView>
  </sheetViews>
  <sheetFormatPr defaultRowHeight="13.5"/>
  <cols>
    <col collapsed="false" hidden="false" max="1" min="1" style="56" width="37.2053571428571"/>
    <col collapsed="false" hidden="false" max="2" min="2" style="56" width="7.67857142857143"/>
    <col collapsed="false" hidden="false" max="14" min="3" style="56" width="11.2232142857143"/>
    <col collapsed="false" hidden="false" max="1025" min="15" style="56" width="8.74107142857143"/>
  </cols>
  <sheetData>
    <row r="1" customFormat="false" ht="14.25" hidden="false" customHeight="false" outlineLevel="0" collapsed="false">
      <c r="A1" s="20" t="s">
        <v>16</v>
      </c>
      <c r="B1" s="57" t="str">
        <f aca="false">+Pressupostos!B1</f>
        <v>Herbawatter</v>
      </c>
      <c r="C1" s="58"/>
      <c r="D1" s="58"/>
      <c r="E1" s="58"/>
      <c r="F1" s="58"/>
      <c r="G1" s="58"/>
      <c r="H1" s="58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2" customFormat="true" ht="13.5" hidden="false" customHeight="false" outlineLevel="0" collapsed="false">
      <c r="A2" s="59" t="s">
        <v>42</v>
      </c>
      <c r="B2" s="60"/>
      <c r="C2" s="60"/>
      <c r="D2" s="60"/>
      <c r="E2" s="60"/>
      <c r="F2" s="60"/>
      <c r="G2" s="60"/>
      <c r="H2" s="61" t="str">
        <f aca="false">+Pressupostos!B6</f>
        <v>(valores em euros)</v>
      </c>
    </row>
    <row r="3" customFormat="false" ht="13.5" hidden="false" customHeight="false" outlineLevel="0" collapsed="false">
      <c r="A3" s="23" t="s">
        <v>43</v>
      </c>
      <c r="B3" s="23"/>
      <c r="C3" s="23"/>
      <c r="D3" s="23"/>
      <c r="E3" s="23"/>
      <c r="F3" s="23"/>
      <c r="G3" s="23"/>
      <c r="H3" s="23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5" hidden="false" customHeight="false" outlineLevel="0" collapsed="false">
      <c r="A4" s="63"/>
      <c r="B4" s="63"/>
      <c r="C4" s="63"/>
      <c r="D4" s="63"/>
      <c r="E4" s="63"/>
      <c r="F4" s="63"/>
      <c r="G4" s="63"/>
      <c r="H4" s="63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5" hidden="false" customHeight="false" outlineLevel="0" collapsed="false">
      <c r="A5" s="64"/>
      <c r="B5" s="64"/>
      <c r="C5" s="65" t="n">
        <v>2016</v>
      </c>
      <c r="D5" s="65" t="n">
        <f aca="false">C5+1</f>
        <v>2017</v>
      </c>
      <c r="E5" s="65" t="n">
        <f aca="false">D5+1</f>
        <v>2018</v>
      </c>
      <c r="F5" s="65" t="n">
        <f aca="false">E5+1</f>
        <v>2019</v>
      </c>
      <c r="G5" s="65" t="n">
        <f aca="false">F5+1</f>
        <v>2020</v>
      </c>
      <c r="H5" s="65" t="n">
        <f aca="false">G5+1</f>
        <v>2021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5" hidden="false" customHeight="false" outlineLevel="0" collapsed="false">
      <c r="A6" s="66" t="s">
        <v>44</v>
      </c>
      <c r="B6" s="67"/>
      <c r="C6" s="68"/>
      <c r="D6" s="69" t="n">
        <v>0</v>
      </c>
      <c r="E6" s="69" t="n">
        <v>0.06</v>
      </c>
      <c r="F6" s="69" t="n">
        <v>0.04</v>
      </c>
      <c r="G6" s="69" t="n">
        <v>0.03</v>
      </c>
      <c r="H6" s="69" t="n">
        <v>0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5" hidden="false" customHeight="false" outlineLevel="0" collapsed="false">
      <c r="A7" s="19"/>
      <c r="B7" s="19"/>
      <c r="C7" s="19"/>
      <c r="D7" s="19"/>
      <c r="E7" s="19"/>
      <c r="F7" s="19"/>
      <c r="G7" s="19"/>
      <c r="H7" s="19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5" hidden="false" customHeight="false" outlineLevel="0" collapsed="false">
      <c r="A8" s="19"/>
      <c r="B8" s="19"/>
      <c r="C8" s="19"/>
      <c r="D8" s="19"/>
      <c r="E8" s="19"/>
      <c r="F8" s="19"/>
      <c r="G8" s="19"/>
      <c r="H8" s="19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5" hidden="false" customHeight="false" outlineLevel="0" collapsed="false">
      <c r="A9" s="70" t="s">
        <v>45</v>
      </c>
      <c r="B9" s="70"/>
      <c r="C9" s="64" t="n">
        <f aca="false">+C5</f>
        <v>2016</v>
      </c>
      <c r="D9" s="64" t="n">
        <f aca="false">+D5</f>
        <v>2017</v>
      </c>
      <c r="E9" s="64" t="n">
        <f aca="false">+E5</f>
        <v>2018</v>
      </c>
      <c r="F9" s="64" t="n">
        <f aca="false">+F5</f>
        <v>2019</v>
      </c>
      <c r="G9" s="64" t="n">
        <f aca="false">+G5</f>
        <v>2020</v>
      </c>
      <c r="H9" s="64" t="n">
        <f aca="false">+H5</f>
        <v>2021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5" hidden="false" customHeight="false" outlineLevel="0" collapsed="false">
      <c r="A10" s="71" t="s">
        <v>46</v>
      </c>
      <c r="B10" s="72"/>
      <c r="C10" s="68" t="n">
        <v>60</v>
      </c>
      <c r="D10" s="68" t="n">
        <f aca="false">+D13*D11</f>
        <v>71976</v>
      </c>
      <c r="E10" s="68" t="n">
        <f aca="false">+E13*E11</f>
        <v>213624.768</v>
      </c>
      <c r="F10" s="68" t="n">
        <f aca="false">+F13*F11</f>
        <v>422122.541568</v>
      </c>
      <c r="G10" s="68" t="n">
        <f aca="false">+G13*G11</f>
        <v>543482.7722688</v>
      </c>
      <c r="H10" s="68" t="n">
        <f aca="false">+H13*H11</f>
        <v>641309.671277184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5" hidden="false" customHeight="false" outlineLevel="0" collapsed="false">
      <c r="A11" s="73" t="s">
        <v>47</v>
      </c>
      <c r="B11" s="72"/>
      <c r="C11" s="74" t="n">
        <v>1</v>
      </c>
      <c r="D11" s="75" t="n">
        <v>2400</v>
      </c>
      <c r="E11" s="75" t="n">
        <f aca="false">+D11*(1+E12)</f>
        <v>6720</v>
      </c>
      <c r="F11" s="75" t="n">
        <f aca="false">+E11*(1+F12)</f>
        <v>12768</v>
      </c>
      <c r="G11" s="75" t="n">
        <f aca="false">+F11*(1+G12)</f>
        <v>15960</v>
      </c>
      <c r="H11" s="75" t="n">
        <f aca="false">+G11*(1+H12)</f>
        <v>18832.8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5" hidden="false" customHeight="false" outlineLevel="0" collapsed="false">
      <c r="A12" s="73" t="s">
        <v>48</v>
      </c>
      <c r="B12" s="72"/>
      <c r="C12" s="76"/>
      <c r="D12" s="77" t="n">
        <v>0</v>
      </c>
      <c r="E12" s="77" t="n">
        <v>1.8</v>
      </c>
      <c r="F12" s="77" t="n">
        <v>0.9</v>
      </c>
      <c r="G12" s="77" t="n">
        <v>0.25</v>
      </c>
      <c r="H12" s="77" t="n">
        <v>0.18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5" hidden="false" customHeight="false" outlineLevel="0" collapsed="false">
      <c r="A13" s="73" t="s">
        <v>49</v>
      </c>
      <c r="B13" s="72"/>
      <c r="C13" s="78" t="n">
        <v>29.99</v>
      </c>
      <c r="D13" s="79" t="n">
        <f aca="false">+C13*(1+D6)</f>
        <v>29.99</v>
      </c>
      <c r="E13" s="79" t="n">
        <f aca="false">+D13*(1+E6)</f>
        <v>31.7894</v>
      </c>
      <c r="F13" s="79" t="n">
        <f aca="false">+E13*(1+F6)</f>
        <v>33.060976</v>
      </c>
      <c r="G13" s="79" t="n">
        <f aca="false">+F13*(1+G6)</f>
        <v>34.05280528</v>
      </c>
      <c r="H13" s="79" t="n">
        <f aca="false">+G13*(1+H6)</f>
        <v>34.05280528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5" hidden="false" customHeight="false" outlineLevel="0" collapsed="false">
      <c r="A14" s="71" t="s">
        <v>50</v>
      </c>
      <c r="B14" s="72"/>
      <c r="C14" s="68" t="n">
        <f aca="false">+C17*C15</f>
        <v>0</v>
      </c>
      <c r="D14" s="68" t="n">
        <f aca="false">+D17*D15</f>
        <v>0</v>
      </c>
      <c r="E14" s="68" t="n">
        <f aca="false">+E17*E15</f>
        <v>0</v>
      </c>
      <c r="F14" s="68" t="n">
        <f aca="false">+F17*F15</f>
        <v>0</v>
      </c>
      <c r="G14" s="68" t="n">
        <f aca="false">+G17*G15</f>
        <v>0</v>
      </c>
      <c r="H14" s="68" t="n">
        <f aca="false">+H17*H15</f>
        <v>0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5" hidden="false" customHeight="false" outlineLevel="0" collapsed="false">
      <c r="A15" s="73" t="s">
        <v>47</v>
      </c>
      <c r="B15" s="72"/>
      <c r="C15" s="74" t="n">
        <v>1</v>
      </c>
      <c r="D15" s="75" t="n">
        <f aca="false">D11/10</f>
        <v>240</v>
      </c>
      <c r="E15" s="75" t="n">
        <f aca="false">+D15*(1+E16)</f>
        <v>240</v>
      </c>
      <c r="F15" s="75" t="n">
        <f aca="false">+E15*(1+F16)</f>
        <v>240</v>
      </c>
      <c r="G15" s="75" t="n">
        <f aca="false">+F15*(1+G16)</f>
        <v>240</v>
      </c>
      <c r="H15" s="75" t="n">
        <f aca="false">+G15*(1+H16)</f>
        <v>240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5" hidden="false" customHeight="false" outlineLevel="0" collapsed="false">
      <c r="A16" s="73" t="s">
        <v>48</v>
      </c>
      <c r="B16" s="72"/>
      <c r="C16" s="76"/>
      <c r="D16" s="77" t="n">
        <v>0</v>
      </c>
      <c r="E16" s="77" t="n">
        <v>0</v>
      </c>
      <c r="F16" s="77" t="n">
        <v>0</v>
      </c>
      <c r="G16" s="77" t="n">
        <v>0</v>
      </c>
      <c r="H16" s="77" t="n">
        <v>0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5" hidden="false" customHeight="false" outlineLevel="0" collapsed="false">
      <c r="A17" s="73" t="s">
        <v>49</v>
      </c>
      <c r="B17" s="72"/>
      <c r="C17" s="78" t="n">
        <v>0</v>
      </c>
      <c r="D17" s="79" t="n">
        <f aca="false">+C17*(1+D6)</f>
        <v>0</v>
      </c>
      <c r="E17" s="79" t="n">
        <f aca="false">+D17*(1+E6)</f>
        <v>0</v>
      </c>
      <c r="F17" s="79" t="n">
        <f aca="false">+E17*(1+F6)</f>
        <v>0</v>
      </c>
      <c r="G17" s="79" t="n">
        <f aca="false">+F17*(1+G6)</f>
        <v>0</v>
      </c>
      <c r="H17" s="79" t="n">
        <f aca="false">+G17*(1+H6)</f>
        <v>0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5" hidden="false" customHeight="false" outlineLevel="0" collapsed="false">
      <c r="A18" s="71" t="s">
        <v>51</v>
      </c>
      <c r="B18" s="72"/>
      <c r="C18" s="68" t="n">
        <f aca="false">+C21*C19</f>
        <v>0</v>
      </c>
      <c r="D18" s="68" t="n">
        <f aca="false">+D21*D19</f>
        <v>0</v>
      </c>
      <c r="E18" s="68" t="n">
        <f aca="false">+E21*E19</f>
        <v>0</v>
      </c>
      <c r="F18" s="68" t="n">
        <f aca="false">+F21*F19</f>
        <v>0</v>
      </c>
      <c r="G18" s="68" t="n">
        <f aca="false">+G21*G19</f>
        <v>0</v>
      </c>
      <c r="H18" s="68" t="n">
        <f aca="false">+H21*H19</f>
        <v>0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5" hidden="false" customHeight="false" outlineLevel="0" collapsed="false">
      <c r="A19" s="73" t="s">
        <v>47</v>
      </c>
      <c r="B19" s="72"/>
      <c r="C19" s="74" t="n">
        <v>0</v>
      </c>
      <c r="D19" s="75" t="n">
        <f aca="false">+C19*(1+D20)</f>
        <v>0</v>
      </c>
      <c r="E19" s="75" t="n">
        <f aca="false">+D19*(1+E20)</f>
        <v>0</v>
      </c>
      <c r="F19" s="75" t="n">
        <f aca="false">+E19*(1+F20)</f>
        <v>0</v>
      </c>
      <c r="G19" s="75" t="n">
        <f aca="false">+F19*(1+G20)</f>
        <v>0</v>
      </c>
      <c r="H19" s="75" t="n">
        <f aca="false">+G19*(1+H20)</f>
        <v>0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5" hidden="false" customHeight="false" outlineLevel="0" collapsed="false">
      <c r="A20" s="73" t="s">
        <v>48</v>
      </c>
      <c r="B20" s="72"/>
      <c r="C20" s="76"/>
      <c r="D20" s="77" t="n">
        <v>0</v>
      </c>
      <c r="E20" s="77" t="n">
        <v>0</v>
      </c>
      <c r="F20" s="77" t="n">
        <v>0</v>
      </c>
      <c r="G20" s="77" t="n">
        <v>0</v>
      </c>
      <c r="H20" s="77" t="n">
        <v>0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5" hidden="false" customHeight="false" outlineLevel="0" collapsed="false">
      <c r="A21" s="73" t="s">
        <v>49</v>
      </c>
      <c r="B21" s="72"/>
      <c r="C21" s="78" t="n">
        <v>0</v>
      </c>
      <c r="D21" s="79" t="n">
        <f aca="false">+C21*(1+D6)</f>
        <v>0</v>
      </c>
      <c r="E21" s="79" t="n">
        <f aca="false">+D21*(1+E6)</f>
        <v>0</v>
      </c>
      <c r="F21" s="79" t="n">
        <f aca="false">+E21*(1+F6)</f>
        <v>0</v>
      </c>
      <c r="G21" s="79" t="n">
        <f aca="false">+F21*(1+G6)</f>
        <v>0</v>
      </c>
      <c r="H21" s="79" t="n">
        <f aca="false">+G21*(1+H6)</f>
        <v>0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5" hidden="false" customHeight="false" outlineLevel="0" collapsed="false">
      <c r="A22" s="71" t="s">
        <v>52</v>
      </c>
      <c r="B22" s="72"/>
      <c r="C22" s="68" t="n">
        <f aca="false">+C25*C23</f>
        <v>0</v>
      </c>
      <c r="D22" s="68" t="n">
        <f aca="false">+D25*D23</f>
        <v>0</v>
      </c>
      <c r="E22" s="68" t="n">
        <f aca="false">+E25*E23</f>
        <v>0</v>
      </c>
      <c r="F22" s="68" t="n">
        <f aca="false">+F25*F23</f>
        <v>0</v>
      </c>
      <c r="G22" s="68" t="n">
        <f aca="false">+G25*G23</f>
        <v>0</v>
      </c>
      <c r="H22" s="68" t="n">
        <f aca="false">+H25*H23</f>
        <v>0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5" hidden="false" customHeight="false" outlineLevel="0" collapsed="false">
      <c r="A23" s="73" t="s">
        <v>47</v>
      </c>
      <c r="B23" s="72"/>
      <c r="C23" s="74" t="n">
        <v>0</v>
      </c>
      <c r="D23" s="75" t="n">
        <f aca="false">+C23*(1+D24)</f>
        <v>0</v>
      </c>
      <c r="E23" s="75" t="n">
        <f aca="false">+D23*(1+E24)</f>
        <v>0</v>
      </c>
      <c r="F23" s="75" t="n">
        <f aca="false">+E23*(1+F24)</f>
        <v>0</v>
      </c>
      <c r="G23" s="75" t="n">
        <f aca="false">+F23*(1+G24)</f>
        <v>0</v>
      </c>
      <c r="H23" s="75" t="n">
        <f aca="false">+G23*(1+H24)</f>
        <v>0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5" hidden="false" customHeight="false" outlineLevel="0" collapsed="false">
      <c r="A24" s="73" t="s">
        <v>48</v>
      </c>
      <c r="B24" s="72"/>
      <c r="C24" s="76"/>
      <c r="D24" s="77" t="n">
        <v>0</v>
      </c>
      <c r="E24" s="77" t="n">
        <v>0</v>
      </c>
      <c r="F24" s="77" t="n">
        <v>0</v>
      </c>
      <c r="G24" s="77" t="n">
        <v>0</v>
      </c>
      <c r="H24" s="77" t="n">
        <v>0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5" hidden="false" customHeight="false" outlineLevel="0" collapsed="false">
      <c r="A25" s="73" t="s">
        <v>49</v>
      </c>
      <c r="B25" s="72"/>
      <c r="C25" s="78" t="n">
        <v>0</v>
      </c>
      <c r="D25" s="79" t="n">
        <f aca="false">+C25*(1+D6)</f>
        <v>0</v>
      </c>
      <c r="E25" s="79" t="n">
        <f aca="false">+D25*(1+E6)</f>
        <v>0</v>
      </c>
      <c r="F25" s="79" t="n">
        <f aca="false">+E25*(1+F6)</f>
        <v>0</v>
      </c>
      <c r="G25" s="79" t="n">
        <f aca="false">+F25*(1+G6)</f>
        <v>0</v>
      </c>
      <c r="H25" s="79" t="n">
        <f aca="false">+G25*(1+H6)</f>
        <v>0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5" hidden="false" customHeight="false" outlineLevel="0" collapsed="false">
      <c r="A26" s="80" t="s">
        <v>53</v>
      </c>
      <c r="B26" s="80"/>
      <c r="C26" s="81" t="n">
        <f aca="false">+C10+C14+C18+C22</f>
        <v>60</v>
      </c>
      <c r="D26" s="81" t="n">
        <f aca="false">+D10+D14+D18+D22</f>
        <v>71976</v>
      </c>
      <c r="E26" s="81" t="n">
        <f aca="false">+E10+E14+E18+E22</f>
        <v>213624.768</v>
      </c>
      <c r="F26" s="81" t="n">
        <f aca="false">+F10+F14+F18+F22</f>
        <v>422122.541568</v>
      </c>
      <c r="G26" s="81" t="n">
        <f aca="false">+G10+G14+G18+G22</f>
        <v>543482.7722688</v>
      </c>
      <c r="H26" s="81" t="n">
        <f aca="false">+H10+H14+H18+H22</f>
        <v>641309.671277184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4" customFormat="true" ht="13.5" hidden="false" customHeight="false" outlineLevel="0" collapsed="false">
      <c r="A27" s="82"/>
      <c r="B27" s="82"/>
      <c r="C27" s="83"/>
      <c r="D27" s="83"/>
      <c r="E27" s="83"/>
      <c r="F27" s="83"/>
      <c r="G27" s="83"/>
      <c r="H27" s="83"/>
    </row>
    <row r="28" s="84" customFormat="true" ht="13.5" hidden="false" customHeight="false" outlineLevel="0" collapsed="false">
      <c r="A28" s="82"/>
      <c r="B28" s="82"/>
      <c r="C28" s="83"/>
      <c r="D28" s="83"/>
      <c r="E28" s="83"/>
      <c r="F28" s="83"/>
      <c r="G28" s="83"/>
      <c r="H28" s="83"/>
    </row>
    <row r="29" customFormat="false" ht="13.5" hidden="false" customHeight="false" outlineLevel="0" collapsed="false">
      <c r="A29" s="70" t="s">
        <v>54</v>
      </c>
      <c r="B29" s="70"/>
      <c r="C29" s="64" t="n">
        <f aca="false">+C5</f>
        <v>2016</v>
      </c>
      <c r="D29" s="64" t="n">
        <f aca="false">+D5</f>
        <v>2017</v>
      </c>
      <c r="E29" s="64" t="n">
        <f aca="false">+E5</f>
        <v>2018</v>
      </c>
      <c r="F29" s="64" t="n">
        <f aca="false">+F5</f>
        <v>2019</v>
      </c>
      <c r="G29" s="64" t="n">
        <f aca="false">+G5</f>
        <v>2020</v>
      </c>
      <c r="H29" s="64" t="n">
        <f aca="false">+H5</f>
        <v>2021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5" hidden="false" customHeight="false" outlineLevel="0" collapsed="false">
      <c r="A30" s="71" t="s">
        <v>46</v>
      </c>
      <c r="B30" s="72"/>
      <c r="C30" s="68" t="n">
        <f aca="false">+C33*C31</f>
        <v>0</v>
      </c>
      <c r="D30" s="68" t="n">
        <f aca="false">+D33*D31</f>
        <v>0</v>
      </c>
      <c r="E30" s="68" t="n">
        <f aca="false">+E33*E31</f>
        <v>0</v>
      </c>
      <c r="F30" s="68" t="n">
        <f aca="false">+F33*F31</f>
        <v>0</v>
      </c>
      <c r="G30" s="68" t="n">
        <f aca="false">+G33*G31</f>
        <v>0</v>
      </c>
      <c r="H30" s="68" t="n">
        <f aca="false">+H33*H31</f>
        <v>0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5" hidden="false" customHeight="false" outlineLevel="0" collapsed="false">
      <c r="A31" s="73" t="s">
        <v>47</v>
      </c>
      <c r="B31" s="72"/>
      <c r="C31" s="74" t="n">
        <v>0</v>
      </c>
      <c r="D31" s="75" t="n">
        <f aca="false">+C31*(1+D32)</f>
        <v>0</v>
      </c>
      <c r="E31" s="75" t="n">
        <f aca="false">+D31*(1+E32)</f>
        <v>0</v>
      </c>
      <c r="F31" s="75" t="n">
        <f aca="false">+E31*(1+F32)</f>
        <v>0</v>
      </c>
      <c r="G31" s="75" t="n">
        <f aca="false">+F31*(1+G32)</f>
        <v>0</v>
      </c>
      <c r="H31" s="75" t="n">
        <f aca="false">+G31*(1+H32)</f>
        <v>0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5" hidden="false" customHeight="false" outlineLevel="0" collapsed="false">
      <c r="A32" s="73" t="s">
        <v>48</v>
      </c>
      <c r="B32" s="72"/>
      <c r="C32" s="76"/>
      <c r="D32" s="77" t="n">
        <v>0</v>
      </c>
      <c r="E32" s="77" t="n">
        <v>0</v>
      </c>
      <c r="F32" s="77" t="n">
        <v>0</v>
      </c>
      <c r="G32" s="77" t="n">
        <v>0</v>
      </c>
      <c r="H32" s="77" t="n">
        <v>0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5" hidden="false" customHeight="false" outlineLevel="0" collapsed="false">
      <c r="A33" s="73" t="s">
        <v>49</v>
      </c>
      <c r="B33" s="72"/>
      <c r="C33" s="78" t="n">
        <v>0</v>
      </c>
      <c r="D33" s="79" t="n">
        <f aca="false">+C33*(1+D6)</f>
        <v>0</v>
      </c>
      <c r="E33" s="79" t="n">
        <f aca="false">+D33*(1+E6)</f>
        <v>0</v>
      </c>
      <c r="F33" s="79" t="n">
        <f aca="false">+E33*(1+F6)</f>
        <v>0</v>
      </c>
      <c r="G33" s="79" t="n">
        <f aca="false">+F33*(1+G6)</f>
        <v>0</v>
      </c>
      <c r="H33" s="79" t="n">
        <f aca="false">+G33*(1+H6)</f>
        <v>0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5" hidden="false" customHeight="false" outlineLevel="0" collapsed="false">
      <c r="A34" s="71" t="s">
        <v>50</v>
      </c>
      <c r="B34" s="72"/>
      <c r="C34" s="68" t="n">
        <f aca="false">+C37*C35</f>
        <v>0</v>
      </c>
      <c r="D34" s="68" t="n">
        <f aca="false">+D37*D35</f>
        <v>0</v>
      </c>
      <c r="E34" s="68" t="n">
        <f aca="false">+E37*E35</f>
        <v>0</v>
      </c>
      <c r="F34" s="68" t="n">
        <f aca="false">+F37*F35</f>
        <v>0</v>
      </c>
      <c r="G34" s="68" t="n">
        <f aca="false">+G37*G35</f>
        <v>0</v>
      </c>
      <c r="H34" s="68" t="n">
        <f aca="false">+H37*H35</f>
        <v>0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5" hidden="false" customHeight="false" outlineLevel="0" collapsed="false">
      <c r="A35" s="73" t="s">
        <v>47</v>
      </c>
      <c r="B35" s="72"/>
      <c r="C35" s="74" t="n">
        <v>0</v>
      </c>
      <c r="D35" s="75" t="n">
        <f aca="false">+C35*(1+D36)</f>
        <v>0</v>
      </c>
      <c r="E35" s="75" t="n">
        <f aca="false">+D35*(1+E36)</f>
        <v>0</v>
      </c>
      <c r="F35" s="75" t="n">
        <f aca="false">+E35*(1+F36)</f>
        <v>0</v>
      </c>
      <c r="G35" s="75" t="n">
        <f aca="false">+F35*(1+G36)</f>
        <v>0</v>
      </c>
      <c r="H35" s="75" t="n">
        <f aca="false">+G35*(1+H36)</f>
        <v>0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5" hidden="false" customHeight="false" outlineLevel="0" collapsed="false">
      <c r="A36" s="73" t="s">
        <v>48</v>
      </c>
      <c r="B36" s="72"/>
      <c r="C36" s="76"/>
      <c r="D36" s="77" t="n">
        <v>0</v>
      </c>
      <c r="E36" s="77" t="n">
        <v>0</v>
      </c>
      <c r="F36" s="77" t="n">
        <v>0</v>
      </c>
      <c r="G36" s="77" t="n">
        <v>0</v>
      </c>
      <c r="H36" s="77" t="n">
        <v>0</v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5" hidden="false" customHeight="false" outlineLevel="0" collapsed="false">
      <c r="A37" s="73" t="s">
        <v>49</v>
      </c>
      <c r="B37" s="72"/>
      <c r="C37" s="78" t="n">
        <v>0</v>
      </c>
      <c r="D37" s="79" t="n">
        <f aca="false">+C37*(1+D6)</f>
        <v>0</v>
      </c>
      <c r="E37" s="79" t="n">
        <f aca="false">+D37*(1+E6)</f>
        <v>0</v>
      </c>
      <c r="F37" s="79" t="n">
        <f aca="false">+E37*(1+F6)</f>
        <v>0</v>
      </c>
      <c r="G37" s="79" t="n">
        <f aca="false">+F37*(1+G6)</f>
        <v>0</v>
      </c>
      <c r="H37" s="79" t="n">
        <f aca="false">+G37*(1+H6)</f>
        <v>0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5" hidden="false" customHeight="false" outlineLevel="0" collapsed="false">
      <c r="A38" s="80" t="s">
        <v>53</v>
      </c>
      <c r="B38" s="80"/>
      <c r="C38" s="81" t="n">
        <f aca="false">+C30+C34</f>
        <v>0</v>
      </c>
      <c r="D38" s="81" t="n">
        <f aca="false">+D30+D34</f>
        <v>0</v>
      </c>
      <c r="E38" s="81" t="n">
        <f aca="false">+E30+E34</f>
        <v>0</v>
      </c>
      <c r="F38" s="81" t="n">
        <f aca="false">+F30+F34</f>
        <v>0</v>
      </c>
      <c r="G38" s="81" t="n">
        <f aca="false">+G30+G34</f>
        <v>0</v>
      </c>
      <c r="H38" s="81" t="n">
        <f aca="false">+H30+H34</f>
        <v>0</v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62" customFormat="true" ht="13.5" hidden="false" customHeight="false" outlineLevel="0" collapsed="false">
      <c r="A39" s="85" t="s">
        <v>55</v>
      </c>
      <c r="B39" s="86"/>
      <c r="C39" s="87"/>
      <c r="D39" s="87"/>
      <c r="E39" s="87"/>
      <c r="F39" s="87"/>
      <c r="G39" s="87"/>
      <c r="H39" s="87"/>
    </row>
    <row r="40" customFormat="false" ht="13.5" hidden="false" customHeight="false" outlineLevel="0" collapsed="false">
      <c r="A40" s="88" t="s">
        <v>56</v>
      </c>
      <c r="B40" s="89"/>
      <c r="C40" s="90"/>
      <c r="D40" s="90"/>
      <c r="E40" s="90"/>
      <c r="F40" s="90"/>
      <c r="G40" s="90"/>
      <c r="H40" s="90"/>
      <c r="I40" s="19"/>
      <c r="J40" s="19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5" hidden="false" customHeight="false" outlineLevel="0" collapsed="false">
      <c r="A41" s="19"/>
      <c r="B41" s="89"/>
      <c r="C41" s="90"/>
      <c r="D41" s="90"/>
      <c r="E41" s="90"/>
      <c r="F41" s="90"/>
      <c r="G41" s="90"/>
      <c r="H41" s="90"/>
      <c r="I41" s="19"/>
      <c r="J41" s="19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5" hidden="false" customHeight="false" outlineLevel="0" collapsed="false">
      <c r="A42" s="70" t="s">
        <v>57</v>
      </c>
      <c r="B42" s="70"/>
      <c r="C42" s="64" t="n">
        <f aca="false">+C5</f>
        <v>2016</v>
      </c>
      <c r="D42" s="64" t="n">
        <f aca="false">+D5</f>
        <v>2017</v>
      </c>
      <c r="E42" s="64" t="n">
        <f aca="false">+E5</f>
        <v>2018</v>
      </c>
      <c r="F42" s="64" t="n">
        <f aca="false">+F5</f>
        <v>2019</v>
      </c>
      <c r="G42" s="64" t="n">
        <f aca="false">+G5</f>
        <v>2020</v>
      </c>
      <c r="H42" s="64" t="n">
        <f aca="false">+H5</f>
        <v>2021</v>
      </c>
      <c r="I42" s="19"/>
      <c r="J42" s="19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5" hidden="false" customHeight="false" outlineLevel="0" collapsed="false">
      <c r="A43" s="91" t="s">
        <v>58</v>
      </c>
      <c r="B43" s="72"/>
      <c r="C43" s="74" t="n">
        <v>0</v>
      </c>
      <c r="D43" s="75" t="n">
        <f aca="false">+C43*(1+D44)</f>
        <v>0</v>
      </c>
      <c r="E43" s="75" t="n">
        <f aca="false">+D43*(1+E44)</f>
        <v>0</v>
      </c>
      <c r="F43" s="75" t="n">
        <f aca="false">+E43*(1+F44)</f>
        <v>0</v>
      </c>
      <c r="G43" s="75" t="n">
        <f aca="false">+F43*(1+G44)</f>
        <v>0</v>
      </c>
      <c r="H43" s="75" t="n">
        <f aca="false">+G43*(1+H44)</f>
        <v>0</v>
      </c>
      <c r="I43" s="19"/>
      <c r="J43" s="19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5" hidden="false" customHeight="false" outlineLevel="0" collapsed="false">
      <c r="A44" s="73" t="s">
        <v>59</v>
      </c>
      <c r="B44" s="72"/>
      <c r="C44" s="76"/>
      <c r="D44" s="77" t="n">
        <v>0</v>
      </c>
      <c r="E44" s="77" t="n">
        <v>0</v>
      </c>
      <c r="F44" s="77" t="n">
        <v>0</v>
      </c>
      <c r="G44" s="77" t="n">
        <v>0</v>
      </c>
      <c r="H44" s="77" t="n">
        <v>0</v>
      </c>
      <c r="I44" s="19"/>
      <c r="J44" s="19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5" hidden="false" customHeight="false" outlineLevel="0" collapsed="false">
      <c r="A45" s="91" t="s">
        <v>60</v>
      </c>
      <c r="B45" s="72"/>
      <c r="C45" s="74" t="n">
        <v>0</v>
      </c>
      <c r="D45" s="75" t="n">
        <f aca="false">+C45*(1+D46)</f>
        <v>0</v>
      </c>
      <c r="E45" s="75" t="n">
        <f aca="false">+D45*(1+E46)</f>
        <v>0</v>
      </c>
      <c r="F45" s="75" t="n">
        <f aca="false">+E45*(1+F46)</f>
        <v>0</v>
      </c>
      <c r="G45" s="75" t="n">
        <f aca="false">+F45*(1+G46)</f>
        <v>0</v>
      </c>
      <c r="H45" s="75" t="n">
        <f aca="false">+G45*(1+H46)</f>
        <v>0</v>
      </c>
      <c r="I45" s="19"/>
      <c r="J45" s="19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5" hidden="false" customHeight="false" outlineLevel="0" collapsed="false">
      <c r="A46" s="73" t="s">
        <v>61</v>
      </c>
      <c r="B46" s="72"/>
      <c r="C46" s="76"/>
      <c r="D46" s="77" t="n">
        <v>0</v>
      </c>
      <c r="E46" s="77" t="n">
        <v>0</v>
      </c>
      <c r="F46" s="77" t="n">
        <v>0</v>
      </c>
      <c r="G46" s="77" t="n">
        <v>0</v>
      </c>
      <c r="H46" s="77" t="n">
        <v>0</v>
      </c>
      <c r="I46" s="19"/>
      <c r="J46" s="19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5" hidden="false" customHeight="false" outlineLevel="0" collapsed="false">
      <c r="A47" s="91" t="s">
        <v>62</v>
      </c>
      <c r="B47" s="72"/>
      <c r="C47" s="74" t="n">
        <v>0</v>
      </c>
      <c r="D47" s="75" t="n">
        <f aca="false">+C47*(1+D48)</f>
        <v>0</v>
      </c>
      <c r="E47" s="75" t="n">
        <f aca="false">+D47*(1+E48)</f>
        <v>0</v>
      </c>
      <c r="F47" s="75" t="n">
        <f aca="false">+E47*(1+F48)</f>
        <v>0</v>
      </c>
      <c r="G47" s="75" t="n">
        <f aca="false">+F47*(1+G48)</f>
        <v>0</v>
      </c>
      <c r="H47" s="75" t="n">
        <f aca="false">+G47*(1+H48)</f>
        <v>0</v>
      </c>
      <c r="I47" s="19"/>
      <c r="J47" s="19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5" hidden="false" customHeight="false" outlineLevel="0" collapsed="false">
      <c r="A48" s="73" t="s">
        <v>63</v>
      </c>
      <c r="B48" s="72"/>
      <c r="C48" s="76"/>
      <c r="D48" s="77" t="n">
        <v>0</v>
      </c>
      <c r="E48" s="77" t="n">
        <v>0</v>
      </c>
      <c r="F48" s="77" t="n">
        <v>0</v>
      </c>
      <c r="G48" s="77" t="n">
        <v>0</v>
      </c>
      <c r="H48" s="77" t="n">
        <v>0</v>
      </c>
      <c r="I48" s="19"/>
      <c r="J48" s="19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5" hidden="false" customHeight="false" outlineLevel="0" collapsed="false">
      <c r="A49" s="91" t="s">
        <v>64</v>
      </c>
      <c r="B49" s="72"/>
      <c r="C49" s="74" t="n">
        <v>0</v>
      </c>
      <c r="D49" s="75" t="n">
        <f aca="false">+C49*(1+D50)</f>
        <v>0</v>
      </c>
      <c r="E49" s="75" t="n">
        <f aca="false">+D49*(1+E50)</f>
        <v>0</v>
      </c>
      <c r="F49" s="75" t="n">
        <f aca="false">+E49*(1+F50)</f>
        <v>0</v>
      </c>
      <c r="G49" s="75" t="n">
        <f aca="false">+F49*(1+G50)</f>
        <v>0</v>
      </c>
      <c r="H49" s="75" t="n">
        <f aca="false">+G49*(1+H50)</f>
        <v>0</v>
      </c>
      <c r="I49" s="19"/>
      <c r="J49" s="19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5" hidden="false" customHeight="false" outlineLevel="0" collapsed="false">
      <c r="A50" s="73" t="s">
        <v>65</v>
      </c>
      <c r="B50" s="92"/>
      <c r="C50" s="76"/>
      <c r="D50" s="77" t="n">
        <v>0</v>
      </c>
      <c r="E50" s="77" t="n">
        <v>0</v>
      </c>
      <c r="F50" s="77" t="n">
        <v>0</v>
      </c>
      <c r="G50" s="77" t="n">
        <v>0</v>
      </c>
      <c r="H50" s="77" t="n">
        <v>0</v>
      </c>
      <c r="I50" s="19"/>
      <c r="J50" s="19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5" hidden="false" customHeight="false" outlineLevel="0" collapsed="false">
      <c r="A51" s="80" t="s">
        <v>53</v>
      </c>
      <c r="B51" s="80"/>
      <c r="C51" s="81" t="n">
        <f aca="false">+C43+C45+C47+C49</f>
        <v>0</v>
      </c>
      <c r="D51" s="81" t="n">
        <f aca="false">+D43+D45+D47+D49</f>
        <v>0</v>
      </c>
      <c r="E51" s="81" t="n">
        <f aca="false">+E43+E45+E47+E49</f>
        <v>0</v>
      </c>
      <c r="F51" s="81" t="n">
        <f aca="false">+F43+F45+F47+F49</f>
        <v>0</v>
      </c>
      <c r="G51" s="81" t="n">
        <f aca="false">+G43+G45+G47+G49</f>
        <v>0</v>
      </c>
      <c r="H51" s="81" t="n">
        <f aca="false">+H43+H45+H47+H49</f>
        <v>0</v>
      </c>
      <c r="I51" s="19"/>
      <c r="J51" s="19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5" hidden="false" customHeight="false" outlineLevel="0" collapsed="false">
      <c r="A52" s="93"/>
      <c r="B52" s="94"/>
      <c r="C52" s="90"/>
      <c r="D52" s="90"/>
      <c r="E52" s="90"/>
      <c r="F52" s="90"/>
      <c r="G52" s="90"/>
      <c r="H52" s="90"/>
      <c r="I52" s="19"/>
      <c r="J52" s="19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5" hidden="false" customHeight="false" outlineLevel="0" collapsed="false">
      <c r="A53" s="93"/>
      <c r="B53" s="94"/>
      <c r="C53" s="90"/>
      <c r="D53" s="90"/>
      <c r="E53" s="90"/>
      <c r="F53" s="90"/>
      <c r="G53" s="90"/>
      <c r="H53" s="90"/>
      <c r="I53" s="19"/>
      <c r="J53" s="19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5" hidden="false" customHeight="false" outlineLevel="0" collapsed="false">
      <c r="A54" s="70" t="s">
        <v>66</v>
      </c>
      <c r="B54" s="70"/>
      <c r="C54" s="64" t="n">
        <f aca="false">+C17</f>
        <v>0</v>
      </c>
      <c r="D54" s="64" t="n">
        <f aca="false">+D17</f>
        <v>0</v>
      </c>
      <c r="E54" s="64" t="n">
        <f aca="false">+E17</f>
        <v>0</v>
      </c>
      <c r="F54" s="64" t="n">
        <f aca="false">+F17</f>
        <v>0</v>
      </c>
      <c r="G54" s="64" t="n">
        <f aca="false">+G17</f>
        <v>0</v>
      </c>
      <c r="H54" s="64" t="n">
        <f aca="false">+H17</f>
        <v>0</v>
      </c>
      <c r="I54" s="19"/>
      <c r="J54" s="19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5" hidden="false" customHeight="false" outlineLevel="0" collapsed="false">
      <c r="A55" s="91" t="s">
        <v>58</v>
      </c>
      <c r="B55" s="72"/>
      <c r="C55" s="74" t="n">
        <v>0</v>
      </c>
      <c r="D55" s="75" t="n">
        <f aca="false">+C55*(1+D56)</f>
        <v>0</v>
      </c>
      <c r="E55" s="75" t="n">
        <f aca="false">+D55*(1+E56)</f>
        <v>0</v>
      </c>
      <c r="F55" s="75" t="n">
        <f aca="false">+E55*(1+F56)</f>
        <v>0</v>
      </c>
      <c r="G55" s="75" t="n">
        <f aca="false">+F55*(1+G56)</f>
        <v>0</v>
      </c>
      <c r="H55" s="75" t="n">
        <f aca="false">+G55*(1+H56)</f>
        <v>0</v>
      </c>
      <c r="I55" s="19"/>
      <c r="J55" s="19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5" hidden="false" customHeight="false" outlineLevel="0" collapsed="false">
      <c r="A56" s="73" t="s">
        <v>59</v>
      </c>
      <c r="B56" s="72"/>
      <c r="C56" s="76"/>
      <c r="D56" s="77" t="n">
        <v>0</v>
      </c>
      <c r="E56" s="77" t="n">
        <v>0</v>
      </c>
      <c r="F56" s="77" t="n">
        <v>0</v>
      </c>
      <c r="G56" s="77" t="n">
        <v>0</v>
      </c>
      <c r="H56" s="77" t="n">
        <v>0</v>
      </c>
      <c r="I56" s="19"/>
      <c r="J56" s="19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5" hidden="false" customHeight="false" outlineLevel="0" collapsed="false">
      <c r="A57" s="91" t="s">
        <v>60</v>
      </c>
      <c r="B57" s="72"/>
      <c r="C57" s="74" t="n">
        <v>0</v>
      </c>
      <c r="D57" s="75" t="n">
        <f aca="false">+C57*(1+D58)</f>
        <v>0</v>
      </c>
      <c r="E57" s="75" t="n">
        <f aca="false">+D57*(1+E58)</f>
        <v>0</v>
      </c>
      <c r="F57" s="75" t="n">
        <f aca="false">+E57*(1+F58)</f>
        <v>0</v>
      </c>
      <c r="G57" s="75" t="n">
        <f aca="false">+F57*(1+G58)</f>
        <v>0</v>
      </c>
      <c r="H57" s="75" t="n">
        <f aca="false">+G57*(1+H58)</f>
        <v>0</v>
      </c>
      <c r="I57" s="19"/>
      <c r="J57" s="19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5" hidden="false" customHeight="false" outlineLevel="0" collapsed="false">
      <c r="A58" s="73" t="s">
        <v>61</v>
      </c>
      <c r="B58" s="72"/>
      <c r="C58" s="76"/>
      <c r="D58" s="77" t="n">
        <v>0</v>
      </c>
      <c r="E58" s="77" t="n">
        <v>0</v>
      </c>
      <c r="F58" s="77" t="n">
        <v>0</v>
      </c>
      <c r="G58" s="77" t="n">
        <v>0</v>
      </c>
      <c r="H58" s="77" t="n">
        <v>0</v>
      </c>
      <c r="I58" s="19"/>
      <c r="J58" s="19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5" hidden="false" customHeight="false" outlineLevel="0" collapsed="false">
      <c r="A59" s="91" t="s">
        <v>62</v>
      </c>
      <c r="B59" s="72"/>
      <c r="C59" s="74" t="n">
        <v>0</v>
      </c>
      <c r="D59" s="75" t="n">
        <f aca="false">+C59*(1+D60)</f>
        <v>0</v>
      </c>
      <c r="E59" s="75" t="n">
        <f aca="false">+D59*(1+E60)</f>
        <v>0</v>
      </c>
      <c r="F59" s="75" t="n">
        <f aca="false">+E59*(1+F60)</f>
        <v>0</v>
      </c>
      <c r="G59" s="75" t="n">
        <f aca="false">+F59*(1+G60)</f>
        <v>0</v>
      </c>
      <c r="H59" s="75" t="n">
        <f aca="false">+G59*(1+H60)</f>
        <v>0</v>
      </c>
      <c r="I59" s="19"/>
      <c r="J59" s="19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5" hidden="false" customHeight="false" outlineLevel="0" collapsed="false">
      <c r="A60" s="73" t="s">
        <v>63</v>
      </c>
      <c r="B60" s="72"/>
      <c r="C60" s="76"/>
      <c r="D60" s="77" t="n">
        <v>0</v>
      </c>
      <c r="E60" s="77" t="n">
        <v>0</v>
      </c>
      <c r="F60" s="77" t="n">
        <v>0</v>
      </c>
      <c r="G60" s="77" t="n">
        <v>0</v>
      </c>
      <c r="H60" s="77" t="n">
        <v>0</v>
      </c>
      <c r="I60" s="19"/>
      <c r="J60" s="19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5" hidden="false" customHeight="false" outlineLevel="0" collapsed="false">
      <c r="A61" s="91" t="s">
        <v>64</v>
      </c>
      <c r="B61" s="72"/>
      <c r="C61" s="74" t="n">
        <v>0</v>
      </c>
      <c r="D61" s="75" t="n">
        <f aca="false">+C61*(1+D62)</f>
        <v>0</v>
      </c>
      <c r="E61" s="75" t="n">
        <f aca="false">+D61*(1+E62)</f>
        <v>0</v>
      </c>
      <c r="F61" s="75" t="n">
        <f aca="false">+E61*(1+F62)</f>
        <v>0</v>
      </c>
      <c r="G61" s="75" t="n">
        <f aca="false">+F61*(1+G62)</f>
        <v>0</v>
      </c>
      <c r="H61" s="75" t="n">
        <f aca="false">+G61*(1+H62)</f>
        <v>0</v>
      </c>
      <c r="I61" s="19"/>
      <c r="J61" s="19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5" hidden="false" customHeight="false" outlineLevel="0" collapsed="false">
      <c r="A62" s="73" t="s">
        <v>65</v>
      </c>
      <c r="B62" s="92"/>
      <c r="C62" s="76"/>
      <c r="D62" s="77" t="n">
        <v>0</v>
      </c>
      <c r="E62" s="77" t="n">
        <v>0</v>
      </c>
      <c r="F62" s="77" t="n">
        <v>0</v>
      </c>
      <c r="G62" s="77" t="n">
        <v>0</v>
      </c>
      <c r="H62" s="77" t="n">
        <v>0</v>
      </c>
      <c r="I62" s="19"/>
      <c r="J62" s="19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5" hidden="false" customHeight="false" outlineLevel="0" collapsed="false">
      <c r="A63" s="80" t="s">
        <v>53</v>
      </c>
      <c r="B63" s="80"/>
      <c r="C63" s="81" t="n">
        <f aca="false">+C55+C57+C59+C61</f>
        <v>0</v>
      </c>
      <c r="D63" s="81" t="n">
        <f aca="false">+D55+D57+D59+D61</f>
        <v>0</v>
      </c>
      <c r="E63" s="81" t="n">
        <f aca="false">+E55+E57+E59+E61</f>
        <v>0</v>
      </c>
      <c r="F63" s="81" t="n">
        <f aca="false">+F55+F57+F59+F61</f>
        <v>0</v>
      </c>
      <c r="G63" s="81" t="n">
        <f aca="false">+G55+G57+G59+G61</f>
        <v>0</v>
      </c>
      <c r="H63" s="81" t="n">
        <f aca="false">+H55+H57+H59+H61</f>
        <v>0</v>
      </c>
      <c r="I63" s="19"/>
      <c r="J63" s="19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5" hidden="false" customHeight="false" outlineLevel="0" collapsed="false">
      <c r="A64" s="93"/>
      <c r="B64" s="94"/>
      <c r="C64" s="90"/>
      <c r="D64" s="90"/>
      <c r="E64" s="90"/>
      <c r="F64" s="90"/>
      <c r="G64" s="90"/>
      <c r="H64" s="90"/>
      <c r="I64" s="19"/>
      <c r="J64" s="19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5" hidden="false" customHeight="false" outlineLevel="0" collapsed="false">
      <c r="A65" s="93"/>
      <c r="B65" s="94"/>
      <c r="C65" s="90"/>
      <c r="D65" s="90"/>
      <c r="E65" s="90"/>
      <c r="F65" s="90"/>
      <c r="G65" s="90"/>
      <c r="H65" s="90"/>
      <c r="I65" s="19"/>
      <c r="J65" s="19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5" hidden="false" customHeight="false" outlineLevel="0" collapsed="false">
      <c r="A66" s="95" t="s">
        <v>67</v>
      </c>
      <c r="B66" s="95"/>
      <c r="C66" s="81" t="n">
        <f aca="false">+C26</f>
        <v>60</v>
      </c>
      <c r="D66" s="81" t="n">
        <f aca="false">+D26</f>
        <v>71976</v>
      </c>
      <c r="E66" s="81" t="n">
        <f aca="false">+E26</f>
        <v>213624.768</v>
      </c>
      <c r="F66" s="81" t="n">
        <f aca="false">+F26</f>
        <v>422122.541568</v>
      </c>
      <c r="G66" s="81" t="n">
        <f aca="false">+G26</f>
        <v>543482.7722688</v>
      </c>
      <c r="H66" s="81" t="n">
        <f aca="false">+H26</f>
        <v>641309.671277184</v>
      </c>
      <c r="I66" s="19"/>
      <c r="J66" s="19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5" hidden="false" customHeight="false" outlineLevel="0" collapsed="false">
      <c r="A67" s="95" t="s">
        <v>68</v>
      </c>
      <c r="B67" s="95"/>
      <c r="C67" s="81" t="n">
        <f aca="false">+C38</f>
        <v>0</v>
      </c>
      <c r="D67" s="81" t="n">
        <f aca="false">+D38</f>
        <v>0</v>
      </c>
      <c r="E67" s="81" t="n">
        <f aca="false">+E38</f>
        <v>0</v>
      </c>
      <c r="F67" s="81" t="n">
        <f aca="false">+F38</f>
        <v>0</v>
      </c>
      <c r="G67" s="81" t="n">
        <f aca="false">+G38</f>
        <v>0</v>
      </c>
      <c r="H67" s="81" t="n">
        <f aca="false">+H38</f>
        <v>0</v>
      </c>
      <c r="I67" s="19"/>
      <c r="J67" s="19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5" hidden="false" customHeight="false" outlineLevel="0" collapsed="false">
      <c r="A68" s="96" t="s">
        <v>69</v>
      </c>
      <c r="B68" s="96"/>
      <c r="C68" s="81" t="n">
        <f aca="false">+C66+C67</f>
        <v>60</v>
      </c>
      <c r="D68" s="81" t="n">
        <f aca="false">+D66+D67</f>
        <v>71976</v>
      </c>
      <c r="E68" s="81" t="n">
        <f aca="false">+E66+E67</f>
        <v>213624.768</v>
      </c>
      <c r="F68" s="81" t="n">
        <f aca="false">+F66+F67</f>
        <v>422122.541568</v>
      </c>
      <c r="G68" s="81" t="n">
        <f aca="false">+G66+G67</f>
        <v>543482.7722688</v>
      </c>
      <c r="H68" s="81" t="n">
        <f aca="false">+H66+H67</f>
        <v>641309.671277184</v>
      </c>
      <c r="I68" s="19"/>
      <c r="J68" s="19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5" hidden="false" customHeight="false" outlineLevel="0" collapsed="false">
      <c r="A69" s="95" t="s">
        <v>70</v>
      </c>
      <c r="B69" s="97" t="n">
        <f aca="false">+Pressupostos!B12</f>
        <v>0.23</v>
      </c>
      <c r="C69" s="81" t="n">
        <f aca="false">+C66*$B$69</f>
        <v>13.8</v>
      </c>
      <c r="D69" s="81" t="n">
        <f aca="false">+D66*$B$69</f>
        <v>16554.48</v>
      </c>
      <c r="E69" s="81" t="n">
        <f aca="false">+E66*$B$69</f>
        <v>49133.69664</v>
      </c>
      <c r="F69" s="81" t="n">
        <f aca="false">+F66*$B$69</f>
        <v>97088.18456064</v>
      </c>
      <c r="G69" s="81" t="n">
        <f aca="false">+G66*$B$69</f>
        <v>125001.037621824</v>
      </c>
      <c r="H69" s="81" t="n">
        <f aca="false">+H66*$B$69</f>
        <v>147501.224393752</v>
      </c>
      <c r="I69" s="19"/>
      <c r="J69" s="19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4" customFormat="true" ht="13.5" hidden="false" customHeight="false" outlineLevel="0" collapsed="false">
      <c r="A70" s="98"/>
      <c r="B70" s="99"/>
      <c r="C70" s="100"/>
      <c r="D70" s="100"/>
      <c r="E70" s="100"/>
      <c r="F70" s="100"/>
      <c r="G70" s="100"/>
      <c r="H70" s="100"/>
      <c r="I70" s="101"/>
      <c r="J70" s="101"/>
    </row>
    <row r="71" s="103" customFormat="true" ht="13.5" hidden="false" customHeight="false" outlineLevel="0" collapsed="false">
      <c r="A71" s="82"/>
      <c r="B71" s="99"/>
      <c r="C71" s="102"/>
      <c r="D71" s="102"/>
      <c r="E71" s="102"/>
      <c r="F71" s="102"/>
      <c r="G71" s="102"/>
      <c r="H71" s="102"/>
      <c r="I71" s="30"/>
      <c r="J71" s="30"/>
    </row>
    <row r="72" customFormat="false" ht="13.5" hidden="false" customHeight="false" outlineLevel="0" collapsed="false">
      <c r="A72" s="104" t="s">
        <v>71</v>
      </c>
      <c r="B72" s="104"/>
      <c r="C72" s="81" t="n">
        <f aca="false">+C51</f>
        <v>0</v>
      </c>
      <c r="D72" s="81" t="n">
        <f aca="false">+D51</f>
        <v>0</v>
      </c>
      <c r="E72" s="81" t="n">
        <f aca="false">+E51</f>
        <v>0</v>
      </c>
      <c r="F72" s="81" t="n">
        <f aca="false">+F51</f>
        <v>0</v>
      </c>
      <c r="G72" s="81" t="n">
        <f aca="false">+G51</f>
        <v>0</v>
      </c>
      <c r="H72" s="81" t="n">
        <f aca="false">+H51</f>
        <v>0</v>
      </c>
      <c r="I72" s="19"/>
      <c r="J72" s="19"/>
    </row>
    <row r="73" customFormat="false" ht="13.5" hidden="false" customHeight="false" outlineLevel="0" collapsed="false">
      <c r="A73" s="105" t="s">
        <v>72</v>
      </c>
      <c r="B73" s="105"/>
      <c r="C73" s="81" t="n">
        <f aca="false">+C63</f>
        <v>0</v>
      </c>
      <c r="D73" s="81" t="n">
        <f aca="false">+D63</f>
        <v>0</v>
      </c>
      <c r="E73" s="81" t="n">
        <f aca="false">+E63</f>
        <v>0</v>
      </c>
      <c r="F73" s="81" t="n">
        <f aca="false">+F63</f>
        <v>0</v>
      </c>
      <c r="G73" s="81" t="n">
        <f aca="false">+G63</f>
        <v>0</v>
      </c>
      <c r="H73" s="81" t="n">
        <f aca="false">+H63</f>
        <v>0</v>
      </c>
      <c r="I73" s="19"/>
      <c r="J73" s="19"/>
    </row>
    <row r="74" customFormat="false" ht="13.5" hidden="false" customHeight="false" outlineLevel="0" collapsed="false">
      <c r="A74" s="96" t="s">
        <v>73</v>
      </c>
      <c r="B74" s="96"/>
      <c r="C74" s="81" t="n">
        <f aca="false">+C72+C73</f>
        <v>0</v>
      </c>
      <c r="D74" s="81" t="n">
        <f aca="false">+D72+D73</f>
        <v>0</v>
      </c>
      <c r="E74" s="81" t="n">
        <f aca="false">+E72+E73</f>
        <v>0</v>
      </c>
      <c r="F74" s="81" t="n">
        <f aca="false">+F72+F73</f>
        <v>0</v>
      </c>
      <c r="G74" s="81" t="n">
        <f aca="false">+G72+G73</f>
        <v>0</v>
      </c>
      <c r="H74" s="81" t="n">
        <f aca="false">+H72+H73</f>
        <v>0</v>
      </c>
      <c r="I74" s="19"/>
      <c r="J74" s="19"/>
    </row>
    <row r="75" customFormat="false" ht="13.5" hidden="false" customHeight="false" outlineLevel="0" collapsed="false">
      <c r="A75" s="95" t="s">
        <v>74</v>
      </c>
      <c r="B75" s="97" t="n">
        <f aca="false">+Pressupostos!B13</f>
        <v>0.23</v>
      </c>
      <c r="C75" s="81" t="n">
        <f aca="false">+C72*$B$75</f>
        <v>0</v>
      </c>
      <c r="D75" s="81" t="n">
        <f aca="false">+D72*$B$75</f>
        <v>0</v>
      </c>
      <c r="E75" s="81" t="n">
        <f aca="false">+E72*$B$75</f>
        <v>0</v>
      </c>
      <c r="F75" s="81" t="n">
        <f aca="false">+F72*$B$75</f>
        <v>0</v>
      </c>
      <c r="G75" s="81" t="n">
        <f aca="false">+G72*$B$75</f>
        <v>0</v>
      </c>
      <c r="H75" s="81" t="n">
        <f aca="false">+H72*$B$75</f>
        <v>0</v>
      </c>
      <c r="I75" s="19"/>
      <c r="J75" s="19"/>
    </row>
    <row r="76" customFormat="false" ht="13.5" hidden="false" customHeight="false" outlineLevel="0" collapsed="false">
      <c r="A76" s="93"/>
      <c r="B76" s="94"/>
      <c r="C76" s="90"/>
      <c r="D76" s="90"/>
      <c r="E76" s="90"/>
      <c r="F76" s="90"/>
      <c r="G76" s="90"/>
      <c r="H76" s="90"/>
      <c r="I76" s="19"/>
      <c r="J76" s="19"/>
    </row>
    <row r="77" customFormat="false" ht="13.5" hidden="false" customHeight="false" outlineLevel="0" collapsed="false">
      <c r="A77" s="106" t="s">
        <v>75</v>
      </c>
      <c r="B77" s="106"/>
      <c r="C77" s="81" t="n">
        <f aca="false">+C68+C74</f>
        <v>60</v>
      </c>
      <c r="D77" s="81" t="n">
        <f aca="false">+D68+D74</f>
        <v>71976</v>
      </c>
      <c r="E77" s="81" t="n">
        <f aca="false">+E68+E74</f>
        <v>213624.768</v>
      </c>
      <c r="F77" s="81" t="n">
        <f aca="false">+F68+F74</f>
        <v>422122.541568</v>
      </c>
      <c r="G77" s="81" t="n">
        <f aca="false">+G68+G74</f>
        <v>543482.7722688</v>
      </c>
      <c r="H77" s="81" t="n">
        <f aca="false">+H68+H74</f>
        <v>641309.671277184</v>
      </c>
      <c r="I77" s="19"/>
      <c r="J77" s="19"/>
    </row>
    <row r="78" customFormat="false" ht="13.5" hidden="false" customHeight="false" outlineLevel="0" collapsed="false">
      <c r="A78" s="93"/>
      <c r="B78" s="89"/>
      <c r="C78" s="90"/>
      <c r="D78" s="90"/>
      <c r="E78" s="90"/>
      <c r="F78" s="90"/>
      <c r="G78" s="90"/>
      <c r="H78" s="90"/>
      <c r="I78" s="19"/>
      <c r="J78" s="19"/>
    </row>
    <row r="79" customFormat="false" ht="13.5" hidden="false" customHeight="false" outlineLevel="0" collapsed="false">
      <c r="A79" s="64" t="s">
        <v>76</v>
      </c>
      <c r="B79" s="64"/>
      <c r="C79" s="75" t="n">
        <f aca="false">+C69+C75</f>
        <v>13.8</v>
      </c>
      <c r="D79" s="75" t="n">
        <f aca="false">+D69+D75</f>
        <v>16554.48</v>
      </c>
      <c r="E79" s="75" t="n">
        <f aca="false">+E69+E75</f>
        <v>49133.69664</v>
      </c>
      <c r="F79" s="75" t="n">
        <f aca="false">+F69+F75</f>
        <v>97088.18456064</v>
      </c>
      <c r="G79" s="75" t="n">
        <f aca="false">+G69+G75</f>
        <v>125001.037621824</v>
      </c>
      <c r="H79" s="75" t="n">
        <f aca="false">+H69+H75</f>
        <v>147501.224393752</v>
      </c>
      <c r="I79" s="19"/>
      <c r="J79" s="19"/>
    </row>
    <row r="80" customFormat="false" ht="13.5" hidden="false" customHeight="false" outlineLevel="0" collapsed="false">
      <c r="A80" s="19"/>
      <c r="B80" s="19"/>
      <c r="C80" s="19"/>
      <c r="D80" s="19"/>
      <c r="E80" s="19"/>
      <c r="F80" s="19"/>
      <c r="G80" s="19"/>
      <c r="H80" s="19"/>
      <c r="I80" s="19"/>
      <c r="J80" s="19"/>
    </row>
    <row r="81" customFormat="false" ht="13.5" hidden="false" customHeight="false" outlineLevel="0" collapsed="false">
      <c r="A81" s="106" t="s">
        <v>77</v>
      </c>
      <c r="B81" s="106"/>
      <c r="C81" s="81" t="n">
        <f aca="false">+C77+C79</f>
        <v>73.8</v>
      </c>
      <c r="D81" s="81" t="n">
        <f aca="false">+D77+D79</f>
        <v>88530.48</v>
      </c>
      <c r="E81" s="81" t="n">
        <f aca="false">+E77+E79</f>
        <v>262758.46464</v>
      </c>
      <c r="F81" s="81" t="n">
        <f aca="false">+F77+F79</f>
        <v>519210.72612864</v>
      </c>
      <c r="G81" s="81" t="n">
        <f aca="false">+G77+G79</f>
        <v>668483.809890624</v>
      </c>
      <c r="H81" s="81" t="n">
        <f aca="false">+H77+H79</f>
        <v>788810.895670936</v>
      </c>
      <c r="I81" s="19"/>
      <c r="J81" s="19"/>
    </row>
  </sheetData>
  <mergeCells count="19">
    <mergeCell ref="A3:H3"/>
    <mergeCell ref="A5:B5"/>
    <mergeCell ref="A9:B9"/>
    <mergeCell ref="A26:B26"/>
    <mergeCell ref="A29:B29"/>
    <mergeCell ref="A38:B38"/>
    <mergeCell ref="A42:B42"/>
    <mergeCell ref="A51:B51"/>
    <mergeCell ref="A54:B54"/>
    <mergeCell ref="A63:B63"/>
    <mergeCell ref="A66:B66"/>
    <mergeCell ref="A67:B67"/>
    <mergeCell ref="A68:B68"/>
    <mergeCell ref="A72:B72"/>
    <mergeCell ref="A73:B73"/>
    <mergeCell ref="A74:B74"/>
    <mergeCell ref="A77:B77"/>
    <mergeCell ref="A79:B79"/>
    <mergeCell ref="A81:B81"/>
  </mergeCells>
  <printOptions headings="false" gridLines="false" gridLinesSet="true" horizontalCentered="true" verticalCentered="false"/>
  <pageMargins left="0.75" right="0.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RowHeight="13.5"/>
  <cols>
    <col collapsed="false" hidden="false" max="1" min="1" style="56" width="40.1607142857143"/>
    <col collapsed="false" hidden="false" max="2" min="2" style="56" width="7.67857142857143"/>
    <col collapsed="false" hidden="false" max="14" min="3" style="56" width="11.2232142857143"/>
    <col collapsed="false" hidden="false" max="1025" min="15" style="56" width="8.74107142857143"/>
  </cols>
  <sheetData>
    <row r="1" customFormat="false" ht="14.25" hidden="false" customHeight="false" outlineLevel="0" collapsed="false">
      <c r="A1" s="20" t="s">
        <v>78</v>
      </c>
      <c r="B1" s="57" t="str">
        <f aca="false">+Pressupostos!B1</f>
        <v>Herbawatter</v>
      </c>
      <c r="C1" s="58"/>
      <c r="D1" s="58"/>
      <c r="E1" s="58"/>
      <c r="F1" s="58"/>
      <c r="G1" s="58"/>
      <c r="H1" s="58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2" customFormat="true" ht="13.5" hidden="false" customHeight="false" outlineLevel="0" collapsed="false">
      <c r="A2" s="59"/>
      <c r="B2" s="60"/>
      <c r="C2" s="60"/>
      <c r="D2" s="60"/>
      <c r="E2" s="60"/>
      <c r="F2" s="60"/>
      <c r="G2" s="60"/>
      <c r="H2" s="61" t="str">
        <f aca="false">+Pressupostos!B6</f>
        <v>(valores em euros)</v>
      </c>
      <c r="I2" s="107"/>
    </row>
    <row r="3" customFormat="false" ht="13.5" hidden="false" customHeight="false" outlineLevel="0" collapsed="false">
      <c r="A3" s="23" t="s">
        <v>79</v>
      </c>
      <c r="B3" s="23"/>
      <c r="C3" s="23"/>
      <c r="D3" s="23"/>
      <c r="E3" s="23"/>
      <c r="F3" s="23"/>
      <c r="G3" s="23"/>
      <c r="H3" s="23"/>
      <c r="I3" s="19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5" hidden="false" customHeight="false" outlineLevel="0" collapsed="false">
      <c r="A4" s="63"/>
      <c r="B4" s="63"/>
      <c r="C4" s="63"/>
      <c r="D4" s="63"/>
      <c r="E4" s="63"/>
      <c r="F4" s="63"/>
      <c r="G4" s="63"/>
      <c r="H4" s="63"/>
      <c r="I4" s="19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5" hidden="false" customHeight="false" outlineLevel="0" collapsed="false">
      <c r="A5" s="19"/>
      <c r="B5" s="19"/>
      <c r="C5" s="19"/>
      <c r="D5" s="19"/>
      <c r="E5" s="19"/>
      <c r="F5" s="19"/>
      <c r="G5" s="19"/>
      <c r="H5" s="19"/>
      <c r="I5" s="19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5.5" hidden="false" customHeight="false" outlineLevel="0" collapsed="false">
      <c r="A6" s="108" t="s">
        <v>80</v>
      </c>
      <c r="B6" s="109" t="s">
        <v>81</v>
      </c>
      <c r="C6" s="110" t="n">
        <f aca="false">+VN!C5</f>
        <v>2016</v>
      </c>
      <c r="D6" s="110" t="n">
        <f aca="false">+VN!D5</f>
        <v>2017</v>
      </c>
      <c r="E6" s="110" t="n">
        <f aca="false">+VN!E5</f>
        <v>2018</v>
      </c>
      <c r="F6" s="110" t="n">
        <f aca="false">+VN!F5</f>
        <v>2019</v>
      </c>
      <c r="G6" s="110" t="n">
        <f aca="false">+VN!G5</f>
        <v>2020</v>
      </c>
      <c r="H6" s="110" t="n">
        <f aca="false">+VN!H5</f>
        <v>2021</v>
      </c>
      <c r="I6" s="19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5" hidden="false" customHeight="false" outlineLevel="0" collapsed="false">
      <c r="A7" s="91" t="s">
        <v>82</v>
      </c>
      <c r="B7" s="111" t="n">
        <v>0.68</v>
      </c>
      <c r="C7" s="112" t="n">
        <f aca="false">VN!C10*(1-CMVMC!$B$7)</f>
        <v>19.2</v>
      </c>
      <c r="D7" s="112" t="n">
        <f aca="false">VN!D10*(1-CMVMC!$B$7)</f>
        <v>23032.32</v>
      </c>
      <c r="E7" s="112" t="n">
        <f aca="false">VN!E10*(1-CMVMC!$B$7)</f>
        <v>68359.92576</v>
      </c>
      <c r="F7" s="112" t="n">
        <f aca="false">VN!F10*(1-CMVMC!$B$7)</f>
        <v>135079.21330176</v>
      </c>
      <c r="G7" s="112" t="n">
        <f aca="false">VN!G10*(1-CMVMC!$B$7)</f>
        <v>173914.487126016</v>
      </c>
      <c r="H7" s="112" t="n">
        <f aca="false">VN!H10*(1-CMVMC!$B$7)</f>
        <v>205219.094808699</v>
      </c>
      <c r="I7" s="19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5" hidden="false" customHeight="false" outlineLevel="0" collapsed="false">
      <c r="A8" s="91" t="s">
        <v>83</v>
      </c>
      <c r="B8" s="113" t="n">
        <v>0</v>
      </c>
      <c r="C8" s="112" t="n">
        <f aca="false">VN!C14*(1-CMVMC!$B$8)</f>
        <v>0</v>
      </c>
      <c r="D8" s="112" t="n">
        <f aca="false">VN!D14*(1-CMVMC!$B$8)</f>
        <v>0</v>
      </c>
      <c r="E8" s="112" t="n">
        <f aca="false">VN!E14*(1-CMVMC!$B$8)</f>
        <v>0</v>
      </c>
      <c r="F8" s="112" t="n">
        <f aca="false">VN!F14*(1-CMVMC!$B$8)</f>
        <v>0</v>
      </c>
      <c r="G8" s="112" t="n">
        <f aca="false">VN!G14*(1-CMVMC!$B$8)</f>
        <v>0</v>
      </c>
      <c r="H8" s="112" t="n">
        <f aca="false">VN!H14*(1-CMVMC!$B$8)</f>
        <v>0</v>
      </c>
      <c r="I8" s="19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5" hidden="false" customHeight="false" outlineLevel="0" collapsed="false">
      <c r="A9" s="91" t="s">
        <v>84</v>
      </c>
      <c r="B9" s="113" t="n">
        <v>0</v>
      </c>
      <c r="C9" s="112" t="n">
        <f aca="false">VN!C18*(1-CMVMC!$B$9)</f>
        <v>0</v>
      </c>
      <c r="D9" s="112" t="n">
        <f aca="false">VN!D18*(1-CMVMC!$B$9)</f>
        <v>0</v>
      </c>
      <c r="E9" s="112" t="n">
        <f aca="false">VN!E18*(1-CMVMC!$B$9)</f>
        <v>0</v>
      </c>
      <c r="F9" s="112" t="n">
        <f aca="false">VN!F18*(1-CMVMC!$B$9)</f>
        <v>0</v>
      </c>
      <c r="G9" s="112" t="n">
        <f aca="false">VN!G18*(1-CMVMC!$B$9)</f>
        <v>0</v>
      </c>
      <c r="H9" s="112" t="n">
        <f aca="false">VN!H18*(1-CMVMC!$B$9)</f>
        <v>0</v>
      </c>
      <c r="I9" s="19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5" hidden="false" customHeight="false" outlineLevel="0" collapsed="false">
      <c r="A10" s="91" t="s">
        <v>85</v>
      </c>
      <c r="B10" s="113" t="n">
        <v>0</v>
      </c>
      <c r="C10" s="112" t="n">
        <f aca="false">VN!C22*(1-CMVMC!$B$10)</f>
        <v>0</v>
      </c>
      <c r="D10" s="112" t="n">
        <f aca="false">VN!D22*(1-CMVMC!$B$10)</f>
        <v>0</v>
      </c>
      <c r="E10" s="112" t="n">
        <f aca="false">VN!E22*(1-CMVMC!$B$10)</f>
        <v>0</v>
      </c>
      <c r="F10" s="112" t="n">
        <f aca="false">VN!F22*(1-CMVMC!$B$10)</f>
        <v>0</v>
      </c>
      <c r="G10" s="112" t="n">
        <f aca="false">VN!G22*(1-CMVMC!$B$10)</f>
        <v>0</v>
      </c>
      <c r="H10" s="112" t="n">
        <f aca="false">VN!H22*(1-CMVMC!$B$10)</f>
        <v>0</v>
      </c>
      <c r="I10" s="19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5" hidden="false" customHeight="false" outlineLevel="0" collapsed="false">
      <c r="A11" s="106" t="s">
        <v>86</v>
      </c>
      <c r="B11" s="106"/>
      <c r="C11" s="81" t="n">
        <f aca="false">SUM(C7:C10)</f>
        <v>19.2</v>
      </c>
      <c r="D11" s="81" t="n">
        <f aca="false">SUM(D7:D10)</f>
        <v>23032.32</v>
      </c>
      <c r="E11" s="81" t="n">
        <f aca="false">SUM(E7:E10)</f>
        <v>68359.92576</v>
      </c>
      <c r="F11" s="81" t="n">
        <f aca="false">SUM(F7:F10)</f>
        <v>135079.21330176</v>
      </c>
      <c r="G11" s="81" t="n">
        <f aca="false">SUM(G7:G10)</f>
        <v>173914.487126016</v>
      </c>
      <c r="H11" s="81" t="n">
        <f aca="false">SUM(H7:H10)</f>
        <v>205219.094808699</v>
      </c>
      <c r="I11" s="19"/>
      <c r="J11" s="56" t="n">
        <v>1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62" customFormat="true" ht="13.5" hidden="false" customHeight="false" outlineLevel="0" collapsed="false">
      <c r="A12" s="86"/>
      <c r="B12" s="86"/>
      <c r="C12" s="87"/>
      <c r="D12" s="87"/>
      <c r="E12" s="87"/>
      <c r="F12" s="87"/>
      <c r="G12" s="87"/>
      <c r="H12" s="87"/>
      <c r="I12" s="107"/>
      <c r="J12" s="62" t="n">
        <f aca="false">C7/VN!C10</f>
        <v>0.32</v>
      </c>
    </row>
    <row r="13" customFormat="false" ht="13.5" hidden="false" customHeight="false" outlineLevel="0" collapsed="false">
      <c r="A13" s="66" t="s">
        <v>76</v>
      </c>
      <c r="B13" s="114" t="n">
        <f aca="false">+Pressupostos!B14</f>
        <v>0.23</v>
      </c>
      <c r="C13" s="75" t="n">
        <f aca="false">+C11*$B$13</f>
        <v>4.416</v>
      </c>
      <c r="D13" s="75" t="n">
        <f aca="false">+D11*$B$13</f>
        <v>5297.4336</v>
      </c>
      <c r="E13" s="75" t="n">
        <f aca="false">+E11*$B$13</f>
        <v>15722.7829248</v>
      </c>
      <c r="F13" s="75" t="n">
        <f aca="false">+F11*$B$13</f>
        <v>31068.2190594048</v>
      </c>
      <c r="G13" s="75" t="n">
        <f aca="false">+G11*$B$13</f>
        <v>40000.3320389837</v>
      </c>
      <c r="H13" s="75" t="n">
        <f aca="false">+H11*$B$13</f>
        <v>47200.3918060007</v>
      </c>
      <c r="I13" s="19"/>
      <c r="J13" s="56" t="n">
        <f aca="false">J11-J12</f>
        <v>0.68</v>
      </c>
    </row>
    <row r="14" customFormat="false" ht="13.5" hidden="false" customHeight="false" outlineLevel="0" collapsed="false">
      <c r="A14" s="19"/>
      <c r="B14" s="19"/>
      <c r="C14" s="19"/>
      <c r="D14" s="19"/>
      <c r="E14" s="19"/>
      <c r="F14" s="19"/>
      <c r="G14" s="19"/>
      <c r="H14" s="19"/>
      <c r="I14" s="19"/>
    </row>
    <row r="15" customFormat="false" ht="13.5" hidden="false" customHeight="false" outlineLevel="0" collapsed="false">
      <c r="A15" s="106" t="s">
        <v>87</v>
      </c>
      <c r="B15" s="106"/>
      <c r="C15" s="81" t="n">
        <f aca="false">+C11+C13</f>
        <v>23.616</v>
      </c>
      <c r="D15" s="81" t="n">
        <f aca="false">+D11+D13</f>
        <v>28329.7536</v>
      </c>
      <c r="E15" s="81" t="n">
        <f aca="false">+E11+E13</f>
        <v>84082.7086848</v>
      </c>
      <c r="F15" s="81" t="n">
        <f aca="false">+F11+F13</f>
        <v>166147.432361165</v>
      </c>
      <c r="G15" s="81" t="n">
        <f aca="false">+G11+G13</f>
        <v>213914.819165</v>
      </c>
      <c r="H15" s="81" t="n">
        <f aca="false">+H11+H13</f>
        <v>252419.4866147</v>
      </c>
      <c r="I15" s="19"/>
    </row>
    <row r="16" customFormat="false" ht="13.5" hidden="false" customHeight="false" outlineLevel="0" collapsed="false">
      <c r="A16" s="19"/>
      <c r="B16" s="19"/>
      <c r="C16" s="19"/>
      <c r="D16" s="19"/>
      <c r="E16" s="19"/>
      <c r="F16" s="19"/>
      <c r="G16" s="19"/>
      <c r="H16" s="19"/>
      <c r="I16" s="19"/>
    </row>
    <row r="17" customFormat="false" ht="13.5" hidden="false" customHeight="false" outlineLevel="0" collapsed="false">
      <c r="A17" s="19"/>
      <c r="B17" s="19"/>
      <c r="C17" s="19"/>
      <c r="D17" s="19"/>
      <c r="E17" s="19"/>
      <c r="F17" s="19"/>
      <c r="G17" s="19"/>
      <c r="H17" s="19"/>
      <c r="I17" s="19"/>
    </row>
    <row r="18" customFormat="false" ht="13.5" hidden="false" customHeight="false" outlineLevel="0" collapsed="false">
      <c r="A18" s="115" t="s">
        <v>88</v>
      </c>
      <c r="B18" s="19"/>
      <c r="C18" s="19"/>
      <c r="D18" s="19"/>
      <c r="E18" s="19"/>
      <c r="F18" s="19"/>
      <c r="G18" s="19"/>
      <c r="H18" s="19"/>
      <c r="I18" s="19"/>
    </row>
    <row r="19" customFormat="false" ht="13.5" hidden="false" customHeight="false" outlineLevel="0" collapsed="false">
      <c r="A19" s="116" t="s">
        <v>89</v>
      </c>
      <c r="B19" s="19"/>
      <c r="C19" s="19"/>
      <c r="D19" s="19"/>
      <c r="E19" s="19"/>
      <c r="F19" s="19"/>
      <c r="G19" s="19"/>
      <c r="H19" s="19"/>
      <c r="I19" s="19"/>
    </row>
    <row r="20" customFormat="false" ht="13.5" hidden="false" customHeight="false" outlineLevel="0" collapsed="false">
      <c r="A20" s="116" t="s">
        <v>90</v>
      </c>
      <c r="B20" s="19"/>
      <c r="C20" s="19"/>
      <c r="D20" s="19"/>
      <c r="E20" s="19"/>
      <c r="F20" s="19"/>
      <c r="G20" s="19"/>
      <c r="H20" s="19"/>
      <c r="I20" s="19"/>
    </row>
    <row r="21" customFormat="false" ht="13.5" hidden="false" customHeight="false" outlineLevel="0" collapsed="false">
      <c r="A21" s="116" t="s">
        <v>91</v>
      </c>
      <c r="B21" s="19"/>
      <c r="C21" s="19"/>
      <c r="D21" s="19"/>
      <c r="E21" s="19"/>
      <c r="F21" s="19"/>
      <c r="G21" s="19"/>
      <c r="H21" s="19"/>
      <c r="I21" s="19"/>
    </row>
    <row r="22" customFormat="false" ht="13.5" hidden="false" customHeight="false" outlineLevel="0" collapsed="false">
      <c r="A22" s="115" t="s">
        <v>92</v>
      </c>
      <c r="B22" s="19"/>
      <c r="C22" s="19"/>
      <c r="D22" s="19"/>
      <c r="E22" s="19"/>
      <c r="F22" s="19"/>
      <c r="G22" s="19"/>
      <c r="H22" s="19"/>
      <c r="I22" s="19"/>
    </row>
  </sheetData>
  <mergeCells count="3">
    <mergeCell ref="A3:H3"/>
    <mergeCell ref="A11:B11"/>
    <mergeCell ref="A15:B15"/>
  </mergeCells>
  <printOptions headings="false" gridLines="false" gridLinesSet="true" horizontalCentered="true" verticalCentered="false"/>
  <pageMargins left="0.75" right="0.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51"/>
  <sheetViews>
    <sheetView windowProtection="false" showFormulas="false" showGridLines="fals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F38" activeCellId="0" sqref="F38"/>
    </sheetView>
  </sheetViews>
  <sheetFormatPr defaultRowHeight="12.75"/>
  <cols>
    <col collapsed="false" hidden="false" max="1" min="1" style="19" width="29.53125"/>
    <col collapsed="false" hidden="false" max="4" min="2" style="19" width="6.25892857142857"/>
    <col collapsed="false" hidden="false" max="5" min="5" style="19" width="11.6919642857143"/>
    <col collapsed="false" hidden="false" max="14" min="6" style="19" width="11.2232142857143"/>
    <col collapsed="false" hidden="false" max="1025" min="15" style="19" width="8.74107142857143"/>
  </cols>
  <sheetData>
    <row r="1" customFormat="false" ht="13.5" hidden="false" customHeight="false" outlineLevel="0" collapsed="false">
      <c r="A1" s="117" t="str">
        <f aca="false">+VN!A1</f>
        <v>Empresa:</v>
      </c>
      <c r="B1" s="57" t="str">
        <f aca="false">+Pressupostos!B1</f>
        <v>Herbawatter</v>
      </c>
      <c r="C1" s="57"/>
      <c r="D1" s="57"/>
      <c r="E1" s="58"/>
      <c r="F1" s="58"/>
      <c r="G1" s="58"/>
      <c r="H1" s="58"/>
      <c r="I1" s="58"/>
      <c r="J1" s="58"/>
      <c r="K1" s="58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07" customFormat="true" ht="12.75" hidden="false" customHeight="false" outlineLevel="0" collapsed="false">
      <c r="A2" s="59"/>
      <c r="B2" s="59"/>
      <c r="C2" s="59"/>
      <c r="D2" s="59"/>
      <c r="E2" s="60"/>
      <c r="F2" s="60"/>
      <c r="G2" s="60"/>
      <c r="H2" s="60"/>
      <c r="I2" s="60"/>
      <c r="J2" s="60"/>
      <c r="K2" s="118" t="str">
        <f aca="false">+Pressupostos!B6</f>
        <v>(valores em euros)</v>
      </c>
    </row>
    <row r="3" customFormat="false" ht="12.75" hidden="false" customHeight="false" outlineLevel="0" collapsed="false">
      <c r="A3" s="23" t="s">
        <v>93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customFormat="false" ht="12.7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 customFormat="false" ht="12.7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2.75" hidden="false" customHeight="false" outlineLevel="0" collapsed="false">
      <c r="A6" s="66"/>
      <c r="B6" s="119"/>
      <c r="C6" s="119"/>
      <c r="D6" s="119"/>
      <c r="E6" s="120"/>
      <c r="F6" s="64" t="n">
        <f aca="false">+VN!C5</f>
        <v>2016</v>
      </c>
      <c r="G6" s="64" t="n">
        <f aca="false">+VN!D5</f>
        <v>2017</v>
      </c>
      <c r="H6" s="64" t="n">
        <f aca="false">+VN!E5</f>
        <v>2018</v>
      </c>
      <c r="I6" s="64" t="n">
        <f aca="false">+VN!F5</f>
        <v>2019</v>
      </c>
      <c r="J6" s="64" t="n">
        <f aca="false">+VN!G5</f>
        <v>2020</v>
      </c>
      <c r="K6" s="64" t="n">
        <f aca="false">+VN!H5</f>
        <v>2021</v>
      </c>
    </row>
    <row r="7" customFormat="false" ht="12.75" hidden="false" customHeight="false" outlineLevel="0" collapsed="false">
      <c r="A7" s="121" t="s">
        <v>94</v>
      </c>
      <c r="B7" s="122"/>
      <c r="C7" s="123"/>
      <c r="D7" s="123"/>
      <c r="E7" s="124"/>
      <c r="F7" s="125" t="n">
        <v>3</v>
      </c>
      <c r="G7" s="125" t="n">
        <v>12</v>
      </c>
      <c r="H7" s="125" t="n">
        <v>12</v>
      </c>
      <c r="I7" s="125" t="n">
        <v>12</v>
      </c>
      <c r="J7" s="125" t="n">
        <v>12</v>
      </c>
      <c r="K7" s="125" t="n">
        <v>12</v>
      </c>
    </row>
    <row r="8" customFormat="false" ht="12.75" hidden="false" customHeight="false" outlineLevel="0" collapsed="false">
      <c r="A8" s="121" t="s">
        <v>95</v>
      </c>
      <c r="B8" s="122"/>
      <c r="C8" s="123"/>
      <c r="D8" s="123"/>
      <c r="E8" s="124"/>
      <c r="F8" s="126" t="n">
        <v>0</v>
      </c>
      <c r="G8" s="69" t="n">
        <v>0.6</v>
      </c>
      <c r="H8" s="69" t="n">
        <v>0.3</v>
      </c>
      <c r="I8" s="69" t="n">
        <v>0.25</v>
      </c>
      <c r="J8" s="69" t="n">
        <v>0.15</v>
      </c>
      <c r="K8" s="69" t="n">
        <v>0.1</v>
      </c>
    </row>
    <row r="9" customFormat="false" ht="12.75" hidden="false" customHeight="false" outlineLevel="0" collapsed="false">
      <c r="A9" s="19" t="s">
        <v>78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customFormat="false" ht="12.7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customFormat="false" ht="12.75" hidden="false" customHeight="false" outlineLevel="0" collapsed="false">
      <c r="A11" s="66"/>
      <c r="B11" s="64" t="s">
        <v>96</v>
      </c>
      <c r="C11" s="64" t="s">
        <v>97</v>
      </c>
      <c r="D11" s="64" t="s">
        <v>98</v>
      </c>
      <c r="E11" s="64" t="s">
        <v>99</v>
      </c>
      <c r="F11" s="64" t="n">
        <f aca="false">+VN!C5</f>
        <v>2016</v>
      </c>
      <c r="G11" s="64" t="n">
        <f aca="false">+VN!D5</f>
        <v>2017</v>
      </c>
      <c r="H11" s="64" t="n">
        <f aca="false">+VN!E5</f>
        <v>2018</v>
      </c>
      <c r="I11" s="64" t="n">
        <f aca="false">+VN!F5</f>
        <v>2019</v>
      </c>
      <c r="J11" s="64" t="n">
        <f aca="false">+VN!G5</f>
        <v>2020</v>
      </c>
      <c r="K11" s="64" t="n">
        <f aca="false">+VN!H5</f>
        <v>2021</v>
      </c>
    </row>
    <row r="12" customFormat="false" ht="12.75" hidden="false" customHeight="false" outlineLevel="0" collapsed="false">
      <c r="A12" s="28" t="s">
        <v>100</v>
      </c>
      <c r="B12" s="127" t="n">
        <v>0.23</v>
      </c>
      <c r="C12" s="128" t="n">
        <f aca="false">1-D12</f>
        <v>1</v>
      </c>
      <c r="D12" s="127" t="n">
        <v>0</v>
      </c>
      <c r="E12" s="129" t="n">
        <v>0</v>
      </c>
      <c r="F12" s="75" t="n">
        <f aca="false">+E12*$F$7</f>
        <v>0</v>
      </c>
      <c r="G12" s="75" t="n">
        <f aca="false">+E12*$G$7*(1+$G$8)</f>
        <v>0</v>
      </c>
      <c r="H12" s="75" t="n">
        <f aca="false">+G12*(1+$H$8)</f>
        <v>0</v>
      </c>
      <c r="I12" s="75" t="n">
        <f aca="false">+H12*(1+$I$8)</f>
        <v>0</v>
      </c>
      <c r="J12" s="75" t="n">
        <f aca="false">+I12*(1+$J$8)</f>
        <v>0</v>
      </c>
      <c r="K12" s="75" t="n">
        <f aca="false">+J12*(1+$K$8)</f>
        <v>0</v>
      </c>
    </row>
    <row r="13" customFormat="false" ht="12.75" hidden="false" customHeight="false" outlineLevel="0" collapsed="false">
      <c r="A13" s="130" t="s">
        <v>101</v>
      </c>
      <c r="B13" s="127" t="n">
        <v>0.23</v>
      </c>
      <c r="C13" s="128" t="n">
        <f aca="false">1-D13</f>
        <v>1</v>
      </c>
      <c r="D13" s="127" t="n">
        <v>0</v>
      </c>
      <c r="E13" s="129" t="n">
        <v>0</v>
      </c>
      <c r="F13" s="75" t="n">
        <f aca="false">+E13*$F$7</f>
        <v>0</v>
      </c>
      <c r="G13" s="75" t="n">
        <f aca="false">+E13*$G$7*(1+$G$8)</f>
        <v>0</v>
      </c>
      <c r="H13" s="75" t="n">
        <f aca="false">+G13*(1+$H$8)</f>
        <v>0</v>
      </c>
      <c r="I13" s="75" t="n">
        <f aca="false">+H13*(1+$I$8)</f>
        <v>0</v>
      </c>
      <c r="J13" s="75" t="n">
        <f aca="false">+I13*(1+$J$8)</f>
        <v>0</v>
      </c>
      <c r="K13" s="75" t="n">
        <f aca="false">+J13*(1+$K$8)</f>
        <v>0</v>
      </c>
    </row>
    <row r="14" customFormat="false" ht="12.75" hidden="false" customHeight="false" outlineLevel="0" collapsed="false">
      <c r="A14" s="130" t="s">
        <v>102</v>
      </c>
      <c r="B14" s="127" t="n">
        <v>0.23</v>
      </c>
      <c r="C14" s="128" t="n">
        <f aca="false">1-D14</f>
        <v>1</v>
      </c>
      <c r="D14" s="127" t="n">
        <v>0</v>
      </c>
      <c r="E14" s="129" t="n">
        <v>0</v>
      </c>
      <c r="F14" s="75" t="n">
        <f aca="false">+E14*$F$7</f>
        <v>0</v>
      </c>
      <c r="G14" s="75" t="n">
        <f aca="false">+E14*$G$7*(1+$G$8)</f>
        <v>0</v>
      </c>
      <c r="H14" s="75" t="n">
        <f aca="false">+G14*(1+$H$8)</f>
        <v>0</v>
      </c>
      <c r="I14" s="75" t="n">
        <f aca="false">+H14*(1+$I$8)</f>
        <v>0</v>
      </c>
      <c r="J14" s="75" t="n">
        <f aca="false">+I14*(1+$J$8)</f>
        <v>0</v>
      </c>
      <c r="K14" s="75" t="n">
        <f aca="false">+J14*(1+$K$8)</f>
        <v>0</v>
      </c>
    </row>
    <row r="15" customFormat="false" ht="12.75" hidden="false" customHeight="false" outlineLevel="0" collapsed="false">
      <c r="A15" s="130" t="s">
        <v>103</v>
      </c>
      <c r="B15" s="127" t="n">
        <v>0.06</v>
      </c>
      <c r="C15" s="128" t="n">
        <f aca="false">1-D15</f>
        <v>1</v>
      </c>
      <c r="D15" s="127" t="n">
        <v>0</v>
      </c>
      <c r="E15" s="129" t="n">
        <v>0</v>
      </c>
      <c r="F15" s="75" t="n">
        <f aca="false">+E15*$F$7</f>
        <v>0</v>
      </c>
      <c r="G15" s="75" t="n">
        <f aca="false">+E15*$G$7*(1+$G$8)</f>
        <v>0</v>
      </c>
      <c r="H15" s="75" t="n">
        <f aca="false">+G15*(1+$H$8)</f>
        <v>0</v>
      </c>
      <c r="I15" s="75" t="n">
        <f aca="false">+H15*(1+$I$8)</f>
        <v>0</v>
      </c>
      <c r="J15" s="75" t="n">
        <f aca="false">+I15*(1+$J$8)</f>
        <v>0</v>
      </c>
      <c r="K15" s="75" t="n">
        <f aca="false">+J15*(1+$K$8)</f>
        <v>0</v>
      </c>
    </row>
    <row r="16" customFormat="false" ht="12.75" hidden="false" customHeight="false" outlineLevel="0" collapsed="false">
      <c r="A16" s="130" t="s">
        <v>104</v>
      </c>
      <c r="B16" s="127" t="n">
        <v>0.23</v>
      </c>
      <c r="C16" s="128" t="n">
        <f aca="false">1-D16</f>
        <v>1</v>
      </c>
      <c r="D16" s="127" t="n">
        <v>0</v>
      </c>
      <c r="E16" s="129" t="n">
        <v>0</v>
      </c>
      <c r="F16" s="75" t="n">
        <f aca="false">+E16*$F$7</f>
        <v>0</v>
      </c>
      <c r="G16" s="75" t="n">
        <f aca="false">+E16*$G$7*(1+$G$8)</f>
        <v>0</v>
      </c>
      <c r="H16" s="75" t="n">
        <f aca="false">+G16*(1+$H$8)</f>
        <v>0</v>
      </c>
      <c r="I16" s="75" t="n">
        <f aca="false">+H16*(1+$I$8)</f>
        <v>0</v>
      </c>
      <c r="J16" s="75" t="n">
        <f aca="false">+I16*(1+$J$8)</f>
        <v>0</v>
      </c>
      <c r="K16" s="75" t="n">
        <f aca="false">+J16*(1+$K$8)</f>
        <v>0</v>
      </c>
    </row>
    <row r="17" customFormat="false" ht="12.75" hidden="false" customHeight="false" outlineLevel="0" collapsed="false">
      <c r="A17" s="130" t="s">
        <v>105</v>
      </c>
      <c r="B17" s="127" t="n">
        <v>0.23</v>
      </c>
      <c r="C17" s="128" t="n">
        <f aca="false">1-D17</f>
        <v>1</v>
      </c>
      <c r="D17" s="127" t="n">
        <v>0</v>
      </c>
      <c r="E17" s="129" t="n">
        <v>21</v>
      </c>
      <c r="F17" s="75" t="n">
        <f aca="false">+E17*$F$7</f>
        <v>63</v>
      </c>
      <c r="G17" s="75" t="n">
        <f aca="false">+E17*$G$7*(1+$G$8)</f>
        <v>403.2</v>
      </c>
      <c r="H17" s="75" t="n">
        <f aca="false">+G17*(1+$H$8)</f>
        <v>524.16</v>
      </c>
      <c r="I17" s="75" t="n">
        <f aca="false">+H17*(1+$I$8)</f>
        <v>655.2</v>
      </c>
      <c r="J17" s="75" t="n">
        <f aca="false">+I17*(1+$J$8)</f>
        <v>753.48</v>
      </c>
      <c r="K17" s="75" t="n">
        <f aca="false">+J17*(1+$K$8)</f>
        <v>828.828</v>
      </c>
    </row>
    <row r="18" customFormat="false" ht="12.75" hidden="false" customHeight="false" outlineLevel="0" collapsed="false">
      <c r="A18" s="130" t="s">
        <v>106</v>
      </c>
      <c r="B18" s="127" t="n">
        <v>0.06</v>
      </c>
      <c r="C18" s="128" t="n">
        <v>0</v>
      </c>
      <c r="D18" s="127" t="n">
        <v>1</v>
      </c>
      <c r="E18" s="129" t="n">
        <v>4</v>
      </c>
      <c r="F18" s="75" t="n">
        <f aca="false">+E18*$F$7</f>
        <v>12</v>
      </c>
      <c r="G18" s="75" t="n">
        <f aca="false">+E18*$G$7*(1+$G$8)</f>
        <v>76.8</v>
      </c>
      <c r="H18" s="75" t="n">
        <f aca="false">+G18*(1+$H$8)</f>
        <v>99.84</v>
      </c>
      <c r="I18" s="75" t="n">
        <f aca="false">+H18*(1+$I$8)</f>
        <v>124.8</v>
      </c>
      <c r="J18" s="75" t="n">
        <f aca="false">+I18*(1+$J$8)</f>
        <v>143.52</v>
      </c>
      <c r="K18" s="75" t="n">
        <f aca="false">+J18*(1+$K$8)</f>
        <v>157.872</v>
      </c>
    </row>
    <row r="19" customFormat="false" ht="12.75" hidden="false" customHeight="false" outlineLevel="0" collapsed="false">
      <c r="A19" s="130" t="s">
        <v>107</v>
      </c>
      <c r="B19" s="127" t="n">
        <v>0.23</v>
      </c>
      <c r="C19" s="128" t="n">
        <f aca="false">1-D19</f>
        <v>0.5</v>
      </c>
      <c r="D19" s="127" t="n">
        <v>0.5</v>
      </c>
      <c r="E19" s="129" t="n">
        <v>210</v>
      </c>
      <c r="F19" s="75" t="n">
        <f aca="false">+E19*$F$7</f>
        <v>630</v>
      </c>
      <c r="G19" s="75" t="n">
        <f aca="false">+E19*$G$7*(1+$G$8)</f>
        <v>4032</v>
      </c>
      <c r="H19" s="75" t="n">
        <f aca="false">+G19*(1+$H$8)</f>
        <v>5241.6</v>
      </c>
      <c r="I19" s="75" t="n">
        <f aca="false">+H19*(1+$I$8)</f>
        <v>6552</v>
      </c>
      <c r="J19" s="75" t="n">
        <f aca="false">+I19*(1+$J$8)</f>
        <v>7534.8</v>
      </c>
      <c r="K19" s="75" t="n">
        <f aca="false">+J19*(1+$K$8)</f>
        <v>8288.28</v>
      </c>
    </row>
    <row r="20" customFormat="false" ht="12.75" hidden="false" customHeight="false" outlineLevel="0" collapsed="false">
      <c r="A20" s="130" t="s">
        <v>108</v>
      </c>
      <c r="B20" s="127" t="n">
        <v>0.23</v>
      </c>
      <c r="C20" s="128" t="n">
        <f aca="false">1-D20</f>
        <v>0</v>
      </c>
      <c r="D20" s="127" t="n">
        <v>1</v>
      </c>
      <c r="E20" s="129" t="n">
        <v>0</v>
      </c>
      <c r="F20" s="75" t="n">
        <f aca="false">+E20*$F$7</f>
        <v>0</v>
      </c>
      <c r="G20" s="75" t="n">
        <f aca="false">+E20*$G$7*(1+$G$8)</f>
        <v>0</v>
      </c>
      <c r="H20" s="75" t="n">
        <f aca="false">+G20*(1+$H$8)</f>
        <v>0</v>
      </c>
      <c r="I20" s="75" t="n">
        <f aca="false">+H20*(1+$I$8)</f>
        <v>0</v>
      </c>
      <c r="J20" s="75" t="n">
        <f aca="false">+I20*(1+$J$8)</f>
        <v>0</v>
      </c>
      <c r="K20" s="75" t="n">
        <f aca="false">+J20*(1+$K$8)</f>
        <v>0</v>
      </c>
    </row>
    <row r="21" customFormat="false" ht="12.75" hidden="false" customHeight="false" outlineLevel="0" collapsed="false">
      <c r="A21" s="130" t="s">
        <v>109</v>
      </c>
      <c r="B21" s="127" t="n">
        <v>0.23</v>
      </c>
      <c r="C21" s="128" t="n">
        <v>1</v>
      </c>
      <c r="D21" s="127" t="n">
        <v>0</v>
      </c>
      <c r="E21" s="129" t="n">
        <v>0</v>
      </c>
      <c r="F21" s="75" t="n">
        <f aca="false">+E21*$F$7</f>
        <v>0</v>
      </c>
      <c r="G21" s="75" t="n">
        <f aca="false">+E21*$G$7*(1+$G$8)</f>
        <v>0</v>
      </c>
      <c r="H21" s="75" t="n">
        <f aca="false">+G21*(1+$H$8)</f>
        <v>0</v>
      </c>
      <c r="I21" s="75" t="n">
        <f aca="false">+H21*(1+$I$8)</f>
        <v>0</v>
      </c>
      <c r="J21" s="75" t="n">
        <f aca="false">+I21*(1+$J$8)</f>
        <v>0</v>
      </c>
      <c r="K21" s="75" t="n">
        <f aca="false">+J21*(1+$K$8)</f>
        <v>0</v>
      </c>
    </row>
    <row r="22" customFormat="false" ht="12.75" hidden="false" customHeight="false" outlineLevel="0" collapsed="false">
      <c r="A22" s="130" t="s">
        <v>110</v>
      </c>
      <c r="B22" s="127" t="n">
        <v>0.23</v>
      </c>
      <c r="C22" s="128" t="n">
        <f aca="false">1-D22</f>
        <v>0</v>
      </c>
      <c r="D22" s="127" t="n">
        <v>1</v>
      </c>
      <c r="E22" s="129" t="n">
        <v>0</v>
      </c>
      <c r="F22" s="75" t="n">
        <f aca="false">+E22*$F$7</f>
        <v>0</v>
      </c>
      <c r="G22" s="75" t="n">
        <f aca="false">+E22*$G$7*(1+$G$8)</f>
        <v>0</v>
      </c>
      <c r="H22" s="75" t="n">
        <f aca="false">+G22*(1+$H$8)</f>
        <v>0</v>
      </c>
      <c r="I22" s="75" t="n">
        <f aca="false">+H22*(1+$I$8)</f>
        <v>0</v>
      </c>
      <c r="J22" s="75" t="n">
        <f aca="false">+I22*(1+$J$8)</f>
        <v>0</v>
      </c>
      <c r="K22" s="75" t="n">
        <f aca="false">+J22*(1+$K$8)</f>
        <v>0</v>
      </c>
    </row>
    <row r="23" customFormat="false" ht="12.75" hidden="false" customHeight="false" outlineLevel="0" collapsed="false">
      <c r="A23" s="130" t="s">
        <v>111</v>
      </c>
      <c r="B23" s="127" t="n">
        <v>0.23</v>
      </c>
      <c r="C23" s="128" t="n">
        <f aca="false">1-D23</f>
        <v>1</v>
      </c>
      <c r="D23" s="127" t="n">
        <v>0</v>
      </c>
      <c r="E23" s="129" t="n">
        <v>0</v>
      </c>
      <c r="F23" s="75" t="n">
        <f aca="false">+E23*$F$7</f>
        <v>0</v>
      </c>
      <c r="G23" s="75" t="n">
        <f aca="false">+E23*$G$7*(1+$G$8)</f>
        <v>0</v>
      </c>
      <c r="H23" s="75" t="n">
        <f aca="false">+G23*(1+$H$8)</f>
        <v>0</v>
      </c>
      <c r="I23" s="75" t="n">
        <f aca="false">+H23*(1+$I$8)</f>
        <v>0</v>
      </c>
      <c r="J23" s="75" t="n">
        <f aca="false">+I23*(1+$J$8)</f>
        <v>0</v>
      </c>
      <c r="K23" s="75" t="n">
        <f aca="false">+J23*(1+$K$8)</f>
        <v>0</v>
      </c>
    </row>
    <row r="24" customFormat="false" ht="12.75" hidden="false" customHeight="false" outlineLevel="0" collapsed="false">
      <c r="A24" s="130" t="s">
        <v>112</v>
      </c>
      <c r="B24" s="127" t="n">
        <v>0.23</v>
      </c>
      <c r="C24" s="128" t="n">
        <f aca="false">1-D24</f>
        <v>1</v>
      </c>
      <c r="D24" s="127" t="n">
        <v>0</v>
      </c>
      <c r="E24" s="129" t="n">
        <v>0</v>
      </c>
      <c r="F24" s="75" t="n">
        <f aca="false">+E24*$F$7</f>
        <v>0</v>
      </c>
      <c r="G24" s="75" t="n">
        <f aca="false">+E24*$G$7*(1+$G$8)</f>
        <v>0</v>
      </c>
      <c r="H24" s="75" t="n">
        <f aca="false">+G24*(1+$H$8)</f>
        <v>0</v>
      </c>
      <c r="I24" s="75" t="n">
        <f aca="false">+H24*(1+$I$8)</f>
        <v>0</v>
      </c>
      <c r="J24" s="75" t="n">
        <f aca="false">+I24*(1+$J$8)</f>
        <v>0</v>
      </c>
      <c r="K24" s="75" t="n">
        <f aca="false">+J24*(1+$K$8)</f>
        <v>0</v>
      </c>
    </row>
    <row r="25" customFormat="false" ht="12.75" hidden="false" customHeight="false" outlineLevel="0" collapsed="false">
      <c r="A25" s="130" t="s">
        <v>113</v>
      </c>
      <c r="B25" s="127" t="n">
        <v>0.23</v>
      </c>
      <c r="C25" s="128" t="n">
        <f aca="false">1-D25</f>
        <v>0</v>
      </c>
      <c r="D25" s="127" t="n">
        <v>1</v>
      </c>
      <c r="E25" s="129" t="n">
        <v>0</v>
      </c>
      <c r="F25" s="75" t="n">
        <f aca="false">+E25*$F$7</f>
        <v>0</v>
      </c>
      <c r="G25" s="75" t="n">
        <f aca="false">+E25*$G$7*(1+$G$8)</f>
        <v>0</v>
      </c>
      <c r="H25" s="75" t="n">
        <f aca="false">+G25*(1+$H$8)</f>
        <v>0</v>
      </c>
      <c r="I25" s="75" t="n">
        <f aca="false">+H25*(1+$I$8)</f>
        <v>0</v>
      </c>
      <c r="J25" s="75" t="n">
        <f aca="false">+I25*(1+$J$8)</f>
        <v>0</v>
      </c>
      <c r="K25" s="75" t="n">
        <f aca="false">+J25*(1+$K$8)</f>
        <v>0</v>
      </c>
    </row>
    <row r="26" customFormat="false" ht="12.75" hidden="false" customHeight="false" outlineLevel="0" collapsed="false">
      <c r="A26" s="130" t="s">
        <v>114</v>
      </c>
      <c r="B26" s="127" t="n">
        <v>0.23</v>
      </c>
      <c r="C26" s="128" t="n">
        <v>0.6</v>
      </c>
      <c r="D26" s="127" t="n">
        <v>0.4</v>
      </c>
      <c r="E26" s="129" t="n">
        <v>120</v>
      </c>
      <c r="F26" s="75" t="n">
        <f aca="false">+E26*$F$7</f>
        <v>360</v>
      </c>
      <c r="G26" s="75" t="n">
        <f aca="false">+E26*$G$7*(1+$G$8)</f>
        <v>2304</v>
      </c>
      <c r="H26" s="75" t="n">
        <f aca="false">+G26*(1+$H$8)</f>
        <v>2995.2</v>
      </c>
      <c r="I26" s="75" t="n">
        <f aca="false">+H26*(1+$I$8)</f>
        <v>3744</v>
      </c>
      <c r="J26" s="75" t="n">
        <f aca="false">+I26*(1+$J$8)</f>
        <v>4305.6</v>
      </c>
      <c r="K26" s="75" t="n">
        <f aca="false">+J26*(1+$K$8)</f>
        <v>4736.16</v>
      </c>
    </row>
    <row r="27" customFormat="false" ht="12.75" hidden="false" customHeight="false" outlineLevel="0" collapsed="false">
      <c r="A27" s="130" t="s">
        <v>115</v>
      </c>
      <c r="B27" s="127" t="n">
        <v>0.23</v>
      </c>
      <c r="C27" s="128" t="n">
        <f aca="false">1-D27</f>
        <v>0.25</v>
      </c>
      <c r="D27" s="127" t="n">
        <v>0.75</v>
      </c>
      <c r="E27" s="129" t="n">
        <v>0</v>
      </c>
      <c r="F27" s="75" t="n">
        <f aca="false">+E27*$F$7</f>
        <v>0</v>
      </c>
      <c r="G27" s="75" t="n">
        <f aca="false">+E27*$G$7*(1+$G$8)</f>
        <v>0</v>
      </c>
      <c r="H27" s="75" t="n">
        <f aca="false">+G27*(1+$H$8)</f>
        <v>0</v>
      </c>
      <c r="I27" s="75" t="n">
        <f aca="false">+H27*(1+$I$8)</f>
        <v>0</v>
      </c>
      <c r="J27" s="75" t="n">
        <f aca="false">+I27*(1+$J$8)</f>
        <v>0</v>
      </c>
      <c r="K27" s="75" t="n">
        <f aca="false">+J27*(1+$K$8)</f>
        <v>0</v>
      </c>
    </row>
    <row r="28" customFormat="false" ht="12.75" hidden="false" customHeight="false" outlineLevel="0" collapsed="false">
      <c r="A28" s="130" t="s">
        <v>116</v>
      </c>
      <c r="B28" s="127" t="n">
        <v>0.23</v>
      </c>
      <c r="C28" s="128" t="n">
        <f aca="false">1-D28</f>
        <v>0</v>
      </c>
      <c r="D28" s="127" t="n">
        <v>1</v>
      </c>
      <c r="E28" s="129" t="n">
        <v>0</v>
      </c>
      <c r="F28" s="75" t="n">
        <f aca="false">+E28*$F$7</f>
        <v>0</v>
      </c>
      <c r="G28" s="75" t="n">
        <f aca="false">+E28*$G$7*(1+$G$8)</f>
        <v>0</v>
      </c>
      <c r="H28" s="75" t="n">
        <f aca="false">+G28*(1+$H$8)</f>
        <v>0</v>
      </c>
      <c r="I28" s="75" t="n">
        <f aca="false">+H28*(1+$I$8)</f>
        <v>0</v>
      </c>
      <c r="J28" s="75" t="n">
        <f aca="false">+I28*(1+$J$8)</f>
        <v>0</v>
      </c>
      <c r="K28" s="75" t="n">
        <f aca="false">+J28*(1+$K$8)</f>
        <v>0</v>
      </c>
    </row>
    <row r="29" customFormat="false" ht="12.75" hidden="false" customHeight="false" outlineLevel="0" collapsed="false">
      <c r="A29" s="130" t="s">
        <v>117</v>
      </c>
      <c r="B29" s="127" t="n">
        <v>0</v>
      </c>
      <c r="C29" s="128" t="n">
        <f aca="false">1-D29</f>
        <v>1</v>
      </c>
      <c r="D29" s="127" t="n">
        <v>0</v>
      </c>
      <c r="E29" s="129" t="n">
        <v>34</v>
      </c>
      <c r="F29" s="75" t="n">
        <f aca="false">+E29*$F$7</f>
        <v>102</v>
      </c>
      <c r="G29" s="75" t="n">
        <f aca="false">+E29*$G$7*(1+$G$8)</f>
        <v>652.8</v>
      </c>
      <c r="H29" s="75" t="n">
        <f aca="false">+G29*(1+$H$8)</f>
        <v>848.64</v>
      </c>
      <c r="I29" s="75" t="n">
        <f aca="false">+H29*(1+$I$8)</f>
        <v>1060.8</v>
      </c>
      <c r="J29" s="75" t="n">
        <f aca="false">+I29*(1+$J$8)</f>
        <v>1219.92</v>
      </c>
      <c r="K29" s="75" t="n">
        <f aca="false">+J29*(1+$K$8)</f>
        <v>1341.912</v>
      </c>
    </row>
    <row r="30" customFormat="false" ht="12.75" hidden="false" customHeight="false" outlineLevel="0" collapsed="false">
      <c r="A30" s="130" t="s">
        <v>118</v>
      </c>
      <c r="B30" s="127" t="n">
        <v>0.23</v>
      </c>
      <c r="C30" s="128" t="n">
        <f aca="false">1-D30</f>
        <v>0</v>
      </c>
      <c r="D30" s="127" t="n">
        <v>1</v>
      </c>
      <c r="E30" s="129" t="n">
        <v>60</v>
      </c>
      <c r="F30" s="75" t="n">
        <f aca="false">+E30*$F$7</f>
        <v>180</v>
      </c>
      <c r="G30" s="75" t="n">
        <f aca="false">+E30*$G$7*(1+$G$8)</f>
        <v>1152</v>
      </c>
      <c r="H30" s="75" t="n">
        <f aca="false">+G30*(1+$H$8)</f>
        <v>1497.6</v>
      </c>
      <c r="I30" s="75" t="n">
        <f aca="false">+H30*(1+$I$8)</f>
        <v>1872</v>
      </c>
      <c r="J30" s="75" t="n">
        <f aca="false">+I30*(1+$J$8)</f>
        <v>2152.8</v>
      </c>
      <c r="K30" s="75" t="n">
        <f aca="false">+J30*(1+$K$8)</f>
        <v>2368.08</v>
      </c>
    </row>
    <row r="31" customFormat="false" ht="12.75" hidden="false" customHeight="false" outlineLevel="0" collapsed="false">
      <c r="A31" s="130" t="s">
        <v>119</v>
      </c>
      <c r="B31" s="127" t="n">
        <v>0.23</v>
      </c>
      <c r="C31" s="128" t="n">
        <f aca="false">1-D31</f>
        <v>0.5</v>
      </c>
      <c r="D31" s="127" t="n">
        <v>0.5</v>
      </c>
      <c r="E31" s="129" t="n">
        <v>15</v>
      </c>
      <c r="F31" s="75" t="n">
        <f aca="false">+E31*$F$7</f>
        <v>45</v>
      </c>
      <c r="G31" s="75" t="n">
        <f aca="false">+E31*$G$7*(1+$G$8)</f>
        <v>288</v>
      </c>
      <c r="H31" s="75" t="n">
        <f aca="false">+G31*(1+$H$8)</f>
        <v>374.4</v>
      </c>
      <c r="I31" s="75" t="n">
        <f aca="false">+H31*(1+$I$8)</f>
        <v>468</v>
      </c>
      <c r="J31" s="75" t="n">
        <f aca="false">+I31*(1+$J$8)</f>
        <v>538.2</v>
      </c>
      <c r="K31" s="75" t="n">
        <f aca="false">+J31*(1+$K$8)</f>
        <v>592.02</v>
      </c>
    </row>
    <row r="32" customFormat="false" ht="12.75" hidden="false" customHeight="false" outlineLevel="0" collapsed="false">
      <c r="A32" s="130" t="s">
        <v>120</v>
      </c>
      <c r="B32" s="127" t="n">
        <v>0.23</v>
      </c>
      <c r="C32" s="128" t="n">
        <f aca="false">1-D32</f>
        <v>0</v>
      </c>
      <c r="D32" s="127" t="n">
        <v>1</v>
      </c>
      <c r="E32" s="129" t="n">
        <v>500</v>
      </c>
      <c r="F32" s="75" t="n">
        <f aca="false">+E32*$F$7</f>
        <v>1500</v>
      </c>
      <c r="G32" s="75" t="n">
        <f aca="false">+E32*$G$7*(1+$G$8)</f>
        <v>9600</v>
      </c>
      <c r="H32" s="75" t="n">
        <f aca="false">+G32*(1+$H$8)</f>
        <v>12480</v>
      </c>
      <c r="I32" s="75" t="n">
        <f aca="false">+H32*(1+$I$8)</f>
        <v>15600</v>
      </c>
      <c r="J32" s="75" t="n">
        <f aca="false">+I32*(1+$J$8)</f>
        <v>17940</v>
      </c>
      <c r="K32" s="75" t="n">
        <f aca="false">+J32*(1+$K$8)</f>
        <v>19734</v>
      </c>
    </row>
    <row r="33" customFormat="false" ht="12.75" hidden="false" customHeight="false" outlineLevel="0" collapsed="false">
      <c r="A33" s="130" t="s">
        <v>121</v>
      </c>
      <c r="B33" s="127" t="n">
        <v>0.23</v>
      </c>
      <c r="C33" s="128" t="n">
        <f aca="false">1-D33</f>
        <v>1</v>
      </c>
      <c r="D33" s="127" t="n">
        <v>0</v>
      </c>
      <c r="E33" s="129" t="n">
        <v>60</v>
      </c>
      <c r="F33" s="75" t="n">
        <f aca="false">+E33*$F$7</f>
        <v>180</v>
      </c>
      <c r="G33" s="75" t="n">
        <f aca="false">+E33*$G$7*(1+$G$8)</f>
        <v>1152</v>
      </c>
      <c r="H33" s="75" t="n">
        <f aca="false">+G33*(1+$H$8)</f>
        <v>1497.6</v>
      </c>
      <c r="I33" s="75" t="n">
        <f aca="false">+H33*(1+$I$8)</f>
        <v>1872</v>
      </c>
      <c r="J33" s="75" t="n">
        <f aca="false">+I33*(1+$J$8)</f>
        <v>2152.8</v>
      </c>
      <c r="K33" s="75" t="n">
        <f aca="false">+J33*(1+$K$8)</f>
        <v>2368.08</v>
      </c>
    </row>
    <row r="34" customFormat="false" ht="12.75" hidden="false" customHeight="false" outlineLevel="0" collapsed="false">
      <c r="A34" s="130" t="s">
        <v>122</v>
      </c>
      <c r="B34" s="127" t="n">
        <v>0.23</v>
      </c>
      <c r="C34" s="128" t="n">
        <f aca="false">1-D34</f>
        <v>1</v>
      </c>
      <c r="D34" s="127" t="n">
        <v>0</v>
      </c>
      <c r="E34" s="129" t="n">
        <v>0</v>
      </c>
      <c r="F34" s="75" t="n">
        <f aca="false">+E34*$F$7</f>
        <v>0</v>
      </c>
      <c r="G34" s="75" t="n">
        <f aca="false">+E34*$G$7*(1+$G$8)</f>
        <v>0</v>
      </c>
      <c r="H34" s="75" t="n">
        <f aca="false">+G34*(1+$H$8)</f>
        <v>0</v>
      </c>
      <c r="I34" s="75" t="n">
        <f aca="false">+H34*(1+$I$8)</f>
        <v>0</v>
      </c>
      <c r="J34" s="75" t="n">
        <f aca="false">+I34*(1+$J$8)</f>
        <v>0</v>
      </c>
      <c r="K34" s="75" t="n">
        <f aca="false">+J34*(1+$K$8)</f>
        <v>0</v>
      </c>
    </row>
    <row r="35" customFormat="false" ht="12.75" hidden="false" customHeight="false" outlineLevel="0" collapsed="false">
      <c r="A35" s="130" t="s">
        <v>123</v>
      </c>
      <c r="B35" s="127" t="n">
        <v>0.23</v>
      </c>
      <c r="C35" s="128" t="n">
        <f aca="false">1-D35</f>
        <v>0.7</v>
      </c>
      <c r="D35" s="127" t="n">
        <v>0.3</v>
      </c>
      <c r="E35" s="129" t="n">
        <v>0</v>
      </c>
      <c r="F35" s="75" t="n">
        <f aca="false">+E35*$F$7</f>
        <v>0</v>
      </c>
      <c r="G35" s="75" t="n">
        <f aca="false">+E35*$G$7*(1+$G$8)</f>
        <v>0</v>
      </c>
      <c r="H35" s="75" t="n">
        <f aca="false">+G35*(1+$H$8)</f>
        <v>0</v>
      </c>
      <c r="I35" s="75" t="n">
        <f aca="false">+H35*(1+$I$8)</f>
        <v>0</v>
      </c>
      <c r="J35" s="75" t="n">
        <f aca="false">+I35*(1+$J$8)</f>
        <v>0</v>
      </c>
      <c r="K35" s="75" t="n">
        <f aca="false">+J35*(1+$K$8)</f>
        <v>0</v>
      </c>
    </row>
    <row r="36" customFormat="false" ht="12.75" hidden="false" customHeight="false" outlineLevel="0" collapsed="false">
      <c r="A36" s="130" t="s">
        <v>124</v>
      </c>
      <c r="B36" s="127" t="n">
        <v>0.23</v>
      </c>
      <c r="C36" s="128" t="n">
        <f aca="false">1-D36</f>
        <v>0</v>
      </c>
      <c r="D36" s="127" t="n">
        <v>1</v>
      </c>
      <c r="E36" s="129" t="n">
        <v>0</v>
      </c>
      <c r="F36" s="75" t="n">
        <f aca="false">+E36*$F$7</f>
        <v>0</v>
      </c>
      <c r="G36" s="75" t="n">
        <f aca="false">+E36*$G$7*(1+$G$8)</f>
        <v>0</v>
      </c>
      <c r="H36" s="75" t="n">
        <f aca="false">+G36*(1+$H$8)</f>
        <v>0</v>
      </c>
      <c r="I36" s="75" t="n">
        <f aca="false">+H36*(1+$I$8)</f>
        <v>0</v>
      </c>
      <c r="J36" s="75" t="n">
        <f aca="false">+I36*(1+$J$8)</f>
        <v>0</v>
      </c>
      <c r="K36" s="75" t="n">
        <f aca="false">+J36*(1+$K$8)</f>
        <v>0</v>
      </c>
    </row>
    <row r="37" customFormat="false" ht="15" hidden="false" customHeight="true" outlineLevel="0" collapsed="false">
      <c r="A37" s="131" t="s">
        <v>125</v>
      </c>
      <c r="B37" s="131"/>
      <c r="C37" s="131"/>
      <c r="D37" s="131"/>
      <c r="E37" s="131"/>
      <c r="F37" s="81" t="n">
        <f aca="false">SUM(F12:F36)</f>
        <v>3072</v>
      </c>
      <c r="G37" s="81" t="n">
        <f aca="false">SUM(G12:G36)</f>
        <v>19660.8</v>
      </c>
      <c r="H37" s="81" t="n">
        <f aca="false">SUM(H12:H36)</f>
        <v>25559.04</v>
      </c>
      <c r="I37" s="81" t="n">
        <f aca="false">SUM(I12:I36)</f>
        <v>31948.8</v>
      </c>
      <c r="J37" s="81" t="n">
        <f aca="false">SUM(J12:J36)</f>
        <v>36741.12</v>
      </c>
      <c r="K37" s="81" t="n">
        <f aca="false">SUM(K12:K36)</f>
        <v>40415.232</v>
      </c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 customFormat="false" ht="12.75" hidden="false" customHeight="false" outlineLevel="0" collapsed="false">
      <c r="A39" s="19" t="s">
        <v>78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 customFormat="false" ht="12.8" hidden="false" customHeight="false" outlineLevel="0" collapsed="false">
      <c r="A40" s="132" t="s">
        <v>126</v>
      </c>
      <c r="B40" s="132"/>
      <c r="C40" s="132"/>
      <c r="D40" s="132"/>
      <c r="E40" s="132"/>
      <c r="F40" s="75" t="n">
        <f aca="false">(F12*$C$12)+(F13*$C$13)+(F14*$C$14)+(F15*$C$15)+(F16*$C$16)+(F17*$C$17)+(F18*$C$18)+(F19*$C$19)+(F20*$C$20)+(F21*$C$21)+(F22*$C$22)+(F23*$C$23)+(F24*$C$24)+(F25*$C$25)+(F26*$C$26)+(F27*$C$27)+(F28*$C$28)+(F29*$C$29)+(F30*$C$30)+(F31*$C$31)+(F32*$C$32)+(F33*$C$33)+(F34*$C$34)+(F35*$C$35)+(F36*$C$36)</f>
        <v>898.5</v>
      </c>
      <c r="G40" s="75" t="n">
        <f aca="false">(G12*$C$12)+(G13*$C$13)+(G14*$C$14)+(G15*$C$15)+(G16*$C$16)+(G17*$C$17)+(G18*$C$18)+(G19*$C$19)+(G20*$C$20)+(G21*$C$21)+(G22*$C$22)+(G23*$C$23)+(G24*$C$24)+(G25*$C$25)+(G26*$C$26)+(G27*$C$27)+(G28*$C$28)+(G29*$C$29)+(G30*$C$30)+(G31*$C$31)+(G32*$C$32)+(G33*$C$33)+(G34*$C$34)+(G35*$C$35)+(G36*$C$36)</f>
        <v>5750.4</v>
      </c>
      <c r="H40" s="75" t="n">
        <f aca="false">(H12*$C$12)+(H13*$C$13)+(H14*$C$14)+(H15*$C$15)+(H16*$C$16)+(H17*$C$17)+(H18*$C$18)+(H19*$C$19)+(H20*$C$20)+(H21*$C$21)+(H22*$C$22)+(H23*$C$23)+(H24*$C$24)+(H25*$C$25)+(H26*$C$26)+(H27*$C$27)+(H28*$C$28)+(H29*$C$29)+(H30*$C$30)+(H31*$C$31)+(H32*$C$32)+(H33*$C$33)+(H34*$C$34)+(H35*$C$35)+(H36*$C$36)</f>
        <v>7475.52</v>
      </c>
      <c r="I40" s="75" t="n">
        <f aca="false">(I12*$C$12)+(I13*$C$13)+(I14*$C$14)+(I15*$C$15)+(I16*$C$16)+(I17*$C$17)+(I18*$C$18)+(I19*$C$19)+(I20*$C$20)+(I21*$C$21)+(I22*$C$22)+(I23*$C$23)+(I24*$C$24)+(I25*$C$25)+(I26*$C$26)+(I27*$C$27)+(I28*$C$28)+(I29*$C$29)+(I30*$C$30)+(I31*$C$31)+(I32*$C$32)+(I33*$C$33)+(I34*$C$34)+(I35*$C$35)+(I36*$C$36)</f>
        <v>9344.4</v>
      </c>
      <c r="J40" s="75" t="n">
        <f aca="false">(J12*$C$12)+(J13*$C$13)+(J14*$C$14)+(J15*$C$15)+(J16*$C$16)+(J17*$C$17)+(J18*$C$18)+(J19*$C$19)+(J20*$C$20)+(J21*$C$21)+(J22*$C$22)+(J23*$C$23)+(J24*$C$24)+(J25*$C$25)+(J26*$C$26)+(J27*$C$27)+(J28*$C$28)+(J29*$C$29)+(J30*$C$30)+(J31*$C$31)+(J32*$C$32)+(J33*$C$33)+(J34*$C$34)+(J35*$C$35)+(J36*$C$36)</f>
        <v>10746.06</v>
      </c>
      <c r="K40" s="75" t="n">
        <f aca="false">(K12*$C$12)+(K13*$C$13)+(K14*$C$14)+(K15*$C$15)+(K16*$C$16)+(K17*$C$17)+(K18*$C$18)+(K19*$C$19)+(K20*$C$20)+(K21*$C$21)+(K22*$C$22)+(K23*$C$23)+(K24*$C$24)+(K25*$C$25)+(K26*$C$26)+(K27*$C$27)+(K28*$C$28)+(K29*$C$29)+(K30*$C$30)+(K31*$C$31)+(K32*$C$32)+(K33*$C$33)+(K34*$C$34)+(K35*$C$35)+(K36*$C$36)</f>
        <v>11820.666</v>
      </c>
    </row>
    <row r="41" customFormat="false" ht="12.8" hidden="false" customHeight="false" outlineLevel="0" collapsed="false">
      <c r="A41" s="0"/>
      <c r="B41" s="0"/>
      <c r="C41" s="0"/>
      <c r="D41" s="0"/>
      <c r="E41" s="0"/>
      <c r="F41" s="133"/>
      <c r="G41" s="133"/>
      <c r="H41" s="133"/>
      <c r="I41" s="133"/>
      <c r="J41" s="133"/>
      <c r="K41" s="133"/>
    </row>
    <row r="42" customFormat="false" ht="12.75" hidden="false" customHeight="false" outlineLevel="0" collapsed="false">
      <c r="A42" s="132" t="s">
        <v>127</v>
      </c>
      <c r="B42" s="132"/>
      <c r="C42" s="132"/>
      <c r="D42" s="132"/>
      <c r="E42" s="132"/>
      <c r="F42" s="75" t="n">
        <f aca="false">(F12*$D$12)+(F13*$D$13)+(F14*$D$14)+(F15*$D$15)+(F16*$D$16)+(F17*$D$17)+(F18*$D$18)+(F19*$D$19)+(F20*$D$20)+(F21*$D$21)+(F22*$D$22)+(F23*$D$23)+(F24*$D$24)+(F25*$D$25)+(F26*$D$26)+(F27*$D$27)+(F28*$D$28)+(F29*$D$29)+(F30*$D$30)+(F31*$D$31)+(F32*$D$32)+(F33*$D$33)+(F34*$D$34)+(F35*$D$35)+(F36*$D$36)</f>
        <v>2173.5</v>
      </c>
      <c r="G42" s="75" t="n">
        <f aca="false">(G12*$D$12)+(G13*$D$13)+(G14*$D$14)+(G15*$D$15)+(G16*$D$16)+(G17*$D$17)+(G18*$D$18)+(G19*$D$19)+(G20*$D$20)+(G21*$D$21)+(G22*$D$22)+(G23*$D$23)+(G24*$D$24)+(G25*$D$25)+(G26*$D$26)+(G27*$D$27)+(G28*$D$28)+(G29*$D$29)+(G30*$D$30)+(G31*$D$31)+(G32*$D$32)+(G33*$D$33)+(G34*$D$34)+(G35*$D$35)+(G36*$D$36)</f>
        <v>13910.4</v>
      </c>
      <c r="H42" s="75" t="n">
        <f aca="false">(H12*$D$12)+(H13*$D$13)+(H14*$D$14)+(H15*$D$15)+(H16*$D$16)+(H17*$D$17)+(H18*$D$18)+(H19*$D$19)+(H20*$D$20)+(H21*$D$21)+(H22*$D$22)+(H23*$D$23)+(H24*$D$24)+(H25*$D$25)+(H26*$D$26)+(H27*$D$27)+(H28*$D$28)+(H29*$D$29)+(H30*$D$30)+(H31*$D$31)+(H32*$D$32)+(H33*$D$33)+(H34*$D$34)+(H35*$D$35)+(H36*$D$36)</f>
        <v>18083.52</v>
      </c>
      <c r="I42" s="75" t="n">
        <f aca="false">(I12*$D$12)+(I13*$D$13)+(I14*$D$14)+(I15*$D$15)+(I16*$D$16)+(I17*$D$17)+(I18*$D$18)+(I19*$D$19)+(I20*$D$20)+(I21*$D$21)+(I22*$D$22)+(I23*$D$23)+(I24*$D$24)+(I25*$D$25)+(I26*$D$26)+(I27*$D$27)+(I28*$D$28)+(I29*$D$29)+(I30*$D$30)+(I31*$D$31)+(I32*$D$32)+(I33*$D$33)+(I34*$D$34)+(I35*$D$35)+(I36*$D$36)</f>
        <v>22604.4</v>
      </c>
      <c r="J42" s="75" t="n">
        <f aca="false">(J12*$D$12)+(J13*$D$13)+(J14*$D$14)+(J15*$D$15)+(J16*$D$16)+(J17*$D$17)+(J18*$D$18)+(J19*$D$19)+(J20*$D$20)+(J21*$D$21)+(J22*$D$22)+(J23*$D$23)+(J24*$D$24)+(J25*$D$25)+(J26*$D$26)+(J27*$D$27)+(J28*$D$28)+(J29*$D$29)+(J30*$D$30)+(J31*$D$31)+(J32*$D$32)+(J33*$D$33)+(J34*$D$34)+(J35*$D$35)+(J36*$D$36)</f>
        <v>25995.06</v>
      </c>
      <c r="K42" s="75" t="n">
        <f aca="false">(K12*$D$12)+(K13*$D$13)+(K14*$D$14)+(K15*$D$15)+(K16*$D$16)+(K17*$D$17)+(K18*$D$18)+(K19*$D$19)+(K20*$D$20)+(K21*$D$21)+(K22*$D$22)+(K23*$D$23)+(K24*$D$24)+(K25*$D$25)+(K26*$D$26)+(K27*$D$27)+(K28*$D$28)+(K29*$D$29)+(K30*$D$30)+(K31*$D$31)+(K32*$D$32)+(K33*$D$33)+(K34*$D$34)+(K35*$D$35)+(K36*$D$36)</f>
        <v>28594.566</v>
      </c>
    </row>
    <row r="43" customFormat="false" ht="12.7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 customFormat="false" ht="12.75" hidden="false" customHeight="false" outlineLevel="0" collapsed="false">
      <c r="A44" s="132" t="s">
        <v>128</v>
      </c>
      <c r="B44" s="132"/>
      <c r="C44" s="132"/>
      <c r="D44" s="132"/>
      <c r="E44" s="132"/>
      <c r="F44" s="68" t="n">
        <f aca="false">+C40+F42</f>
        <v>2173.5</v>
      </c>
      <c r="G44" s="68" t="n">
        <f aca="false">+D40+G42</f>
        <v>13910.4</v>
      </c>
      <c r="H44" s="68" t="n">
        <f aca="false">+E40+H42</f>
        <v>18083.52</v>
      </c>
      <c r="I44" s="68" t="n">
        <f aca="false">+F40+I42</f>
        <v>23502.9</v>
      </c>
      <c r="J44" s="68" t="n">
        <f aca="false">+G40+J42</f>
        <v>31745.46</v>
      </c>
      <c r="K44" s="68" t="n">
        <f aca="false">+H40+K42</f>
        <v>36070.086</v>
      </c>
    </row>
    <row r="45" customFormat="false" ht="12.7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 customFormat="false" ht="12.75" hidden="false" customHeight="false" outlineLevel="0" collapsed="false">
      <c r="A46" s="64" t="s">
        <v>76</v>
      </c>
      <c r="B46" s="64"/>
      <c r="C46" s="64"/>
      <c r="D46" s="64"/>
      <c r="E46" s="64"/>
      <c r="F46" s="75" t="n">
        <f aca="false">(F12*$B$12)+(F13*$B$13)+(F15*$B$15)+(F16*$B$16)+(F17*$B$17)+(F18*$B$18)+(F19*$B$19)+(F23*$B$23)+(F26*$B$26)+(F28*$B$28)+(F29*$B$29)+(F31*$B$31)+(F32*$B$32)+(F33*$B$33)+(F34*$B$34)+(F35*$B$35)+(F36*$B$36)</f>
        <v>639.66</v>
      </c>
      <c r="G46" s="75" t="n">
        <f aca="false">(G12*$B$12)+(G13*$B$13)+(G15*$B$15)+(G16*$B$16)+(G17*$B$17)+(G18*$B$18)+(G19*$B$19)+(G23*$B$23)+(G26*$B$26)+(G28*$B$28)+(G29*$B$29)+(G31*$B$31)+(G32*$B$32)+(G33*$B$33)+(G34*$B$34)+(G35*$B$35)+(G36*$B$36)</f>
        <v>4093.824</v>
      </c>
      <c r="H46" s="75" t="n">
        <f aca="false">(H12*$B$12)+(H13*$B$13)+(H15*$B$15)+(H16*$B$16)+(H17*$B$17)+(H18*$B$18)+(H19*$B$19)+(H23*$B$23)+(H26*$B$26)+(H28*$B$28)+(H29*$B$29)+(H31*$B$31)+(H32*$B$32)+(H33*$B$33)+(H34*$B$34)+(H35*$B$35)+(H36*$B$36)</f>
        <v>5321.9712</v>
      </c>
      <c r="I46" s="75" t="n">
        <f aca="false">(I12*$B$12)+(I13*$B$13)+(I15*$B$15)+(I16*$B$16)+(I17*$B$17)+(I18*$B$18)+(I19*$B$19)+(I23*$B$23)+(I26*$B$26)+(I28*$B$28)+(I29*$B$29)+(I31*$B$31)+(I32*$B$32)+(I33*$B$33)+(I34*$B$34)+(I35*$B$35)+(I36*$B$36)</f>
        <v>6652.464</v>
      </c>
      <c r="J46" s="75" t="n">
        <f aca="false">(J12*$B$12)+(J13*$B$13)+(J15*$B$15)+(J16*$B$16)+(J17*$B$17)+(J18*$B$18)+(J19*$B$19)+(J23*$B$23)+(J26*$B$26)+(J28*$B$28)+(J29*$B$29)+(J31*$B$31)+(J32*$B$32)+(J33*$B$33)+(J34*$B$34)+(J35*$B$35)+(J36*$B$36)</f>
        <v>7650.3336</v>
      </c>
      <c r="K46" s="75" t="n">
        <f aca="false">(K12*$B$12)+(K13*$B$13)+(K15*$B$15)+(K16*$B$16)+(K17*$B$17)+(K18*$B$18)+(K19*$B$19)+(K23*$B$23)+(K26*$B$26)+(K28*$B$28)+(K29*$B$29)+(K31*$B$31)+(K32*$B$32)+(K33*$B$33)+(K34*$B$34)+(K35*$B$35)+(K36*$B$36)</f>
        <v>8415.36696</v>
      </c>
    </row>
    <row r="47" customFormat="false" ht="12.7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 customFormat="false" ht="12.75" hidden="false" customHeight="false" outlineLevel="0" collapsed="false">
      <c r="A48" s="134" t="s">
        <v>129</v>
      </c>
      <c r="B48" s="134"/>
      <c r="C48" s="134"/>
      <c r="D48" s="134"/>
      <c r="E48" s="134"/>
      <c r="F48" s="135" t="n">
        <f aca="false">+F44+F46</f>
        <v>2813.16</v>
      </c>
      <c r="G48" s="135" t="n">
        <f aca="false">+G44+G46</f>
        <v>18004.224</v>
      </c>
      <c r="H48" s="135" t="n">
        <f aca="false">+H44+H46</f>
        <v>23405.4912</v>
      </c>
      <c r="I48" s="135" t="n">
        <f aca="false">+I44+I46</f>
        <v>30155.364</v>
      </c>
      <c r="J48" s="135" t="n">
        <f aca="false">+J44+J46</f>
        <v>39395.7936</v>
      </c>
      <c r="K48" s="135" t="n">
        <f aca="false">+K44+K46</f>
        <v>44485.45296</v>
      </c>
    </row>
    <row r="49" customFormat="false" ht="12.75" hidden="false" customHeight="false" outlineLevel="0" collapsed="false">
      <c r="D49" s="0"/>
    </row>
    <row r="50" customFormat="false" ht="12.75" hidden="false" customHeight="false" outlineLevel="0" collapsed="false">
      <c r="D50" s="0"/>
    </row>
    <row r="51" customFormat="false" ht="12.75" hidden="false" customHeight="false" outlineLevel="0" collapsed="false">
      <c r="D51" s="19" t="s">
        <v>78</v>
      </c>
    </row>
  </sheetData>
  <mergeCells count="7">
    <mergeCell ref="A3:K3"/>
    <mergeCell ref="A37:E37"/>
    <mergeCell ref="A40:E40"/>
    <mergeCell ref="A42:E42"/>
    <mergeCell ref="A44:E44"/>
    <mergeCell ref="A46:E46"/>
    <mergeCell ref="A48:E48"/>
  </mergeCells>
  <printOptions headings="false" gridLines="false" gridLinesSet="true" horizontalCentered="true" verticalCentered="false"/>
  <pageMargins left="0.75" right="0.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3"/>
  <sheetViews>
    <sheetView windowProtection="false" showFormulas="false" showGridLines="false" showRowColHeaders="true" showZeros="true" rightToLeft="false" tabSelected="false" showOutlineSymbols="true" defaultGridColor="true" view="normal" topLeftCell="A58" colorId="64" zoomScale="120" zoomScaleNormal="120" zoomScalePageLayoutView="100" workbookViewId="0">
      <selection pane="topLeft" activeCell="A47" activeCellId="0" sqref="A47"/>
    </sheetView>
  </sheetViews>
  <sheetFormatPr defaultRowHeight="12.75"/>
  <cols>
    <col collapsed="false" hidden="false" max="1" min="1" style="19" width="29.7678571428571"/>
    <col collapsed="false" hidden="false" max="2" min="2" style="19" width="15.59375"/>
    <col collapsed="false" hidden="false" max="3" min="3" style="19" width="16.1830357142857"/>
    <col collapsed="false" hidden="false" max="13" min="4" style="19" width="11.2232142857143"/>
    <col collapsed="false" hidden="false" max="37" min="14" style="19" width="11.6919642857143"/>
    <col collapsed="false" hidden="false" max="1025" min="38" style="19" width="8.74107142857143"/>
  </cols>
  <sheetData>
    <row r="1" customFormat="false" ht="13.5" hidden="false" customHeight="false" outlineLevel="0" collapsed="false">
      <c r="A1" s="117" t="str">
        <f aca="false">+VN!A1</f>
        <v>Empresa:</v>
      </c>
      <c r="B1" s="57" t="str">
        <f aca="false">+Pressupostos!B1</f>
        <v>Herbawatter</v>
      </c>
      <c r="C1" s="58"/>
      <c r="D1" s="58"/>
      <c r="E1" s="58"/>
      <c r="F1" s="58"/>
      <c r="G1" s="58"/>
      <c r="H1" s="58"/>
      <c r="I1" s="58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07" customFormat="true" ht="12.75" hidden="false" customHeight="false" outlineLevel="0" collapsed="false">
      <c r="A2" s="136"/>
      <c r="B2" s="136"/>
      <c r="C2" s="60"/>
      <c r="D2" s="60"/>
      <c r="E2" s="60"/>
      <c r="F2" s="60"/>
      <c r="G2" s="60"/>
      <c r="H2" s="60"/>
      <c r="I2" s="118" t="str">
        <f aca="false">+Pressupostos!B6</f>
        <v>(valores em euros)</v>
      </c>
    </row>
    <row r="3" customFormat="false" ht="12.75" hidden="false" customHeight="false" outlineLevel="0" collapsed="false">
      <c r="A3" s="23" t="s">
        <v>130</v>
      </c>
      <c r="B3" s="23"/>
      <c r="C3" s="23"/>
      <c r="D3" s="23"/>
      <c r="E3" s="23"/>
      <c r="F3" s="23"/>
      <c r="G3" s="23"/>
      <c r="H3" s="23"/>
      <c r="I3" s="2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63"/>
      <c r="B4" s="63"/>
      <c r="C4" s="63"/>
      <c r="D4" s="63"/>
      <c r="E4" s="63"/>
      <c r="F4" s="63"/>
      <c r="G4" s="63"/>
      <c r="H4" s="63"/>
      <c r="I4" s="63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66"/>
      <c r="B5" s="119"/>
      <c r="C5" s="119"/>
      <c r="D5" s="64" t="n">
        <f aca="false">+VN!C5</f>
        <v>2016</v>
      </c>
      <c r="E5" s="64" t="n">
        <f aca="false">+VN!D5</f>
        <v>2017</v>
      </c>
      <c r="F5" s="64" t="n">
        <f aca="false">+VN!E5</f>
        <v>2018</v>
      </c>
      <c r="G5" s="64" t="n">
        <f aca="false">+VN!F5</f>
        <v>2019</v>
      </c>
      <c r="H5" s="64" t="n">
        <f aca="false">+VN!G5</f>
        <v>2020</v>
      </c>
      <c r="I5" s="64" t="n">
        <f aca="false">+VN!H5</f>
        <v>2021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21" t="s">
        <v>94</v>
      </c>
      <c r="B6" s="122"/>
      <c r="C6" s="123"/>
      <c r="D6" s="137" t="n">
        <v>7</v>
      </c>
      <c r="E6" s="137" t="n">
        <v>14</v>
      </c>
      <c r="F6" s="137" t="n">
        <f aca="false">+E6</f>
        <v>14</v>
      </c>
      <c r="G6" s="137" t="n">
        <f aca="false">+F6</f>
        <v>14</v>
      </c>
      <c r="H6" s="137" t="n">
        <f aca="false">+G6</f>
        <v>14</v>
      </c>
      <c r="I6" s="137" t="n">
        <f aca="false">+H6</f>
        <v>14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21" t="s">
        <v>78</v>
      </c>
      <c r="B7" s="122"/>
      <c r="C7" s="123"/>
      <c r="D7" s="126" t="n">
        <v>0</v>
      </c>
      <c r="E7" s="69" t="n">
        <v>0.04</v>
      </c>
      <c r="F7" s="69" t="n">
        <v>0.08</v>
      </c>
      <c r="G7" s="69" t="n">
        <v>0.06</v>
      </c>
      <c r="H7" s="69" t="n">
        <v>0.04</v>
      </c>
      <c r="I7" s="69" t="n">
        <v>0.04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138"/>
      <c r="B8" s="138"/>
      <c r="C8" s="139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38"/>
      <c r="B9" s="138"/>
      <c r="C9" s="139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40" t="s">
        <v>131</v>
      </c>
      <c r="B10" s="140"/>
      <c r="C10" s="66" t="s">
        <v>132</v>
      </c>
      <c r="D10" s="64" t="n">
        <f aca="false">+VN!C5</f>
        <v>2016</v>
      </c>
      <c r="E10" s="64" t="n">
        <f aca="false">+VN!D5</f>
        <v>2017</v>
      </c>
      <c r="F10" s="64" t="n">
        <f aca="false">+VN!E5</f>
        <v>2018</v>
      </c>
      <c r="G10" s="64" t="n">
        <f aca="false">+VN!F5</f>
        <v>2019</v>
      </c>
      <c r="H10" s="64" t="n">
        <f aca="false">+VN!G5</f>
        <v>2020</v>
      </c>
      <c r="I10" s="64" t="n">
        <f aca="false">+VN!H5</f>
        <v>2021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41" t="s">
        <v>133</v>
      </c>
      <c r="B11" s="141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42" t="s">
        <v>134</v>
      </c>
      <c r="B12" s="142"/>
      <c r="C12" s="143" t="n">
        <v>1100</v>
      </c>
      <c r="D12" s="144" t="n">
        <f aca="false">+$C$12*$D$6</f>
        <v>7700</v>
      </c>
      <c r="E12" s="75" t="n">
        <f aca="false">+C12*$E$6*(1+$E$7)</f>
        <v>16016</v>
      </c>
      <c r="F12" s="75" t="n">
        <f aca="false">+E12*(1+F$7)</f>
        <v>17297.28</v>
      </c>
      <c r="G12" s="75" t="n">
        <f aca="false">+F12*(1+G$7)</f>
        <v>18335.1168</v>
      </c>
      <c r="H12" s="75" t="n">
        <f aca="false">+G12*(1+H$7)</f>
        <v>19068.521472</v>
      </c>
      <c r="I12" s="75" t="n">
        <f aca="false">+H12*(1+I$7)</f>
        <v>19831.26233088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142" t="s">
        <v>135</v>
      </c>
      <c r="B13" s="142"/>
      <c r="C13" s="143" t="n">
        <v>1100</v>
      </c>
      <c r="D13" s="144" t="n">
        <f aca="false">+$C$13*$D$6</f>
        <v>7700</v>
      </c>
      <c r="E13" s="75" t="n">
        <f aca="false">+C13*$E$6*(1+$E$7)</f>
        <v>16016</v>
      </c>
      <c r="F13" s="75" t="n">
        <f aca="false">+E13*(1+F$7)</f>
        <v>17297.28</v>
      </c>
      <c r="G13" s="75" t="n">
        <f aca="false">+F13*(1+G$7)</f>
        <v>18335.1168</v>
      </c>
      <c r="H13" s="75" t="n">
        <f aca="false">+G13*(1+H$7)</f>
        <v>19068.521472</v>
      </c>
      <c r="I13" s="75" t="n">
        <f aca="false">+H13*(1+I$7)</f>
        <v>19831.26233088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142" t="s">
        <v>136</v>
      </c>
      <c r="B14" s="142"/>
      <c r="C14" s="143" t="n">
        <v>1100</v>
      </c>
      <c r="D14" s="144" t="n">
        <f aca="false">+$C$14*$D$6</f>
        <v>7700</v>
      </c>
      <c r="E14" s="75" t="n">
        <f aca="false">+C14*$E$6*(1+$E$7)</f>
        <v>16016</v>
      </c>
      <c r="F14" s="75" t="n">
        <f aca="false">+E14*(1+F$7)</f>
        <v>17297.28</v>
      </c>
      <c r="G14" s="75" t="n">
        <f aca="false">+F14*(1+G$7)</f>
        <v>18335.1168</v>
      </c>
      <c r="H14" s="75" t="n">
        <f aca="false">+G14*(1+H$7)</f>
        <v>19068.521472</v>
      </c>
      <c r="I14" s="75" t="n">
        <f aca="false">+H14*(1+I$7)</f>
        <v>19831.26233088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142"/>
      <c r="B15" s="142"/>
      <c r="C15" s="143"/>
      <c r="D15" s="144" t="n">
        <f aca="false">+$C$15*$D$6</f>
        <v>0</v>
      </c>
      <c r="E15" s="75" t="n">
        <f aca="false">+C15*$E$6*(1+$E$7)</f>
        <v>0</v>
      </c>
      <c r="F15" s="75" t="n">
        <f aca="false">+E15*(1+F$7)</f>
        <v>0</v>
      </c>
      <c r="G15" s="75" t="n">
        <f aca="false">+F15*(1+G$7)</f>
        <v>0</v>
      </c>
      <c r="H15" s="75" t="n">
        <f aca="false">+G15*(1+H$7)</f>
        <v>0</v>
      </c>
      <c r="I15" s="75" t="n">
        <f aca="false">+H15*(1+I$7)</f>
        <v>0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42"/>
      <c r="B16" s="142"/>
      <c r="C16" s="143"/>
      <c r="D16" s="144" t="n">
        <f aca="false">+$C$16*$D$6</f>
        <v>0</v>
      </c>
      <c r="E16" s="75" t="n">
        <f aca="false">+C16*$E$6*(1+$E$7)</f>
        <v>0</v>
      </c>
      <c r="F16" s="75" t="n">
        <f aca="false">+E16*(1+F$7)</f>
        <v>0</v>
      </c>
      <c r="G16" s="75" t="n">
        <f aca="false">+F16*(1+G$7)</f>
        <v>0</v>
      </c>
      <c r="H16" s="75" t="n">
        <f aca="false">+G16*(1+H$7)</f>
        <v>0</v>
      </c>
      <c r="I16" s="75" t="n">
        <f aca="false">+H16*(1+I$7)</f>
        <v>0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45" t="s">
        <v>137</v>
      </c>
      <c r="B17" s="146"/>
      <c r="C17" s="147"/>
      <c r="D17" s="81" t="n">
        <f aca="false">SUM(D12:D16)</f>
        <v>23100</v>
      </c>
      <c r="E17" s="81" t="n">
        <f aca="false">SUM(E12:E16)</f>
        <v>48048</v>
      </c>
      <c r="F17" s="81" t="n">
        <f aca="false">SUM(F12:F16)</f>
        <v>51891.84</v>
      </c>
      <c r="G17" s="81" t="n">
        <f aca="false">SUM(G12:G16)</f>
        <v>55005.3504</v>
      </c>
      <c r="H17" s="81" t="n">
        <f aca="false">SUM(H12:H16)</f>
        <v>57205.564416</v>
      </c>
      <c r="I17" s="81" t="n">
        <f aca="false">SUM(I12:I16)</f>
        <v>59493.78699264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141" t="s">
        <v>138</v>
      </c>
      <c r="B18" s="141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148" t="s">
        <v>139</v>
      </c>
      <c r="B19" s="148" t="s">
        <v>140</v>
      </c>
      <c r="C19" s="149" t="s">
        <v>141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150" t="s">
        <v>142</v>
      </c>
      <c r="B20" s="151" t="n">
        <v>2</v>
      </c>
      <c r="C20" s="143" t="n">
        <v>700</v>
      </c>
      <c r="D20" s="144" t="n">
        <f aca="false">+B20*C20*D$6</f>
        <v>9800</v>
      </c>
      <c r="E20" s="75" t="n">
        <f aca="false">+$B$20*E6*$C$20*(1+E7)</f>
        <v>20384</v>
      </c>
      <c r="F20" s="75" t="n">
        <f aca="false">+E20*(1+F7)</f>
        <v>22014.72</v>
      </c>
      <c r="G20" s="75" t="n">
        <f aca="false">+F20*(1+G7)</f>
        <v>23335.6032</v>
      </c>
      <c r="H20" s="75" t="n">
        <f aca="false">+G20*(1+H7)</f>
        <v>24269.027328</v>
      </c>
      <c r="I20" s="75" t="n">
        <f aca="false">+H20*(1+I7)</f>
        <v>25239.78842112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150" t="s">
        <v>143</v>
      </c>
      <c r="B21" s="151" t="n">
        <v>1</v>
      </c>
      <c r="C21" s="143" t="n">
        <v>600</v>
      </c>
      <c r="D21" s="144" t="n">
        <f aca="false">+B21*C21*D$6</f>
        <v>4200</v>
      </c>
      <c r="E21" s="75" t="n">
        <f aca="false">+B21*E$6*C21*(1+E$7)</f>
        <v>8736</v>
      </c>
      <c r="F21" s="75" t="n">
        <f aca="false">+E21*(1+F$7)</f>
        <v>9434.88</v>
      </c>
      <c r="G21" s="75" t="n">
        <f aca="false">+F21*(1+G$7)</f>
        <v>10000.9728</v>
      </c>
      <c r="H21" s="75" t="n">
        <f aca="false">+G21*(1+H$7)</f>
        <v>10401.011712</v>
      </c>
      <c r="I21" s="75" t="n">
        <f aca="false">+H21*(1+I$7)</f>
        <v>10817.05218048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150"/>
      <c r="B22" s="151"/>
      <c r="C22" s="143"/>
      <c r="D22" s="144"/>
      <c r="E22" s="75" t="n">
        <f aca="false">+B22*E$6*C22</f>
        <v>0</v>
      </c>
      <c r="F22" s="75" t="n">
        <f aca="false">+E22*(1+F$7)</f>
        <v>0</v>
      </c>
      <c r="G22" s="75" t="n">
        <f aca="false">+F22*(1+G$7)</f>
        <v>0</v>
      </c>
      <c r="H22" s="75" t="n">
        <f aca="false">+G22*(1+H$7)</f>
        <v>0</v>
      </c>
      <c r="I22" s="75" t="n">
        <f aca="false">+H22*(1+I$7)</f>
        <v>0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150"/>
      <c r="B23" s="151"/>
      <c r="C23" s="143"/>
      <c r="D23" s="144"/>
      <c r="E23" s="75"/>
      <c r="F23" s="75" t="n">
        <f aca="false">B23*C23*F6</f>
        <v>0</v>
      </c>
      <c r="G23" s="75" t="n">
        <f aca="false">+F23*(1+G$7)</f>
        <v>0</v>
      </c>
      <c r="H23" s="75" t="n">
        <f aca="false">+G23*(1+H$7)</f>
        <v>0</v>
      </c>
      <c r="I23" s="75" t="n">
        <f aca="false">+H23*(1+I$7)</f>
        <v>0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150"/>
      <c r="B24" s="151"/>
      <c r="C24" s="143"/>
      <c r="D24" s="144"/>
      <c r="E24" s="75"/>
      <c r="F24" s="75" t="n">
        <f aca="false">F23</f>
        <v>0</v>
      </c>
      <c r="G24" s="75" t="n">
        <f aca="false">+F24*(1+G$7)</f>
        <v>0</v>
      </c>
      <c r="H24" s="75" t="n">
        <f aca="false">+G24*(1+H$7)</f>
        <v>0</v>
      </c>
      <c r="I24" s="75" t="n">
        <f aca="false">+H24*(1+I$7)</f>
        <v>0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150"/>
      <c r="B25" s="151"/>
      <c r="C25" s="143"/>
      <c r="D25" s="144"/>
      <c r="E25" s="75"/>
      <c r="F25" s="75"/>
      <c r="G25" s="75"/>
      <c r="H25" s="75"/>
      <c r="I25" s="75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50"/>
      <c r="B26" s="151"/>
      <c r="C26" s="143"/>
      <c r="D26" s="144" t="n">
        <f aca="false">+B26*C26*D$6</f>
        <v>0</v>
      </c>
      <c r="E26" s="75" t="n">
        <f aca="false">+B26*E$6*C26*(1+E$7)</f>
        <v>0</v>
      </c>
      <c r="F26" s="75" t="n">
        <f aca="false">+E26*(1+F$7)</f>
        <v>0</v>
      </c>
      <c r="G26" s="75" t="n">
        <f aca="false">+F26*(1+G$7)</f>
        <v>0</v>
      </c>
      <c r="H26" s="75" t="n">
        <f aca="false">+G26*(1+H$7)</f>
        <v>0</v>
      </c>
      <c r="I26" s="75" t="n">
        <f aca="false">+H26*(1+I$7)</f>
        <v>0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150"/>
      <c r="B27" s="151"/>
      <c r="C27" s="143"/>
      <c r="D27" s="144" t="n">
        <f aca="false">+B27*C27*D$6</f>
        <v>0</v>
      </c>
      <c r="E27" s="75" t="n">
        <f aca="false">+B27*E$6*C27*(1+E$7)</f>
        <v>0</v>
      </c>
      <c r="F27" s="75" t="n">
        <f aca="false">+E27*(1+F$7)</f>
        <v>0</v>
      </c>
      <c r="G27" s="75" t="n">
        <f aca="false">+F27*(1+G$7)</f>
        <v>0</v>
      </c>
      <c r="H27" s="75" t="n">
        <f aca="false">+G27*(1+H$7)</f>
        <v>0</v>
      </c>
      <c r="I27" s="75" t="n">
        <f aca="false">+H27*(1+I$7)</f>
        <v>0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150"/>
      <c r="B28" s="151"/>
      <c r="C28" s="143"/>
      <c r="D28" s="144" t="n">
        <f aca="false">+B28*C28*D$6</f>
        <v>0</v>
      </c>
      <c r="E28" s="75" t="n">
        <f aca="false">+B28*E$6*C28*(1+E$7)</f>
        <v>0</v>
      </c>
      <c r="F28" s="75" t="n">
        <f aca="false">+E28*(1+F$7)</f>
        <v>0</v>
      </c>
      <c r="G28" s="75" t="n">
        <f aca="false">+F28*(1+G$7)</f>
        <v>0</v>
      </c>
      <c r="H28" s="75" t="n">
        <f aca="false">+G28*(1+H$7)</f>
        <v>0</v>
      </c>
      <c r="I28" s="75" t="n">
        <f aca="false">+H28*(1+I$7)</f>
        <v>0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150"/>
      <c r="B29" s="151"/>
      <c r="C29" s="143"/>
      <c r="D29" s="144" t="n">
        <f aca="false">+B29*C29*D$6</f>
        <v>0</v>
      </c>
      <c r="E29" s="75" t="n">
        <f aca="false">+B29*E$6*C29*(1+E$7)</f>
        <v>0</v>
      </c>
      <c r="F29" s="75" t="n">
        <f aca="false">+E29*(1+F$7)</f>
        <v>0</v>
      </c>
      <c r="G29" s="75" t="n">
        <f aca="false">+F29*(1+G$7)</f>
        <v>0</v>
      </c>
      <c r="H29" s="75" t="n">
        <f aca="false">+G29*(1+H$7)</f>
        <v>0</v>
      </c>
      <c r="I29" s="75" t="n">
        <f aca="false">+H29*(1+I$7)</f>
        <v>0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50"/>
      <c r="B30" s="151"/>
      <c r="C30" s="143"/>
      <c r="D30" s="144" t="n">
        <f aca="false">+B30*C30*D$6</f>
        <v>0</v>
      </c>
      <c r="E30" s="75" t="n">
        <f aca="false">+B30*E$6*C30*(1+E$7)</f>
        <v>0</v>
      </c>
      <c r="F30" s="75" t="n">
        <f aca="false">+E30*(1+F$7)</f>
        <v>0</v>
      </c>
      <c r="G30" s="75" t="n">
        <f aca="false">+F30*(1+G$7)</f>
        <v>0</v>
      </c>
      <c r="H30" s="75" t="n">
        <f aca="false">+G30*(1+H$7)</f>
        <v>0</v>
      </c>
      <c r="I30" s="75" t="n">
        <f aca="false">+H30*(1+I$7)</f>
        <v>0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45" t="s">
        <v>137</v>
      </c>
      <c r="B31" s="152" t="n">
        <f aca="false">SUM(B20:B30)</f>
        <v>3</v>
      </c>
      <c r="C31" s="147"/>
      <c r="D31" s="81" t="n">
        <f aca="false">SUM(D20:D30)</f>
        <v>14000</v>
      </c>
      <c r="E31" s="81" t="n">
        <f aca="false">SUM(E20:E30)</f>
        <v>29120</v>
      </c>
      <c r="F31" s="81" t="n">
        <f aca="false">SUM(F20:F30)</f>
        <v>31449.6</v>
      </c>
      <c r="G31" s="81" t="n">
        <f aca="false">SUM(G20:G30)</f>
        <v>33336.576</v>
      </c>
      <c r="H31" s="81" t="n">
        <f aca="false">SUM(H20:H30)</f>
        <v>34670.03904</v>
      </c>
      <c r="I31" s="81" t="n">
        <f aca="false">SUM(I20:I30)</f>
        <v>36056.8406016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153"/>
      <c r="B32" s="153"/>
      <c r="C32" s="154"/>
      <c r="D32" s="155"/>
      <c r="E32" s="155"/>
      <c r="F32" s="155"/>
      <c r="G32" s="155"/>
      <c r="H32" s="155"/>
      <c r="I32" s="155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true" outlineLevel="0" collapsed="false">
      <c r="A33" s="134" t="s">
        <v>144</v>
      </c>
      <c r="B33" s="134"/>
      <c r="C33" s="134"/>
      <c r="D33" s="81" t="n">
        <f aca="false">+D17+D31</f>
        <v>37100</v>
      </c>
      <c r="E33" s="81" t="n">
        <f aca="false">+E17+E31</f>
        <v>77168</v>
      </c>
      <c r="F33" s="81" t="n">
        <f aca="false">+F17+F31</f>
        <v>83341.44</v>
      </c>
      <c r="G33" s="81" t="n">
        <f aca="false">+G17+G31</f>
        <v>88341.9264</v>
      </c>
      <c r="H33" s="81" t="n">
        <f aca="false">+H17+H31</f>
        <v>91875.603456</v>
      </c>
      <c r="I33" s="81" t="n">
        <f aca="false">+I17+I31</f>
        <v>95550.62759424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07" customFormat="true" ht="12.75" hidden="false" customHeight="false" outlineLevel="0" collapsed="false">
      <c r="A34" s="90"/>
      <c r="B34" s="90"/>
      <c r="C34" s="90"/>
      <c r="D34" s="90"/>
      <c r="E34" s="90"/>
      <c r="F34" s="90"/>
      <c r="G34" s="90"/>
      <c r="H34" s="90"/>
      <c r="I34" s="90"/>
    </row>
    <row r="35" s="107" customFormat="true" ht="12.75" hidden="false" customHeight="false" outlineLevel="0" collapsed="false">
      <c r="A35" s="90"/>
      <c r="B35" s="90"/>
      <c r="C35" s="90"/>
      <c r="D35" s="90"/>
      <c r="E35" s="90"/>
      <c r="F35" s="90"/>
      <c r="G35" s="90"/>
      <c r="H35" s="90"/>
      <c r="I35" s="90"/>
    </row>
    <row r="36" customFormat="false" ht="12.75" hidden="false" customHeight="false" outlineLevel="0" collapsed="false">
      <c r="A36" s="145" t="s">
        <v>145</v>
      </c>
      <c r="B36" s="146"/>
      <c r="C36" s="147"/>
      <c r="D36" s="81" t="n">
        <f aca="false">COUNTIF(D12:D16,"&gt;0")+COUNTIF(D20:D30,"&gt;0")</f>
        <v>5</v>
      </c>
      <c r="E36" s="81" t="n">
        <f aca="false">COUNTIF(E12:E16,"&gt;0")+COUNTIF(E20:E30,"&gt;0")</f>
        <v>5</v>
      </c>
      <c r="F36" s="81" t="n">
        <f aca="false">COUNTIF(F12:F16,"&gt;0")+COUNTIF(F20:F30,"&gt;0")</f>
        <v>5</v>
      </c>
      <c r="G36" s="81" t="n">
        <f aca="false">COUNTIF(G12:G16,"&gt;0")+COUNTIF(G20:G30,"&gt;0")</f>
        <v>5</v>
      </c>
      <c r="H36" s="81" t="n">
        <f aca="false">COUNTIF(H12:H16,"&gt;0")+COUNTIF(H20:H30,"&gt;0")</f>
        <v>5</v>
      </c>
      <c r="I36" s="81" t="n">
        <f aca="false">COUNTIF(I12:I16,"&gt;0")+COUNTIF(I20:I30,"&gt;0")</f>
        <v>5</v>
      </c>
    </row>
    <row r="37" customFormat="false" ht="12.75" hidden="false" customHeight="false" outlineLevel="0" collapsed="false">
      <c r="A37" s="19" t="s">
        <v>78</v>
      </c>
      <c r="B37" s="0"/>
      <c r="C37" s="154"/>
      <c r="D37" s="155"/>
      <c r="E37" s="155"/>
      <c r="F37" s="155"/>
      <c r="G37" s="155"/>
      <c r="H37" s="155"/>
      <c r="I37" s="155"/>
    </row>
    <row r="38" customFormat="false" ht="12.75" hidden="false" customHeight="false" outlineLevel="0" collapsed="false">
      <c r="A38" s="0"/>
      <c r="B38" s="0"/>
      <c r="C38" s="154"/>
      <c r="D38" s="155"/>
      <c r="E38" s="155"/>
      <c r="F38" s="155"/>
      <c r="G38" s="155"/>
      <c r="H38" s="155"/>
      <c r="I38" s="155"/>
    </row>
    <row r="39" customFormat="false" ht="12.75" hidden="false" customHeight="false" outlineLevel="0" collapsed="false">
      <c r="A39" s="140" t="s">
        <v>146</v>
      </c>
      <c r="B39" s="140"/>
      <c r="C39" s="140"/>
      <c r="D39" s="64" t="n">
        <f aca="false">+D5</f>
        <v>2016</v>
      </c>
      <c r="E39" s="64" t="n">
        <f aca="false">+E5</f>
        <v>2017</v>
      </c>
      <c r="F39" s="64" t="n">
        <f aca="false">+F5</f>
        <v>2018</v>
      </c>
      <c r="G39" s="64" t="n">
        <f aca="false">+G5</f>
        <v>2019</v>
      </c>
      <c r="H39" s="64" t="n">
        <f aca="false">+H5</f>
        <v>2020</v>
      </c>
      <c r="I39" s="64" t="n">
        <f aca="false">+I5</f>
        <v>2021</v>
      </c>
    </row>
    <row r="40" customFormat="false" ht="12.75" hidden="false" customHeight="false" outlineLevel="0" collapsed="false">
      <c r="A40" s="156" t="s">
        <v>147</v>
      </c>
      <c r="B40" s="157"/>
      <c r="C40" s="120"/>
      <c r="D40" s="120"/>
      <c r="E40" s="120"/>
      <c r="F40" s="120"/>
      <c r="G40" s="120"/>
      <c r="H40" s="120"/>
      <c r="I40" s="120"/>
    </row>
    <row r="41" customFormat="false" ht="12.75" hidden="false" customHeight="false" outlineLevel="0" collapsed="false">
      <c r="A41" s="73" t="s">
        <v>148</v>
      </c>
      <c r="B41" s="158"/>
      <c r="C41" s="159" t="n">
        <v>0.2125</v>
      </c>
      <c r="D41" s="160" t="n">
        <f aca="false">D17*$C$41</f>
        <v>4908.75</v>
      </c>
      <c r="E41" s="160" t="n">
        <f aca="false">E17*$C$41</f>
        <v>10210.2</v>
      </c>
      <c r="F41" s="160" t="n">
        <f aca="false">F17*$C$41</f>
        <v>11027.016</v>
      </c>
      <c r="G41" s="160" t="n">
        <f aca="false">G17*$C$41</f>
        <v>11688.63696</v>
      </c>
      <c r="H41" s="160" t="n">
        <f aca="false">H17*$C$41</f>
        <v>12156.1824384</v>
      </c>
      <c r="I41" s="160" t="n">
        <f aca="false">I17*$C$41</f>
        <v>12642.429735936</v>
      </c>
    </row>
    <row r="42" customFormat="false" ht="12.75" hidden="false" customHeight="false" outlineLevel="0" collapsed="false">
      <c r="A42" s="73" t="s">
        <v>149</v>
      </c>
      <c r="B42" s="158"/>
      <c r="C42" s="159" t="n">
        <v>0.2375</v>
      </c>
      <c r="D42" s="160" t="n">
        <f aca="false">+D31*$C$42</f>
        <v>3325</v>
      </c>
      <c r="E42" s="160" t="n">
        <f aca="false">+E31*$C$42</f>
        <v>6916</v>
      </c>
      <c r="F42" s="160" t="n">
        <f aca="false">+F31*$C$42</f>
        <v>7469.28</v>
      </c>
      <c r="G42" s="160" t="n">
        <f aca="false">+G31*$C$42</f>
        <v>7917.4368</v>
      </c>
      <c r="H42" s="160" t="n">
        <f aca="false">+H31*$C$42</f>
        <v>8234.134272</v>
      </c>
      <c r="I42" s="160" t="n">
        <f aca="false">+I31*$C$42</f>
        <v>8563.49964288</v>
      </c>
    </row>
    <row r="43" customFormat="false" ht="12.75" hidden="false" customHeight="false" outlineLevel="0" collapsed="false">
      <c r="A43" s="161" t="s">
        <v>150</v>
      </c>
      <c r="B43" s="162"/>
      <c r="C43" s="163" t="n">
        <v>0.01</v>
      </c>
      <c r="D43" s="144" t="n">
        <f aca="false">+D33*$C$43</f>
        <v>371</v>
      </c>
      <c r="E43" s="144" t="n">
        <f aca="false">+E33*$C$43</f>
        <v>771.68</v>
      </c>
      <c r="F43" s="144" t="n">
        <f aca="false">+F33*$C$43</f>
        <v>833.4144</v>
      </c>
      <c r="G43" s="144" t="n">
        <f aca="false">+G33*$C$43</f>
        <v>883.419264</v>
      </c>
      <c r="H43" s="144" t="n">
        <f aca="false">+H33*$C$43</f>
        <v>918.75603456</v>
      </c>
      <c r="I43" s="144" t="n">
        <f aca="false">+I33*$C$43</f>
        <v>955.5062759424</v>
      </c>
    </row>
    <row r="44" customFormat="false" ht="12.75" hidden="false" customHeight="false" outlineLevel="0" collapsed="false">
      <c r="A44" s="161" t="s">
        <v>151</v>
      </c>
      <c r="B44" s="162"/>
      <c r="C44" s="164" t="n">
        <f aca="false">5.75*22</f>
        <v>126.5</v>
      </c>
      <c r="D44" s="144" t="n">
        <f aca="false">+C44*D6*D36</f>
        <v>4427.5</v>
      </c>
      <c r="E44" s="144" t="n">
        <f aca="false">+C44*(1+E7)*11*E36</f>
        <v>7235.8</v>
      </c>
      <c r="F44" s="144" t="n">
        <f aca="false">+C44*(1+E7)*(1+F7)*11*F36</f>
        <v>7814.664</v>
      </c>
      <c r="G44" s="144" t="n">
        <f aca="false">+C44*(1+E7)*(1+F7)*(1+G7)*11*G36</f>
        <v>8283.54384</v>
      </c>
      <c r="H44" s="144" t="n">
        <f aca="false">C44*(1+E7)*(1+F7)*(1+G7)*(1+H7)*11*H36</f>
        <v>8614.8855936</v>
      </c>
      <c r="I44" s="144" t="n">
        <f aca="false">C44*(1+E7)*(1+F7)*(1+G7)*(1+H7)*(1+I7)*11*I36</f>
        <v>8959.481017344</v>
      </c>
    </row>
    <row r="45" customFormat="false" ht="12.75" hidden="false" customHeight="false" outlineLevel="0" collapsed="false">
      <c r="A45" s="165" t="s">
        <v>152</v>
      </c>
      <c r="B45" s="165"/>
      <c r="C45" s="166"/>
      <c r="D45" s="112"/>
      <c r="E45" s="112" t="n">
        <v>1000</v>
      </c>
      <c r="F45" s="112" t="n">
        <v>2000</v>
      </c>
      <c r="G45" s="112" t="n">
        <v>500</v>
      </c>
      <c r="H45" s="112" t="n">
        <v>500</v>
      </c>
      <c r="I45" s="112" t="n">
        <v>500</v>
      </c>
    </row>
    <row r="46" customFormat="false" ht="12.75" hidden="false" customHeight="false" outlineLevel="0" collapsed="false">
      <c r="A46" s="167" t="s">
        <v>153</v>
      </c>
      <c r="B46" s="168"/>
      <c r="C46" s="169"/>
      <c r="D46" s="170"/>
      <c r="E46" s="170"/>
      <c r="F46" s="170"/>
      <c r="G46" s="170"/>
      <c r="H46" s="170"/>
      <c r="I46" s="170"/>
    </row>
    <row r="47" customFormat="false" ht="14.25" hidden="false" customHeight="true" outlineLevel="0" collapsed="false">
      <c r="A47" s="134" t="s">
        <v>154</v>
      </c>
      <c r="B47" s="134"/>
      <c r="C47" s="134"/>
      <c r="D47" s="81" t="n">
        <f aca="false">+D41+D42+D43+D44+D45+D46</f>
        <v>13032.25</v>
      </c>
      <c r="E47" s="81" t="n">
        <f aca="false">+E41+E42+E43+E44+E45+E46</f>
        <v>26133.68</v>
      </c>
      <c r="F47" s="81" t="n">
        <f aca="false">+F41+F42+F43+F44+F45+F46</f>
        <v>29144.3744</v>
      </c>
      <c r="G47" s="81" t="n">
        <f aca="false">+G41+G42+G43+G44+G45+G46</f>
        <v>29273.036864</v>
      </c>
      <c r="H47" s="81" t="n">
        <f aca="false">+H41+H42+H43+H44+H45+H46</f>
        <v>30423.95833856</v>
      </c>
      <c r="I47" s="81" t="n">
        <f aca="false">+I41+I42+I43+I44+I45+I46</f>
        <v>31620.9166721024</v>
      </c>
    </row>
    <row r="48" customFormat="false" ht="12.75" hidden="false" customHeight="false" outlineLevel="0" collapsed="false">
      <c r="A48" s="171"/>
      <c r="B48" s="171"/>
      <c r="C48" s="172"/>
      <c r="D48" s="0"/>
      <c r="E48" s="0"/>
      <c r="F48" s="0"/>
      <c r="G48" s="0"/>
      <c r="H48" s="0"/>
      <c r="I48" s="0"/>
    </row>
    <row r="49" customFormat="false" ht="12.75" hidden="false" customHeight="false" outlineLevel="0" collapsed="false">
      <c r="A49" s="171"/>
      <c r="B49" s="171"/>
      <c r="C49" s="172"/>
      <c r="D49" s="0"/>
      <c r="E49" s="0"/>
      <c r="F49" s="0"/>
      <c r="G49" s="0"/>
      <c r="H49" s="0"/>
      <c r="I49" s="0"/>
    </row>
    <row r="50" customFormat="false" ht="12.75" hidden="false" customHeight="false" outlineLevel="0" collapsed="false">
      <c r="A50" s="134" t="s">
        <v>155</v>
      </c>
      <c r="B50" s="134"/>
      <c r="C50" s="134"/>
      <c r="D50" s="81" t="n">
        <f aca="false">+D33+D47</f>
        <v>50132.25</v>
      </c>
      <c r="E50" s="81" t="n">
        <f aca="false">+E33+E47</f>
        <v>103301.68</v>
      </c>
      <c r="F50" s="81" t="n">
        <f aca="false">+F33+F47</f>
        <v>112485.8144</v>
      </c>
      <c r="G50" s="81" t="n">
        <f aca="false">+G33+G47</f>
        <v>117614.963264</v>
      </c>
      <c r="H50" s="81" t="n">
        <f aca="false">+H33+H47</f>
        <v>122299.56179456</v>
      </c>
      <c r="I50" s="81" t="n">
        <f aca="false">+I33+I47</f>
        <v>127171.544266342</v>
      </c>
    </row>
    <row r="51" customFormat="false" ht="12.75" hidden="false" customHeight="false" outlineLevel="0" collapsed="false">
      <c r="A51" s="171"/>
      <c r="B51" s="171"/>
      <c r="C51" s="172"/>
      <c r="D51" s="0"/>
      <c r="E51" s="0"/>
      <c r="F51" s="0"/>
      <c r="G51" s="0"/>
      <c r="H51" s="0"/>
      <c r="I51" s="0"/>
    </row>
    <row r="52" customFormat="false" ht="12.75" hidden="false" customHeight="false" outlineLevel="0" collapsed="false">
      <c r="A52" s="171"/>
      <c r="B52" s="171"/>
      <c r="C52" s="172"/>
      <c r="D52" s="0"/>
      <c r="E52" s="0"/>
      <c r="F52" s="0"/>
      <c r="G52" s="0"/>
      <c r="H52" s="0"/>
      <c r="I52" s="0"/>
    </row>
    <row r="53" customFormat="false" ht="12.75" hidden="false" customHeight="false" outlineLevel="0" collapsed="false">
      <c r="A53" s="140" t="s">
        <v>156</v>
      </c>
      <c r="B53" s="140"/>
      <c r="C53" s="140"/>
      <c r="D53" s="64" t="n">
        <f aca="false">+D5</f>
        <v>2016</v>
      </c>
      <c r="E53" s="64" t="n">
        <f aca="false">+E5</f>
        <v>2017</v>
      </c>
      <c r="F53" s="64" t="n">
        <f aca="false">+F5</f>
        <v>2018</v>
      </c>
      <c r="G53" s="64" t="n">
        <f aca="false">+G5</f>
        <v>2019</v>
      </c>
      <c r="H53" s="64" t="n">
        <f aca="false">+H5</f>
        <v>2020</v>
      </c>
      <c r="I53" s="64" t="n">
        <f aca="false">+I5</f>
        <v>2021</v>
      </c>
    </row>
    <row r="54" customFormat="false" ht="12.75" hidden="false" customHeight="false" outlineLevel="0" collapsed="false">
      <c r="A54" s="173" t="s">
        <v>157</v>
      </c>
      <c r="B54" s="123"/>
      <c r="C54" s="169"/>
      <c r="D54" s="28"/>
      <c r="E54" s="28"/>
      <c r="F54" s="28"/>
      <c r="G54" s="28"/>
      <c r="H54" s="28"/>
      <c r="I54" s="28"/>
    </row>
    <row r="55" customFormat="false" ht="12.75" hidden="false" customHeight="false" outlineLevel="0" collapsed="false">
      <c r="A55" s="73" t="s">
        <v>158</v>
      </c>
      <c r="B55" s="174"/>
      <c r="C55" s="169"/>
      <c r="D55" s="160" t="n">
        <f aca="false">+D17</f>
        <v>23100</v>
      </c>
      <c r="E55" s="160" t="n">
        <f aca="false">+E17</f>
        <v>48048</v>
      </c>
      <c r="F55" s="160" t="n">
        <f aca="false">+F17</f>
        <v>51891.84</v>
      </c>
      <c r="G55" s="160" t="n">
        <f aca="false">+G17</f>
        <v>55005.3504</v>
      </c>
      <c r="H55" s="160" t="n">
        <f aca="false">+H17</f>
        <v>57205.564416</v>
      </c>
      <c r="I55" s="160" t="n">
        <f aca="false">+I17</f>
        <v>59493.78699264</v>
      </c>
    </row>
    <row r="56" customFormat="false" ht="12.75" hidden="false" customHeight="false" outlineLevel="0" collapsed="false">
      <c r="A56" s="73" t="s">
        <v>138</v>
      </c>
      <c r="B56" s="174"/>
      <c r="C56" s="169"/>
      <c r="D56" s="160" t="n">
        <f aca="false">+D31</f>
        <v>14000</v>
      </c>
      <c r="E56" s="160" t="n">
        <f aca="false">+E31</f>
        <v>29120</v>
      </c>
      <c r="F56" s="160" t="n">
        <f aca="false">+F31</f>
        <v>31449.6</v>
      </c>
      <c r="G56" s="160" t="n">
        <f aca="false">+G31</f>
        <v>33336.576</v>
      </c>
      <c r="H56" s="160" t="n">
        <f aca="false">+H31</f>
        <v>34670.03904</v>
      </c>
      <c r="I56" s="160" t="n">
        <f aca="false">+I31</f>
        <v>36056.8406016</v>
      </c>
    </row>
    <row r="57" customFormat="false" ht="12.75" hidden="false" customHeight="false" outlineLevel="0" collapsed="false">
      <c r="A57" s="173" t="s">
        <v>159</v>
      </c>
      <c r="B57" s="123"/>
      <c r="C57" s="169"/>
      <c r="D57" s="160" t="n">
        <f aca="false">+D41+D42</f>
        <v>8233.75</v>
      </c>
      <c r="E57" s="160" t="n">
        <f aca="false">+E41+E42</f>
        <v>17126.2</v>
      </c>
      <c r="F57" s="160" t="n">
        <f aca="false">+F41+F42</f>
        <v>18496.296</v>
      </c>
      <c r="G57" s="160" t="n">
        <f aca="false">+G41+G42</f>
        <v>19606.07376</v>
      </c>
      <c r="H57" s="160" t="n">
        <f aca="false">+H41+H42</f>
        <v>20390.3167104</v>
      </c>
      <c r="I57" s="160" t="n">
        <f aca="false">+I41+I42</f>
        <v>21205.929378816</v>
      </c>
    </row>
    <row r="58" customFormat="false" ht="12.75" hidden="false" customHeight="false" outlineLevel="0" collapsed="false">
      <c r="A58" s="173" t="str">
        <f aca="false">+A43</f>
        <v>Seguros Acidentes de Trabalho</v>
      </c>
      <c r="B58" s="123"/>
      <c r="C58" s="169"/>
      <c r="D58" s="160" t="n">
        <f aca="false">+D43</f>
        <v>371</v>
      </c>
      <c r="E58" s="160" t="n">
        <f aca="false">+E43</f>
        <v>771.68</v>
      </c>
      <c r="F58" s="160" t="n">
        <f aca="false">+F43</f>
        <v>833.4144</v>
      </c>
      <c r="G58" s="160" t="n">
        <f aca="false">+G43</f>
        <v>883.419264</v>
      </c>
      <c r="H58" s="160" t="n">
        <f aca="false">+H43</f>
        <v>918.75603456</v>
      </c>
      <c r="I58" s="160" t="n">
        <f aca="false">+I43</f>
        <v>955.5062759424</v>
      </c>
    </row>
    <row r="59" customFormat="false" ht="12.75" hidden="false" customHeight="false" outlineLevel="0" collapsed="false">
      <c r="A59" s="173" t="s">
        <v>160</v>
      </c>
      <c r="B59" s="123"/>
      <c r="C59" s="169"/>
      <c r="D59" s="160" t="n">
        <f aca="false">+D44</f>
        <v>4427.5</v>
      </c>
      <c r="E59" s="160" t="n">
        <f aca="false">+E44</f>
        <v>7235.8</v>
      </c>
      <c r="F59" s="160" t="n">
        <f aca="false">+F44</f>
        <v>7814.664</v>
      </c>
      <c r="G59" s="160" t="n">
        <f aca="false">+G44</f>
        <v>8283.54384</v>
      </c>
      <c r="H59" s="160" t="n">
        <f aca="false">+H44</f>
        <v>8614.8855936</v>
      </c>
      <c r="I59" s="160" t="n">
        <f aca="false">+I44</f>
        <v>8959.481017344</v>
      </c>
    </row>
    <row r="60" customFormat="false" ht="12.75" hidden="false" customHeight="false" outlineLevel="0" collapsed="false">
      <c r="A60" s="173" t="str">
        <f aca="false">+A45</f>
        <v>Formação </v>
      </c>
      <c r="B60" s="123"/>
      <c r="C60" s="169"/>
      <c r="D60" s="160" t="n">
        <f aca="false">+D45</f>
        <v>0</v>
      </c>
      <c r="E60" s="160" t="n">
        <f aca="false">+E45</f>
        <v>1000</v>
      </c>
      <c r="F60" s="160" t="n">
        <f aca="false">+F45</f>
        <v>2000</v>
      </c>
      <c r="G60" s="160" t="n">
        <f aca="false">+G45</f>
        <v>500</v>
      </c>
      <c r="H60" s="160" t="n">
        <f aca="false">+H45</f>
        <v>500</v>
      </c>
      <c r="I60" s="160" t="n">
        <f aca="false">+I45</f>
        <v>500</v>
      </c>
    </row>
    <row r="61" customFormat="false" ht="12.75" hidden="false" customHeight="false" outlineLevel="0" collapsed="false">
      <c r="A61" s="167" t="s">
        <v>153</v>
      </c>
      <c r="B61" s="168"/>
      <c r="C61" s="175"/>
      <c r="D61" s="176"/>
      <c r="E61" s="176"/>
      <c r="F61" s="176"/>
      <c r="G61" s="176"/>
      <c r="H61" s="176"/>
      <c r="I61" s="176"/>
    </row>
    <row r="62" customFormat="false" ht="12.75" hidden="false" customHeight="false" outlineLevel="0" collapsed="false">
      <c r="A62" s="134" t="s">
        <v>155</v>
      </c>
      <c r="B62" s="134"/>
      <c r="C62" s="134"/>
      <c r="D62" s="81" t="n">
        <f aca="false">SUM(D55:D61)</f>
        <v>50132.25</v>
      </c>
      <c r="E62" s="81" t="n">
        <f aca="false">SUM(E55:E61)</f>
        <v>103301.68</v>
      </c>
      <c r="F62" s="81" t="n">
        <f aca="false">SUM(F55:F61)</f>
        <v>112485.8144</v>
      </c>
      <c r="G62" s="81" t="n">
        <f aca="false">SUM(G55:G61)</f>
        <v>117614.963264</v>
      </c>
      <c r="H62" s="81" t="n">
        <f aca="false">SUM(H55:H61)</f>
        <v>122299.56179456</v>
      </c>
      <c r="I62" s="81" t="n">
        <f aca="false">SUM(I55:I61)</f>
        <v>127171.544266342</v>
      </c>
    </row>
    <row r="63" customFormat="false" ht="12.75" hidden="false" customHeight="false" outlineLevel="0" collapsed="false">
      <c r="A63" s="177"/>
      <c r="B63" s="177"/>
      <c r="C63" s="177"/>
      <c r="D63" s="155"/>
      <c r="E63" s="155"/>
      <c r="F63" s="155"/>
      <c r="G63" s="155"/>
      <c r="H63" s="155"/>
      <c r="I63" s="155"/>
    </row>
    <row r="64" customFormat="false" ht="12.75" hidden="false" customHeight="false" outlineLevel="0" collapsed="false">
      <c r="A64" s="171"/>
      <c r="B64" s="171"/>
      <c r="C64" s="0"/>
      <c r="D64" s="0"/>
      <c r="E64" s="0"/>
      <c r="F64" s="0"/>
      <c r="G64" s="0"/>
      <c r="H64" s="0"/>
      <c r="I64" s="0"/>
    </row>
    <row r="65" customFormat="false" ht="12.75" hidden="false" customHeight="false" outlineLevel="0" collapsed="false">
      <c r="A65" s="140" t="s">
        <v>161</v>
      </c>
      <c r="B65" s="140"/>
      <c r="C65" s="140"/>
      <c r="D65" s="64"/>
      <c r="E65" s="64"/>
      <c r="F65" s="64"/>
      <c r="G65" s="64"/>
      <c r="H65" s="64"/>
      <c r="I65" s="64"/>
    </row>
    <row r="66" customFormat="false" ht="12.75" hidden="false" customHeight="false" outlineLevel="0" collapsed="false">
      <c r="A66" s="173" t="s">
        <v>162</v>
      </c>
      <c r="B66" s="123"/>
      <c r="C66" s="159"/>
      <c r="D66" s="160"/>
      <c r="E66" s="160"/>
      <c r="F66" s="160"/>
      <c r="G66" s="160"/>
      <c r="H66" s="160"/>
      <c r="I66" s="160"/>
    </row>
    <row r="67" customFormat="false" ht="12.75" hidden="false" customHeight="false" outlineLevel="0" collapsed="false">
      <c r="A67" s="73" t="s">
        <v>148</v>
      </c>
      <c r="B67" s="158"/>
      <c r="C67" s="159" t="n">
        <v>0.1</v>
      </c>
      <c r="D67" s="160" t="n">
        <f aca="false">+$C$67*D17</f>
        <v>2310</v>
      </c>
      <c r="E67" s="160" t="n">
        <f aca="false">+$C$67*E17</f>
        <v>4804.8</v>
      </c>
      <c r="F67" s="160" t="n">
        <f aca="false">+$C$67*F17</f>
        <v>5189.184</v>
      </c>
      <c r="G67" s="160" t="n">
        <f aca="false">+$C$67*G17</f>
        <v>5500.53504</v>
      </c>
      <c r="H67" s="160" t="n">
        <f aca="false">+$C$67*H17</f>
        <v>5720.5564416</v>
      </c>
      <c r="I67" s="160" t="n">
        <f aca="false">+$C$67*I17</f>
        <v>5949.378699264</v>
      </c>
    </row>
    <row r="68" customFormat="false" ht="12.75" hidden="false" customHeight="false" outlineLevel="0" collapsed="false">
      <c r="A68" s="73" t="s">
        <v>149</v>
      </c>
      <c r="B68" s="158"/>
      <c r="C68" s="159" t="n">
        <v>0.11</v>
      </c>
      <c r="D68" s="160" t="n">
        <f aca="false">+$C$68*D31</f>
        <v>1540</v>
      </c>
      <c r="E68" s="160" t="n">
        <f aca="false">+$C$68*E31</f>
        <v>3203.2</v>
      </c>
      <c r="F68" s="160" t="n">
        <f aca="false">+$C$68*F31</f>
        <v>3459.456</v>
      </c>
      <c r="G68" s="160" t="n">
        <f aca="false">+$C$68*G31</f>
        <v>3667.02336</v>
      </c>
      <c r="H68" s="160" t="n">
        <f aca="false">+$C$68*H31</f>
        <v>3813.7042944</v>
      </c>
      <c r="I68" s="160" t="n">
        <f aca="false">+$C$68*I31</f>
        <v>3966.252466176</v>
      </c>
    </row>
    <row r="69" customFormat="false" ht="12.75" hidden="false" customHeight="false" outlineLevel="0" collapsed="false">
      <c r="A69" s="173" t="s">
        <v>163</v>
      </c>
      <c r="B69" s="123"/>
      <c r="C69" s="159" t="n">
        <f aca="false">Pressupostos!B17</f>
        <v>0.15</v>
      </c>
      <c r="D69" s="160" t="n">
        <f aca="false">+$C$69*(D17+D31)</f>
        <v>5565</v>
      </c>
      <c r="E69" s="160" t="n">
        <f aca="false">+$C$69*(E17+E31)</f>
        <v>11575.2</v>
      </c>
      <c r="F69" s="160" t="n">
        <f aca="false">+$C$69*(F17+F31)</f>
        <v>12501.216</v>
      </c>
      <c r="G69" s="160" t="n">
        <f aca="false">+$C$69*(G17+G31)</f>
        <v>13251.28896</v>
      </c>
      <c r="H69" s="160" t="n">
        <f aca="false">+$C$69*(H17+H31)</f>
        <v>13781.3405184</v>
      </c>
      <c r="I69" s="160" t="n">
        <f aca="false">+$C$69*(I17+I31)</f>
        <v>14332.594139136</v>
      </c>
    </row>
    <row r="70" customFormat="false" ht="12.75" hidden="false" customHeight="false" outlineLevel="0" collapsed="false">
      <c r="A70" s="134" t="s">
        <v>164</v>
      </c>
      <c r="B70" s="134"/>
      <c r="C70" s="134"/>
      <c r="D70" s="81" t="n">
        <f aca="false">SUM(D67:D69)</f>
        <v>9415</v>
      </c>
      <c r="E70" s="81" t="n">
        <f aca="false">SUM(E67:E69)</f>
        <v>19583.2</v>
      </c>
      <c r="F70" s="81" t="n">
        <f aca="false">SUM(F67:F69)</f>
        <v>21149.856</v>
      </c>
      <c r="G70" s="81" t="n">
        <f aca="false">SUM(G67:G69)</f>
        <v>22418.84736</v>
      </c>
      <c r="H70" s="81" t="n">
        <f aca="false">SUM(H67:H69)</f>
        <v>23315.6012544</v>
      </c>
      <c r="I70" s="81" t="n">
        <f aca="false">SUM(I67:I69)</f>
        <v>24248.225304576</v>
      </c>
    </row>
    <row r="71" customFormat="false" ht="12.75" hidden="false" customHeight="false" outlineLevel="0" collapsed="false">
      <c r="A71" s="30"/>
      <c r="B71" s="30"/>
      <c r="C71" s="178"/>
      <c r="D71" s="179"/>
      <c r="E71" s="179"/>
      <c r="F71" s="179"/>
      <c r="G71" s="179"/>
      <c r="H71" s="179"/>
      <c r="I71" s="179"/>
    </row>
    <row r="72" customFormat="false" ht="12.75" hidden="false" customHeight="false" outlineLevel="0" collapsed="false">
      <c r="A72" s="30"/>
      <c r="B72" s="30"/>
      <c r="C72" s="178"/>
      <c r="D72" s="30"/>
      <c r="E72" s="30"/>
      <c r="F72" s="30"/>
      <c r="G72" s="30"/>
      <c r="H72" s="30"/>
      <c r="I72" s="30"/>
    </row>
    <row r="73" customFormat="false" ht="12.75" hidden="false" customHeight="false" outlineLevel="0" collapsed="false">
      <c r="A73" s="180"/>
      <c r="B73" s="180"/>
      <c r="C73" s="178"/>
      <c r="D73" s="179"/>
      <c r="E73" s="179"/>
      <c r="F73" s="179"/>
      <c r="G73" s="179"/>
      <c r="H73" s="179"/>
      <c r="I73" s="179"/>
    </row>
  </sheetData>
  <mergeCells count="15">
    <mergeCell ref="A3:I3"/>
    <mergeCell ref="A10:B10"/>
    <mergeCell ref="A12:B12"/>
    <mergeCell ref="A13:B13"/>
    <mergeCell ref="A14:B14"/>
    <mergeCell ref="A15:B15"/>
    <mergeCell ref="A16:B16"/>
    <mergeCell ref="A33:C33"/>
    <mergeCell ref="A39:C39"/>
    <mergeCell ref="A47:C47"/>
    <mergeCell ref="A50:C50"/>
    <mergeCell ref="A53:C53"/>
    <mergeCell ref="A62:C62"/>
    <mergeCell ref="A65:C65"/>
    <mergeCell ref="A70:C70"/>
  </mergeCells>
  <printOptions headings="false" gridLines="false" gridLinesSet="true" horizontalCentered="true" verticalCentered="false"/>
  <pageMargins left="0.75" right="0.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7" activeCellId="0" sqref="C17"/>
    </sheetView>
  </sheetViews>
  <sheetFormatPr defaultRowHeight="12.75"/>
  <cols>
    <col collapsed="false" hidden="false" max="1" min="1" style="19" width="33.9017857142857"/>
    <col collapsed="false" hidden="false" max="2" min="2" style="19" width="8.03125"/>
    <col collapsed="false" hidden="false" max="8" min="3" style="19" width="11.2232142857143"/>
    <col collapsed="false" hidden="false" max="9" min="9" style="19" width="3.30803571428571"/>
    <col collapsed="false" hidden="false" max="10" min="10" style="19" width="2.83482142857143"/>
    <col collapsed="false" hidden="false" max="1025" min="11" style="19" width="8.74107142857143"/>
  </cols>
  <sheetData>
    <row r="1" customFormat="false" ht="13.5" hidden="false" customHeight="false" outlineLevel="0" collapsed="false">
      <c r="A1" s="117" t="s">
        <v>16</v>
      </c>
      <c r="B1" s="57" t="str">
        <f aca="false">+Pressupostos!B1</f>
        <v>Herbawatter</v>
      </c>
      <c r="C1" s="58"/>
      <c r="D1" s="58"/>
      <c r="E1" s="58"/>
      <c r="F1" s="58"/>
      <c r="G1" s="58"/>
      <c r="H1" s="58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07" customFormat="true" ht="12.75" hidden="false" customHeight="false" outlineLevel="0" collapsed="false">
      <c r="A2" s="59"/>
      <c r="B2" s="60"/>
      <c r="C2" s="60"/>
      <c r="D2" s="60"/>
      <c r="E2" s="60"/>
      <c r="F2" s="60"/>
      <c r="H2" s="118" t="str">
        <f aca="false">+Pressupostos!B6</f>
        <v>(valores em euros)</v>
      </c>
    </row>
    <row r="3" customFormat="false" ht="12.75" hidden="false" customHeight="false" outlineLevel="0" collapsed="false">
      <c r="A3" s="23" t="s">
        <v>165</v>
      </c>
      <c r="B3" s="23"/>
      <c r="C3" s="23"/>
      <c r="D3" s="23"/>
      <c r="E3" s="23"/>
      <c r="F3" s="23"/>
      <c r="G3" s="23"/>
      <c r="H3" s="23"/>
      <c r="L3" s="0"/>
    </row>
    <row r="4" customFormat="false" ht="12.75" hidden="false" customHeight="false" outlineLevel="0" collapsed="false">
      <c r="A4" s="63"/>
      <c r="B4" s="63"/>
      <c r="C4" s="63"/>
      <c r="D4" s="63"/>
      <c r="E4" s="63"/>
      <c r="F4" s="63"/>
      <c r="G4" s="63"/>
      <c r="H4" s="63"/>
      <c r="L4" s="0"/>
    </row>
    <row r="5" customFormat="false" ht="12.75" hidden="false" customHeight="false" outlineLevel="0" collapsed="false">
      <c r="A5" s="0"/>
      <c r="B5" s="0"/>
      <c r="C5" s="0"/>
      <c r="D5" s="0"/>
      <c r="E5" s="0"/>
      <c r="F5" s="0"/>
      <c r="G5" s="0"/>
      <c r="H5" s="0"/>
      <c r="L5" s="0"/>
    </row>
    <row r="6" customFormat="false" ht="12.75" hidden="false" customHeight="false" outlineLevel="0" collapsed="false">
      <c r="A6" s="181" t="s">
        <v>166</v>
      </c>
      <c r="B6" s="181"/>
      <c r="C6" s="64" t="n">
        <f aca="false">+VN!C5</f>
        <v>2016</v>
      </c>
      <c r="D6" s="64" t="n">
        <f aca="false">+VN!D5</f>
        <v>2017</v>
      </c>
      <c r="E6" s="64" t="n">
        <f aca="false">+VN!E5</f>
        <v>2018</v>
      </c>
      <c r="F6" s="64" t="n">
        <f aca="false">+VN!F5</f>
        <v>2019</v>
      </c>
      <c r="G6" s="64" t="n">
        <f aca="false">+VN!G5</f>
        <v>2020</v>
      </c>
      <c r="H6" s="64" t="n">
        <f aca="false">+VN!H5</f>
        <v>2021</v>
      </c>
      <c r="L6" s="0"/>
    </row>
    <row r="7" customFormat="false" ht="12.75" hidden="false" customHeight="false" outlineLevel="0" collapsed="false">
      <c r="A7" s="71" t="s">
        <v>167</v>
      </c>
      <c r="B7" s="124"/>
      <c r="C7" s="182"/>
      <c r="D7" s="182"/>
      <c r="E7" s="182"/>
      <c r="F7" s="182"/>
      <c r="G7" s="182"/>
      <c r="H7" s="182"/>
      <c r="L7" s="0"/>
    </row>
    <row r="8" customFormat="false" ht="12.75" hidden="false" customHeight="false" outlineLevel="0" collapsed="false">
      <c r="A8" s="173" t="s">
        <v>168</v>
      </c>
      <c r="B8" s="124"/>
      <c r="C8" s="129" t="n">
        <v>0</v>
      </c>
      <c r="D8" s="129" t="n">
        <v>0</v>
      </c>
      <c r="E8" s="129" t="n">
        <v>0</v>
      </c>
      <c r="F8" s="129" t="n">
        <v>0</v>
      </c>
      <c r="G8" s="129" t="n">
        <v>0</v>
      </c>
      <c r="H8" s="129" t="n">
        <v>0</v>
      </c>
      <c r="L8" s="0"/>
    </row>
    <row r="9" customFormat="false" ht="12.75" hidden="false" customHeight="false" outlineLevel="0" collapsed="false">
      <c r="A9" s="173"/>
      <c r="B9" s="124"/>
      <c r="C9" s="129"/>
      <c r="D9" s="129"/>
      <c r="E9" s="129"/>
      <c r="F9" s="129"/>
      <c r="G9" s="129"/>
      <c r="H9" s="129"/>
      <c r="L9" s="0"/>
    </row>
    <row r="10" customFormat="false" ht="12.75" hidden="false" customHeight="false" outlineLevel="0" collapsed="false">
      <c r="A10" s="173" t="s">
        <v>169</v>
      </c>
      <c r="B10" s="124"/>
      <c r="C10" s="129" t="n">
        <v>0</v>
      </c>
      <c r="D10" s="129" t="n">
        <v>0</v>
      </c>
      <c r="E10" s="129" t="n">
        <v>0</v>
      </c>
      <c r="F10" s="129" t="n">
        <v>0</v>
      </c>
      <c r="G10" s="129" t="n">
        <v>0</v>
      </c>
      <c r="H10" s="129" t="n">
        <v>0</v>
      </c>
      <c r="L10" s="0"/>
    </row>
    <row r="11" customFormat="false" ht="12.75" hidden="false" customHeight="false" outlineLevel="0" collapsed="false">
      <c r="A11" s="173"/>
      <c r="B11" s="124"/>
      <c r="C11" s="129"/>
      <c r="D11" s="129"/>
      <c r="E11" s="129"/>
      <c r="F11" s="129"/>
      <c r="G11" s="129"/>
      <c r="H11" s="129"/>
      <c r="L11" s="0"/>
    </row>
    <row r="12" customFormat="false" ht="12.75" hidden="false" customHeight="false" outlineLevel="0" collapsed="false">
      <c r="A12" s="183" t="s">
        <v>170</v>
      </c>
      <c r="B12" s="184"/>
      <c r="C12" s="185" t="n">
        <v>0</v>
      </c>
      <c r="D12" s="185" t="n">
        <v>0</v>
      </c>
      <c r="E12" s="185" t="n">
        <v>0</v>
      </c>
      <c r="F12" s="185" t="n">
        <v>0</v>
      </c>
      <c r="G12" s="185" t="n">
        <v>0</v>
      </c>
      <c r="H12" s="185" t="n">
        <v>0</v>
      </c>
      <c r="L12" s="0"/>
    </row>
    <row r="13" customFormat="false" ht="12.75" hidden="false" customHeight="false" outlineLevel="0" collapsed="false">
      <c r="A13" s="134" t="s">
        <v>171</v>
      </c>
      <c r="B13" s="134"/>
      <c r="C13" s="81" t="n">
        <f aca="false">SUM(C8:C12)</f>
        <v>0</v>
      </c>
      <c r="D13" s="81" t="n">
        <f aca="false">SUM(D8:D12)</f>
        <v>0</v>
      </c>
      <c r="E13" s="81" t="n">
        <f aca="false">SUM(E8:E12)</f>
        <v>0</v>
      </c>
      <c r="F13" s="81" t="n">
        <f aca="false">SUM(F8:F12)</f>
        <v>0</v>
      </c>
      <c r="G13" s="81" t="n">
        <f aca="false">SUM(G8:G12)</f>
        <v>0</v>
      </c>
      <c r="H13" s="81" t="n">
        <f aca="false">SUM(H8:H12)</f>
        <v>0</v>
      </c>
      <c r="L13" s="0"/>
    </row>
    <row r="14" customFormat="false" ht="12.75" hidden="false" customHeight="false" outlineLevel="0" collapsed="false">
      <c r="A14" s="71" t="s">
        <v>172</v>
      </c>
      <c r="B14" s="124"/>
      <c r="C14" s="186"/>
      <c r="D14" s="186"/>
      <c r="E14" s="186"/>
      <c r="F14" s="186"/>
      <c r="G14" s="186"/>
      <c r="H14" s="186"/>
      <c r="L14" s="0"/>
    </row>
    <row r="15" customFormat="false" ht="12.75" hidden="false" customHeight="false" outlineLevel="0" collapsed="false">
      <c r="A15" s="173"/>
      <c r="B15" s="124"/>
      <c r="C15" s="187"/>
      <c r="D15" s="187"/>
      <c r="E15" s="187"/>
      <c r="F15" s="187"/>
      <c r="G15" s="187"/>
      <c r="H15" s="187"/>
      <c r="L15" s="0"/>
    </row>
    <row r="16" customFormat="false" ht="12.75" hidden="false" customHeight="false" outlineLevel="0" collapsed="false">
      <c r="A16" s="173" t="s">
        <v>173</v>
      </c>
      <c r="B16" s="124"/>
      <c r="C16" s="187" t="n">
        <v>0</v>
      </c>
      <c r="D16" s="187" t="n">
        <v>0</v>
      </c>
      <c r="E16" s="187" t="n">
        <v>0</v>
      </c>
      <c r="F16" s="187" t="n">
        <v>0</v>
      </c>
      <c r="G16" s="187" t="n">
        <v>0</v>
      </c>
      <c r="H16" s="187" t="n">
        <v>0</v>
      </c>
      <c r="L16" s="0"/>
    </row>
    <row r="17" customFormat="false" ht="12.75" hidden="false" customHeight="false" outlineLevel="0" collapsed="false">
      <c r="A17" s="173" t="s">
        <v>174</v>
      </c>
      <c r="B17" s="124"/>
      <c r="C17" s="188" t="n">
        <v>250</v>
      </c>
      <c r="D17" s="188" t="n">
        <v>350</v>
      </c>
      <c r="E17" s="188" t="n">
        <v>0</v>
      </c>
      <c r="F17" s="188" t="n">
        <v>0</v>
      </c>
      <c r="G17" s="188" t="n">
        <v>0</v>
      </c>
      <c r="H17" s="188" t="n">
        <v>0</v>
      </c>
      <c r="L17" s="0"/>
    </row>
    <row r="18" customFormat="false" ht="12.75" hidden="false" customHeight="false" outlineLevel="0" collapsed="false">
      <c r="A18" s="173" t="s">
        <v>175</v>
      </c>
      <c r="B18" s="124"/>
      <c r="C18" s="187" t="n">
        <v>0</v>
      </c>
      <c r="D18" s="187" t="n">
        <v>0</v>
      </c>
      <c r="E18" s="187" t="n">
        <v>0</v>
      </c>
      <c r="F18" s="187" t="n">
        <v>0</v>
      </c>
      <c r="G18" s="187" t="n">
        <v>0</v>
      </c>
      <c r="H18" s="187" t="n">
        <v>0</v>
      </c>
      <c r="L18" s="0"/>
    </row>
    <row r="19" customFormat="false" ht="12.75" hidden="false" customHeight="false" outlineLevel="0" collapsed="false">
      <c r="A19" s="173" t="s">
        <v>176</v>
      </c>
      <c r="B19" s="124"/>
      <c r="C19" s="187" t="n">
        <v>30000</v>
      </c>
      <c r="D19" s="187" t="n">
        <v>0</v>
      </c>
      <c r="E19" s="187" t="n">
        <v>0</v>
      </c>
      <c r="F19" s="187" t="n">
        <v>0</v>
      </c>
      <c r="G19" s="187" t="n">
        <v>0</v>
      </c>
      <c r="H19" s="187" t="n">
        <v>0</v>
      </c>
      <c r="L19" s="0"/>
    </row>
    <row r="20" customFormat="false" ht="12.8" hidden="false" customHeight="false" outlineLevel="0" collapsed="false">
      <c r="A20" s="173" t="s">
        <v>177</v>
      </c>
      <c r="B20" s="124"/>
      <c r="C20" s="188" t="n">
        <v>0</v>
      </c>
      <c r="D20" s="188" t="n">
        <v>2500</v>
      </c>
      <c r="E20" s="188" t="n">
        <v>1000</v>
      </c>
      <c r="F20" s="188" t="n">
        <v>500</v>
      </c>
      <c r="G20" s="188" t="n">
        <v>500</v>
      </c>
      <c r="H20" s="188" t="n">
        <v>500</v>
      </c>
      <c r="L20" s="0"/>
    </row>
    <row r="21" customFormat="false" ht="12.75" hidden="false" customHeight="false" outlineLevel="0" collapsed="false">
      <c r="A21" s="173"/>
      <c r="B21" s="124"/>
      <c r="C21" s="187"/>
      <c r="D21" s="187"/>
      <c r="E21" s="187"/>
      <c r="F21" s="187"/>
      <c r="G21" s="187"/>
      <c r="H21" s="187"/>
      <c r="L21" s="0"/>
    </row>
    <row r="22" customFormat="false" ht="12.75" hidden="false" customHeight="false" outlineLevel="0" collapsed="false">
      <c r="A22" s="173" t="s">
        <v>178</v>
      </c>
      <c r="B22" s="124"/>
      <c r="C22" s="187" t="n">
        <v>0</v>
      </c>
      <c r="D22" s="187" t="n">
        <v>0</v>
      </c>
      <c r="E22" s="187" t="n">
        <v>0</v>
      </c>
      <c r="F22" s="187" t="n">
        <v>0</v>
      </c>
      <c r="G22" s="187" t="n">
        <v>0</v>
      </c>
      <c r="H22" s="187" t="n">
        <v>0</v>
      </c>
      <c r="L22" s="0"/>
    </row>
    <row r="23" customFormat="false" ht="12.75" hidden="false" customHeight="false" outlineLevel="0" collapsed="false">
      <c r="A23" s="134" t="s">
        <v>179</v>
      </c>
      <c r="B23" s="134"/>
      <c r="C23" s="189" t="n">
        <f aca="false">SUM(C15:C22)</f>
        <v>30250</v>
      </c>
      <c r="D23" s="189" t="n">
        <f aca="false">SUM(D15:D22)</f>
        <v>2850</v>
      </c>
      <c r="E23" s="189" t="n">
        <f aca="false">SUM(E15:E22)</f>
        <v>1000</v>
      </c>
      <c r="F23" s="189" t="n">
        <f aca="false">SUM(F15:F22)</f>
        <v>500</v>
      </c>
      <c r="G23" s="189" t="n">
        <f aca="false">SUM(G15:G22)</f>
        <v>500</v>
      </c>
      <c r="H23" s="189" t="n">
        <f aca="false">SUM(H15:H22)</f>
        <v>500</v>
      </c>
      <c r="L23" s="0"/>
    </row>
    <row r="24" customFormat="false" ht="12.75" hidden="false" customHeight="false" outlineLevel="0" collapsed="false">
      <c r="A24" s="134" t="s">
        <v>180</v>
      </c>
      <c r="B24" s="134"/>
      <c r="C24" s="189" t="n">
        <f aca="false">+C13+C23</f>
        <v>30250</v>
      </c>
      <c r="D24" s="189" t="n">
        <f aca="false">+D13+D23</f>
        <v>2850</v>
      </c>
      <c r="E24" s="189" t="n">
        <f aca="false">+E13+E23</f>
        <v>1000</v>
      </c>
      <c r="F24" s="189" t="n">
        <f aca="false">+F13+F23</f>
        <v>500</v>
      </c>
      <c r="G24" s="189" t="n">
        <f aca="false">+G13+G23</f>
        <v>500</v>
      </c>
      <c r="H24" s="189" t="n">
        <f aca="false">+H13+H23</f>
        <v>500</v>
      </c>
      <c r="L24" s="0"/>
    </row>
    <row r="25" customFormat="false" ht="12.75" hidden="false" customHeight="false" outlineLevel="0" collapsed="false">
      <c r="A25" s="190" t="s">
        <v>181</v>
      </c>
      <c r="B25" s="191"/>
      <c r="C25" s="133"/>
      <c r="D25" s="133"/>
      <c r="E25" s="133"/>
      <c r="F25" s="133"/>
      <c r="G25" s="133"/>
      <c r="H25" s="133"/>
      <c r="L25" s="0"/>
    </row>
    <row r="26" customFormat="false" ht="12.75" hidden="false" customHeight="false" outlineLevel="0" collapsed="false">
      <c r="A26" s="191"/>
      <c r="B26" s="191"/>
      <c r="C26" s="133"/>
      <c r="D26" s="133"/>
      <c r="E26" s="133"/>
      <c r="F26" s="133"/>
      <c r="G26" s="133"/>
      <c r="H26" s="133"/>
      <c r="L26" s="0"/>
    </row>
    <row r="27" customFormat="false" ht="12.75" hidden="false" customHeight="false" outlineLevel="0" collapsed="false">
      <c r="A27" s="181" t="s">
        <v>182</v>
      </c>
      <c r="B27" s="181"/>
      <c r="C27" s="64" t="n">
        <f aca="false">+C6</f>
        <v>2016</v>
      </c>
      <c r="D27" s="64" t="n">
        <f aca="false">+D6</f>
        <v>2017</v>
      </c>
      <c r="E27" s="64" t="n">
        <f aca="false">+E6</f>
        <v>2018</v>
      </c>
      <c r="F27" s="64" t="n">
        <f aca="false">+F6</f>
        <v>2019</v>
      </c>
      <c r="G27" s="64" t="n">
        <f aca="false">+G6</f>
        <v>2020</v>
      </c>
      <c r="H27" s="64" t="n">
        <f aca="false">+H6</f>
        <v>2021</v>
      </c>
      <c r="L27" s="0"/>
    </row>
    <row r="28" customFormat="false" ht="12.75" hidden="false" customHeight="false" outlineLevel="0" collapsed="false">
      <c r="A28" s="71" t="s">
        <v>167</v>
      </c>
      <c r="B28" s="124"/>
      <c r="C28" s="28"/>
      <c r="D28" s="28"/>
      <c r="E28" s="28"/>
      <c r="F28" s="28"/>
      <c r="G28" s="28"/>
      <c r="H28" s="28"/>
      <c r="L28" s="0"/>
    </row>
    <row r="29" customFormat="false" ht="12.75" hidden="false" customHeight="false" outlineLevel="0" collapsed="false">
      <c r="A29" s="173" t="s">
        <v>168</v>
      </c>
      <c r="B29" s="124"/>
      <c r="C29" s="160" t="n">
        <f aca="false">+C8</f>
        <v>0</v>
      </c>
      <c r="D29" s="160" t="n">
        <f aca="false">+C29+D8</f>
        <v>0</v>
      </c>
      <c r="E29" s="160" t="n">
        <f aca="false">+D29+E8</f>
        <v>0</v>
      </c>
      <c r="F29" s="160" t="n">
        <f aca="false">+E29+F8</f>
        <v>0</v>
      </c>
      <c r="G29" s="160" t="n">
        <f aca="false">+F29+G8</f>
        <v>0</v>
      </c>
      <c r="H29" s="160" t="n">
        <f aca="false">+G29+H8</f>
        <v>0</v>
      </c>
      <c r="L29" s="19" t="s">
        <v>78</v>
      </c>
    </row>
    <row r="30" customFormat="false" ht="12.75" hidden="false" customHeight="false" outlineLevel="0" collapsed="false">
      <c r="A30" s="173"/>
      <c r="B30" s="124"/>
      <c r="C30" s="160" t="n">
        <f aca="false">+C9</f>
        <v>0</v>
      </c>
      <c r="D30" s="160" t="n">
        <f aca="false">+C30+D9</f>
        <v>0</v>
      </c>
      <c r="E30" s="160" t="n">
        <f aca="false">+D30+E9</f>
        <v>0</v>
      </c>
      <c r="F30" s="160" t="n">
        <f aca="false">+E30+F9</f>
        <v>0</v>
      </c>
      <c r="G30" s="160" t="n">
        <f aca="false">+F30+G9</f>
        <v>0</v>
      </c>
      <c r="H30" s="160" t="n">
        <f aca="false">+G30+H9</f>
        <v>0</v>
      </c>
    </row>
    <row r="31" customFormat="false" ht="12.75" hidden="false" customHeight="false" outlineLevel="0" collapsed="false">
      <c r="A31" s="173" t="s">
        <v>183</v>
      </c>
      <c r="B31" s="124"/>
      <c r="C31" s="160" t="n">
        <f aca="false">+C10</f>
        <v>0</v>
      </c>
      <c r="D31" s="160" t="n">
        <f aca="false">+C31+D10</f>
        <v>0</v>
      </c>
      <c r="E31" s="160" t="n">
        <f aca="false">+D31+E10</f>
        <v>0</v>
      </c>
      <c r="F31" s="160" t="n">
        <f aca="false">+E31+F10</f>
        <v>0</v>
      </c>
      <c r="G31" s="160" t="n">
        <f aca="false">+F31+G10</f>
        <v>0</v>
      </c>
      <c r="H31" s="160" t="n">
        <f aca="false">+G31+H10</f>
        <v>0</v>
      </c>
    </row>
    <row r="32" customFormat="false" ht="12.75" hidden="false" customHeight="false" outlineLevel="0" collapsed="false">
      <c r="A32" s="173"/>
      <c r="B32" s="124"/>
      <c r="C32" s="160" t="n">
        <f aca="false">+C11</f>
        <v>0</v>
      </c>
      <c r="D32" s="160" t="n">
        <f aca="false">+C32+D11</f>
        <v>0</v>
      </c>
      <c r="E32" s="160" t="n">
        <f aca="false">+D32+E11</f>
        <v>0</v>
      </c>
      <c r="F32" s="160" t="n">
        <f aca="false">+E32+F11</f>
        <v>0</v>
      </c>
      <c r="G32" s="160" t="n">
        <f aca="false">+F32+G11</f>
        <v>0</v>
      </c>
      <c r="H32" s="160" t="n">
        <f aca="false">+G32+H11</f>
        <v>0</v>
      </c>
    </row>
    <row r="33" customFormat="false" ht="12.75" hidden="false" customHeight="false" outlineLevel="0" collapsed="false">
      <c r="A33" s="183" t="s">
        <v>170</v>
      </c>
      <c r="B33" s="184"/>
      <c r="C33" s="160" t="n">
        <f aca="false">+C12</f>
        <v>0</v>
      </c>
      <c r="D33" s="160" t="n">
        <f aca="false">+C33+D12</f>
        <v>0</v>
      </c>
      <c r="E33" s="160" t="n">
        <f aca="false">+D33+E12</f>
        <v>0</v>
      </c>
      <c r="F33" s="160" t="n">
        <f aca="false">+E33+F12</f>
        <v>0</v>
      </c>
      <c r="G33" s="160" t="n">
        <f aca="false">+F33+G12</f>
        <v>0</v>
      </c>
      <c r="H33" s="160" t="n">
        <f aca="false">+G33+H12</f>
        <v>0</v>
      </c>
    </row>
    <row r="34" customFormat="false" ht="12.75" hidden="false" customHeight="false" outlineLevel="0" collapsed="false">
      <c r="A34" s="134" t="s">
        <v>171</v>
      </c>
      <c r="B34" s="134"/>
      <c r="C34" s="81" t="n">
        <f aca="false">SUM(C29:C33)</f>
        <v>0</v>
      </c>
      <c r="D34" s="81" t="n">
        <f aca="false">SUM(D29:D33)</f>
        <v>0</v>
      </c>
      <c r="E34" s="81" t="n">
        <f aca="false">SUM(E29:E33)</f>
        <v>0</v>
      </c>
      <c r="F34" s="81" t="n">
        <f aca="false">SUM(F29:F33)</f>
        <v>0</v>
      </c>
      <c r="G34" s="81" t="n">
        <f aca="false">SUM(G29:G33)</f>
        <v>0</v>
      </c>
      <c r="H34" s="81" t="n">
        <f aca="false">SUM(H29:H33)</f>
        <v>0</v>
      </c>
    </row>
    <row r="35" customFormat="false" ht="12.75" hidden="false" customHeight="false" outlineLevel="0" collapsed="false">
      <c r="A35" s="71" t="s">
        <v>172</v>
      </c>
      <c r="B35" s="124"/>
      <c r="C35" s="28"/>
      <c r="D35" s="28"/>
      <c r="E35" s="28"/>
      <c r="F35" s="28"/>
      <c r="G35" s="28"/>
      <c r="H35" s="28"/>
    </row>
    <row r="36" customFormat="false" ht="12.75" hidden="false" customHeight="false" outlineLevel="0" collapsed="false">
      <c r="A36" s="173"/>
      <c r="B36" s="124"/>
      <c r="C36" s="160" t="n">
        <f aca="false">+C15</f>
        <v>0</v>
      </c>
      <c r="D36" s="160" t="n">
        <f aca="false">+C36+D15</f>
        <v>0</v>
      </c>
      <c r="E36" s="160" t="n">
        <f aca="false">+D36+E15</f>
        <v>0</v>
      </c>
      <c r="F36" s="160" t="n">
        <f aca="false">+E36+F15</f>
        <v>0</v>
      </c>
      <c r="G36" s="160" t="n">
        <f aca="false">+F36+G15</f>
        <v>0</v>
      </c>
      <c r="H36" s="160" t="n">
        <f aca="false">+G36+H15</f>
        <v>0</v>
      </c>
    </row>
    <row r="37" customFormat="false" ht="12.75" hidden="false" customHeight="false" outlineLevel="0" collapsed="false">
      <c r="A37" s="173" t="s">
        <v>184</v>
      </c>
      <c r="B37" s="124"/>
      <c r="C37" s="160" t="n">
        <f aca="false">+C16</f>
        <v>0</v>
      </c>
      <c r="D37" s="160" t="n">
        <f aca="false">+C37+D16</f>
        <v>0</v>
      </c>
      <c r="E37" s="160" t="n">
        <f aca="false">+D37+E16</f>
        <v>0</v>
      </c>
      <c r="F37" s="160" t="n">
        <f aca="false">+E37+F16</f>
        <v>0</v>
      </c>
      <c r="G37" s="160" t="n">
        <f aca="false">+F37+G16</f>
        <v>0</v>
      </c>
      <c r="H37" s="160" t="n">
        <f aca="false">+G37+H16</f>
        <v>0</v>
      </c>
    </row>
    <row r="38" customFormat="false" ht="12.75" hidden="false" customHeight="false" outlineLevel="0" collapsed="false">
      <c r="A38" s="173" t="s">
        <v>174</v>
      </c>
      <c r="B38" s="124"/>
      <c r="C38" s="160" t="n">
        <f aca="false">+C17</f>
        <v>250</v>
      </c>
      <c r="D38" s="160" t="n">
        <f aca="false">+C38+D17</f>
        <v>600</v>
      </c>
      <c r="E38" s="160" t="n">
        <f aca="false">+D38+E17</f>
        <v>600</v>
      </c>
      <c r="F38" s="160" t="n">
        <f aca="false">+E38+F17</f>
        <v>600</v>
      </c>
      <c r="G38" s="160" t="n">
        <f aca="false">+F38+G17</f>
        <v>600</v>
      </c>
      <c r="H38" s="160" t="n">
        <f aca="false">+G38+H17</f>
        <v>600</v>
      </c>
    </row>
    <row r="39" customFormat="false" ht="12.75" hidden="false" customHeight="false" outlineLevel="0" collapsed="false">
      <c r="A39" s="173" t="s">
        <v>175</v>
      </c>
      <c r="B39" s="124"/>
      <c r="C39" s="160" t="n">
        <f aca="false">+C18</f>
        <v>0</v>
      </c>
      <c r="D39" s="160" t="n">
        <f aca="false">+C39+D18</f>
        <v>0</v>
      </c>
      <c r="E39" s="160" t="n">
        <f aca="false">+D39+E18</f>
        <v>0</v>
      </c>
      <c r="F39" s="160" t="n">
        <f aca="false">+E39+F18</f>
        <v>0</v>
      </c>
      <c r="G39" s="160" t="n">
        <f aca="false">+F39+G18</f>
        <v>0</v>
      </c>
      <c r="H39" s="160" t="n">
        <v>0</v>
      </c>
    </row>
    <row r="40" customFormat="false" ht="12.75" hidden="false" customHeight="false" outlineLevel="0" collapsed="false">
      <c r="A40" s="173" t="s">
        <v>176</v>
      </c>
      <c r="B40" s="124"/>
      <c r="C40" s="160" t="n">
        <f aca="false">+C19</f>
        <v>30000</v>
      </c>
      <c r="D40" s="160" t="n">
        <f aca="false">+C40+D19</f>
        <v>30000</v>
      </c>
      <c r="E40" s="160" t="n">
        <f aca="false">+D40+E19</f>
        <v>30000</v>
      </c>
      <c r="F40" s="160" t="n">
        <f aca="false">+E40+F19</f>
        <v>30000</v>
      </c>
      <c r="G40" s="160" t="n">
        <f aca="false">+F40+G19</f>
        <v>30000</v>
      </c>
      <c r="H40" s="160" t="n">
        <f aca="false">+G40+H19</f>
        <v>30000</v>
      </c>
    </row>
    <row r="41" customFormat="false" ht="12.75" hidden="false" customHeight="false" outlineLevel="0" collapsed="false">
      <c r="A41" s="173" t="s">
        <v>177</v>
      </c>
      <c r="B41" s="124"/>
      <c r="C41" s="160" t="n">
        <f aca="false">+C20</f>
        <v>0</v>
      </c>
      <c r="D41" s="160" t="n">
        <f aca="false">+C41+D20</f>
        <v>2500</v>
      </c>
      <c r="E41" s="160" t="n">
        <f aca="false">+D41+E20</f>
        <v>3500</v>
      </c>
      <c r="F41" s="160" t="n">
        <f aca="false">+E41+F20</f>
        <v>4000</v>
      </c>
      <c r="G41" s="160" t="n">
        <f aca="false">+F41+G20</f>
        <v>4500</v>
      </c>
      <c r="H41" s="160" t="n">
        <f aca="false">+G41+H20</f>
        <v>5000</v>
      </c>
    </row>
    <row r="42" customFormat="false" ht="12.75" hidden="false" customHeight="false" outlineLevel="0" collapsed="false">
      <c r="A42" s="173"/>
      <c r="B42" s="124"/>
      <c r="C42" s="160" t="n">
        <f aca="false">+C21</f>
        <v>0</v>
      </c>
      <c r="D42" s="160" t="n">
        <f aca="false">+C42+D21</f>
        <v>0</v>
      </c>
      <c r="E42" s="160" t="n">
        <f aca="false">+D42+E21</f>
        <v>0</v>
      </c>
      <c r="F42" s="160" t="n">
        <f aca="false">+E42+F21</f>
        <v>0</v>
      </c>
      <c r="G42" s="160" t="n">
        <f aca="false">+F42+G21</f>
        <v>0</v>
      </c>
      <c r="H42" s="160" t="n">
        <f aca="false">+G42+H21</f>
        <v>0</v>
      </c>
    </row>
    <row r="43" customFormat="false" ht="12.75" hidden="false" customHeight="false" outlineLevel="0" collapsed="false">
      <c r="A43" s="173" t="s">
        <v>178</v>
      </c>
      <c r="B43" s="124"/>
      <c r="C43" s="160" t="n">
        <f aca="false">+C22</f>
        <v>0</v>
      </c>
      <c r="D43" s="160" t="n">
        <f aca="false">+C43+D22</f>
        <v>0</v>
      </c>
      <c r="E43" s="160" t="n">
        <f aca="false">+D43+E22</f>
        <v>0</v>
      </c>
      <c r="F43" s="160" t="n">
        <f aca="false">+E43+F22</f>
        <v>0</v>
      </c>
      <c r="G43" s="160" t="n">
        <f aca="false">+F43+G22</f>
        <v>0</v>
      </c>
      <c r="H43" s="160" t="n">
        <f aca="false">+G43+H22</f>
        <v>0</v>
      </c>
    </row>
    <row r="44" customFormat="false" ht="12.75" hidden="false" customHeight="false" outlineLevel="0" collapsed="false">
      <c r="A44" s="134" t="s">
        <v>179</v>
      </c>
      <c r="B44" s="134"/>
      <c r="C44" s="81" t="n">
        <f aca="false">SUM(C36:C43)</f>
        <v>30250</v>
      </c>
      <c r="D44" s="81" t="n">
        <f aca="false">SUM(D36:D43)</f>
        <v>33100</v>
      </c>
      <c r="E44" s="81" t="n">
        <f aca="false">SUM(E36:E43)</f>
        <v>34100</v>
      </c>
      <c r="F44" s="81" t="n">
        <f aca="false">SUM(F36:F43)</f>
        <v>34600</v>
      </c>
      <c r="G44" s="81" t="n">
        <f aca="false">SUM(G36:G43)</f>
        <v>35100</v>
      </c>
      <c r="H44" s="81" t="n">
        <f aca="false">SUM(H36:H43)</f>
        <v>35600</v>
      </c>
    </row>
    <row r="45" customFormat="false" ht="12.75" hidden="false" customHeight="false" outlineLevel="0" collapsed="false">
      <c r="A45" s="134" t="s">
        <v>185</v>
      </c>
      <c r="B45" s="134"/>
      <c r="C45" s="81" t="n">
        <f aca="false">+C34+C44</f>
        <v>30250</v>
      </c>
      <c r="D45" s="81" t="n">
        <f aca="false">+D34+D44</f>
        <v>33100</v>
      </c>
      <c r="E45" s="81" t="n">
        <f aca="false">+E34+E44</f>
        <v>34100</v>
      </c>
      <c r="F45" s="81" t="n">
        <f aca="false">+F34+F44</f>
        <v>34600</v>
      </c>
      <c r="G45" s="81" t="n">
        <f aca="false">+G34+G44</f>
        <v>35100</v>
      </c>
      <c r="H45" s="81" t="n">
        <f aca="false">+H34+H44</f>
        <v>35600</v>
      </c>
    </row>
    <row r="46" customFormat="false" ht="12.75" hidden="false" customHeight="false" outlineLevel="0" collapsed="false">
      <c r="A46" s="191"/>
      <c r="B46" s="191"/>
      <c r="C46" s="133"/>
      <c r="D46" s="133"/>
      <c r="E46" s="133"/>
      <c r="F46" s="133"/>
      <c r="G46" s="133"/>
      <c r="H46" s="133"/>
    </row>
    <row r="47" customFormat="false" ht="12.75" hidden="false" customHeight="false" outlineLevel="0" collapsed="false">
      <c r="A47" s="191"/>
      <c r="B47" s="191"/>
      <c r="C47" s="133"/>
      <c r="D47" s="133"/>
      <c r="E47" s="133"/>
      <c r="F47" s="133"/>
      <c r="G47" s="133"/>
      <c r="H47" s="133"/>
    </row>
    <row r="48" customFormat="false" ht="12.75" hidden="false" customHeight="false" outlineLevel="0" collapsed="false">
      <c r="A48" s="192" t="s">
        <v>186</v>
      </c>
      <c r="B48" s="64" t="s">
        <v>187</v>
      </c>
      <c r="C48" s="64" t="n">
        <f aca="false">+C6</f>
        <v>2016</v>
      </c>
      <c r="D48" s="64" t="n">
        <f aca="false">+D6</f>
        <v>2017</v>
      </c>
      <c r="E48" s="64" t="n">
        <f aca="false">+E6</f>
        <v>2018</v>
      </c>
      <c r="F48" s="64" t="n">
        <f aca="false">+F6</f>
        <v>2019</v>
      </c>
      <c r="G48" s="64" t="n">
        <f aca="false">+G6</f>
        <v>2020</v>
      </c>
      <c r="H48" s="64" t="n">
        <f aca="false">+H6</f>
        <v>2021</v>
      </c>
    </row>
    <row r="49" customFormat="false" ht="12.75" hidden="false" customHeight="false" outlineLevel="0" collapsed="false">
      <c r="A49" s="71" t="s">
        <v>167</v>
      </c>
      <c r="B49" s="184"/>
      <c r="C49" s="160"/>
      <c r="D49" s="160"/>
      <c r="E49" s="160"/>
      <c r="F49" s="160"/>
      <c r="G49" s="160"/>
      <c r="H49" s="160"/>
    </row>
    <row r="50" customFormat="false" ht="12.75" hidden="false" customHeight="false" outlineLevel="0" collapsed="false">
      <c r="A50" s="173" t="s">
        <v>188</v>
      </c>
      <c r="B50" s="193" t="n">
        <f aca="false">1/3</f>
        <v>0.333333333333333</v>
      </c>
      <c r="C50" s="160" t="n">
        <f aca="false">C8*B50</f>
        <v>0</v>
      </c>
      <c r="D50" s="160" t="n">
        <f aca="false">C50+(D8*B50)</f>
        <v>0</v>
      </c>
      <c r="E50" s="160" t="n">
        <f aca="false">+(C8+D8+E8)*B50</f>
        <v>0</v>
      </c>
      <c r="F50" s="160" t="n">
        <f aca="false">+(D8+E8+F8)*B50</f>
        <v>0</v>
      </c>
      <c r="G50" s="160" t="n">
        <f aca="false">+(E8+F8+G8)*B50</f>
        <v>0</v>
      </c>
      <c r="H50" s="160" t="n">
        <f aca="false">+(F8+G8+H8)*B50</f>
        <v>0</v>
      </c>
    </row>
    <row r="51" customFormat="false" ht="12.75" hidden="false" customHeight="false" outlineLevel="0" collapsed="false">
      <c r="A51" s="173"/>
      <c r="B51" s="193" t="n">
        <f aca="false">1/3</f>
        <v>0.333333333333333</v>
      </c>
      <c r="C51" s="160" t="n">
        <f aca="false">C9*B51</f>
        <v>0</v>
      </c>
      <c r="D51" s="160" t="n">
        <f aca="false">C51+(D9*B51)</f>
        <v>0</v>
      </c>
      <c r="E51" s="160" t="n">
        <f aca="false">+(C9+D9+E9)*B51</f>
        <v>0</v>
      </c>
      <c r="F51" s="160" t="n">
        <f aca="false">+(D9+E9+F9)*B51</f>
        <v>0</v>
      </c>
      <c r="G51" s="160" t="n">
        <f aca="false">+(E9+F9+G9)*B51</f>
        <v>0</v>
      </c>
      <c r="H51" s="160" t="n">
        <f aca="false">+(F9+G9+H9)*B51</f>
        <v>0</v>
      </c>
    </row>
    <row r="52" customFormat="false" ht="12.75" hidden="false" customHeight="false" outlineLevel="0" collapsed="false">
      <c r="A52" s="173" t="s">
        <v>183</v>
      </c>
      <c r="B52" s="193" t="n">
        <f aca="false">1/3</f>
        <v>0.333333333333333</v>
      </c>
      <c r="C52" s="160" t="n">
        <f aca="false">C10*B52</f>
        <v>0</v>
      </c>
      <c r="D52" s="160" t="n">
        <f aca="false">C52+(D10*B52)</f>
        <v>0</v>
      </c>
      <c r="E52" s="160" t="n">
        <f aca="false">+(C10+D10+E10)*B52</f>
        <v>0</v>
      </c>
      <c r="F52" s="160" t="n">
        <f aca="false">+(D10+E10+F10)*B52</f>
        <v>0</v>
      </c>
      <c r="G52" s="160" t="n">
        <f aca="false">+(E10+F10+G10)*B52</f>
        <v>0</v>
      </c>
      <c r="H52" s="160" t="n">
        <f aca="false">+(F10+G10+H10)*B52</f>
        <v>0</v>
      </c>
    </row>
    <row r="53" customFormat="false" ht="12.75" hidden="false" customHeight="false" outlineLevel="0" collapsed="false">
      <c r="A53" s="173"/>
      <c r="B53" s="193" t="n">
        <f aca="false">1/3</f>
        <v>0.333333333333333</v>
      </c>
      <c r="C53" s="160" t="n">
        <f aca="false">C11*B53</f>
        <v>0</v>
      </c>
      <c r="D53" s="160" t="n">
        <f aca="false">C53+(D11*B53)</f>
        <v>0</v>
      </c>
      <c r="E53" s="160" t="n">
        <f aca="false">+(C11+D11+E11)*B53</f>
        <v>0</v>
      </c>
      <c r="F53" s="160" t="n">
        <f aca="false">+(D11+E11+F11)*B53</f>
        <v>0</v>
      </c>
      <c r="G53" s="160" t="n">
        <f aca="false">+(E11+F11+G11)*B53</f>
        <v>0</v>
      </c>
      <c r="H53" s="160" t="n">
        <f aca="false">+(F11+G11+H11)*B53</f>
        <v>0</v>
      </c>
    </row>
    <row r="54" customFormat="false" ht="12.75" hidden="false" customHeight="false" outlineLevel="0" collapsed="false">
      <c r="A54" s="183" t="s">
        <v>170</v>
      </c>
      <c r="B54" s="193" t="n">
        <f aca="false">1/3</f>
        <v>0.333333333333333</v>
      </c>
      <c r="C54" s="160" t="n">
        <f aca="false">C12*B54</f>
        <v>0</v>
      </c>
      <c r="D54" s="160" t="n">
        <f aca="false">C54+(D12*B54)</f>
        <v>0</v>
      </c>
      <c r="E54" s="160" t="n">
        <f aca="false">+(C12+D12+E12)*B54</f>
        <v>0</v>
      </c>
      <c r="F54" s="160" t="n">
        <f aca="false">+(D12+E12+F12)*B54</f>
        <v>0</v>
      </c>
      <c r="G54" s="160" t="n">
        <f aca="false">+(E12+F12+G12)*B54</f>
        <v>0</v>
      </c>
      <c r="H54" s="160" t="n">
        <f aca="false">+(F12+G12+H12)*B54</f>
        <v>0</v>
      </c>
    </row>
    <row r="55" customFormat="false" ht="12.75" hidden="false" customHeight="false" outlineLevel="0" collapsed="false">
      <c r="A55" s="134" t="s">
        <v>171</v>
      </c>
      <c r="B55" s="134"/>
      <c r="C55" s="81" t="n">
        <f aca="false">SUM(C50:C53)</f>
        <v>0</v>
      </c>
      <c r="D55" s="81" t="n">
        <f aca="false">SUM(D50:D53)</f>
        <v>0</v>
      </c>
      <c r="E55" s="81" t="n">
        <f aca="false">SUM(E50:E53)</f>
        <v>0</v>
      </c>
      <c r="F55" s="81" t="n">
        <f aca="false">SUM(F50:F53)</f>
        <v>0</v>
      </c>
      <c r="G55" s="81" t="n">
        <f aca="false">SUM(G50:G53)</f>
        <v>0</v>
      </c>
      <c r="H55" s="81" t="n">
        <f aca="false">SUM(H50:H53)</f>
        <v>0</v>
      </c>
    </row>
    <row r="56" customFormat="false" ht="12.75" hidden="false" customHeight="false" outlineLevel="0" collapsed="false">
      <c r="A56" s="71" t="str">
        <f aca="false">+A35</f>
        <v>Imobilizado Corpóreo</v>
      </c>
      <c r="B56" s="184"/>
      <c r="C56" s="160"/>
      <c r="D56" s="160"/>
      <c r="E56" s="160"/>
      <c r="F56" s="160"/>
      <c r="G56" s="160"/>
      <c r="H56" s="160"/>
    </row>
    <row r="57" customFormat="false" ht="12.75" hidden="false" customHeight="false" outlineLevel="0" collapsed="false">
      <c r="A57" s="173" t="n">
        <f aca="false">+A36</f>
        <v>0</v>
      </c>
      <c r="B57" s="193"/>
      <c r="C57" s="160"/>
      <c r="D57" s="160"/>
      <c r="E57" s="160"/>
      <c r="F57" s="160"/>
      <c r="G57" s="160"/>
      <c r="H57" s="160"/>
    </row>
    <row r="58" customFormat="false" ht="12.75" hidden="false" customHeight="false" outlineLevel="0" collapsed="false">
      <c r="A58" s="173" t="str">
        <f aca="false">+A37</f>
        <v>   Edificios e outras construções</v>
      </c>
      <c r="B58" s="193" t="n">
        <v>0.05</v>
      </c>
      <c r="C58" s="160" t="n">
        <f aca="false">+C16*B58</f>
        <v>0</v>
      </c>
      <c r="D58" s="160" t="n">
        <f aca="false">+SUM($C$16:D16)*$B$58</f>
        <v>0</v>
      </c>
      <c r="E58" s="160" t="n">
        <f aca="false">+SUM($C$16:E16)*$B$58</f>
        <v>0</v>
      </c>
      <c r="F58" s="160" t="n">
        <f aca="false">+SUM($C$16:F16)*$B$58</f>
        <v>0</v>
      </c>
      <c r="G58" s="160" t="n">
        <f aca="false">+SUM($C$16:G16)*$B$58</f>
        <v>0</v>
      </c>
      <c r="H58" s="160" t="n">
        <f aca="false">+SUM($C$16:H16)*$B$58</f>
        <v>0</v>
      </c>
    </row>
    <row r="59" customFormat="false" ht="12.75" hidden="false" customHeight="false" outlineLevel="0" collapsed="false">
      <c r="A59" s="173" t="str">
        <f aca="false">+A38</f>
        <v>   Equipamento básico</v>
      </c>
      <c r="B59" s="193" t="n">
        <v>0.2</v>
      </c>
      <c r="C59" s="160" t="n">
        <f aca="false">+C17*B59</f>
        <v>50</v>
      </c>
      <c r="D59" s="160" t="n">
        <f aca="false">+SUM($C$17:D17)*$B$59</f>
        <v>120</v>
      </c>
      <c r="E59" s="160" t="n">
        <f aca="false">+SUM($C$17:E17)*$B$59</f>
        <v>120</v>
      </c>
      <c r="F59" s="160" t="n">
        <f aca="false">+SUM($C$17:F17)*$B$59</f>
        <v>120</v>
      </c>
      <c r="G59" s="160" t="n">
        <f aca="false">+SUM($C$17:G17)*$B$59</f>
        <v>120</v>
      </c>
      <c r="H59" s="160" t="n">
        <f aca="false">+SUM($D$17:H17)*$B$59</f>
        <v>70</v>
      </c>
    </row>
    <row r="60" customFormat="false" ht="12.75" hidden="false" customHeight="false" outlineLevel="0" collapsed="false">
      <c r="A60" s="173" t="str">
        <f aca="false">+A39</f>
        <v>   Equipamento de transporte</v>
      </c>
      <c r="B60" s="193" t="n">
        <v>0.25</v>
      </c>
      <c r="C60" s="160" t="n">
        <f aca="false">+B60*C18</f>
        <v>0</v>
      </c>
      <c r="D60" s="160" t="n">
        <f aca="false">+$B$60*SUM($C$18:D18)</f>
        <v>0</v>
      </c>
      <c r="E60" s="160" t="n">
        <f aca="false">+$B$60*SUM($C$18:E18)</f>
        <v>0</v>
      </c>
      <c r="F60" s="160" t="n">
        <f aca="false">+$B$60*SUM($C$18:F18)</f>
        <v>0</v>
      </c>
      <c r="G60" s="160" t="n">
        <f aca="false">+B60*SUM(D18:G18)</f>
        <v>0</v>
      </c>
      <c r="H60" s="160" t="n">
        <f aca="false">+B60*SUM(E18:H18)</f>
        <v>0</v>
      </c>
    </row>
    <row r="61" customFormat="false" ht="12.75" hidden="false" customHeight="false" outlineLevel="0" collapsed="false">
      <c r="A61" s="173" t="str">
        <f aca="false">+A40</f>
        <v>   Ferramentas e utensílios e moldes</v>
      </c>
      <c r="B61" s="193" t="n">
        <v>0.25</v>
      </c>
      <c r="C61" s="160" t="n">
        <f aca="false">+B61*C19</f>
        <v>7500</v>
      </c>
      <c r="D61" s="160" t="n">
        <f aca="false">+$B$61*SUM($C$19:D19)</f>
        <v>7500</v>
      </c>
      <c r="E61" s="160" t="n">
        <f aca="false">+$B$61*SUM($C$19:E19)</f>
        <v>7500</v>
      </c>
      <c r="F61" s="160" t="n">
        <f aca="false">+$B$61*SUM($C$19:F19)</f>
        <v>7500</v>
      </c>
      <c r="G61" s="160" t="n">
        <f aca="false">+B61*SUM(D19:G19)</f>
        <v>0</v>
      </c>
      <c r="H61" s="160" t="n">
        <f aca="false">+B61*SUM(E19:H19)</f>
        <v>0</v>
      </c>
    </row>
    <row r="62" customFormat="false" ht="12.75" hidden="false" customHeight="false" outlineLevel="0" collapsed="false">
      <c r="A62" s="173" t="str">
        <f aca="false">+A41</f>
        <v>   Equipamento administrativo</v>
      </c>
      <c r="B62" s="193" t="n">
        <v>0.25</v>
      </c>
      <c r="C62" s="160" t="n">
        <f aca="false">+B62*C20</f>
        <v>0</v>
      </c>
      <c r="D62" s="160" t="n">
        <f aca="false">+$B$62*SUM($C$20:D20)</f>
        <v>625</v>
      </c>
      <c r="E62" s="160" t="n">
        <f aca="false">+$B$62*SUM($C$20:E20)</f>
        <v>875</v>
      </c>
      <c r="F62" s="160" t="n">
        <f aca="false">+$B$62*SUM($C$20:F20)</f>
        <v>1000</v>
      </c>
      <c r="G62" s="160" t="n">
        <f aca="false">+B62*SUM(D20:G20)</f>
        <v>1125</v>
      </c>
      <c r="H62" s="160" t="n">
        <f aca="false">+B62*SUM(E20:H20)</f>
        <v>625</v>
      </c>
    </row>
    <row r="63" customFormat="false" ht="12.75" hidden="false" customHeight="false" outlineLevel="0" collapsed="false">
      <c r="A63" s="173" t="n">
        <f aca="false">+A42</f>
        <v>0</v>
      </c>
      <c r="B63" s="193" t="n">
        <f aca="false">1/7</f>
        <v>0.142857142857143</v>
      </c>
      <c r="C63" s="160" t="n">
        <f aca="false">+B63*C21</f>
        <v>0</v>
      </c>
      <c r="D63" s="160" t="n">
        <f aca="false">+$B$63*SUM($C$21:D21)</f>
        <v>0</v>
      </c>
      <c r="E63" s="160" t="n">
        <f aca="false">+$B$63*SUM($C$21:E21)</f>
        <v>0</v>
      </c>
      <c r="F63" s="160" t="n">
        <f aca="false">+$B$63*SUM($C$21:F21)</f>
        <v>0</v>
      </c>
      <c r="G63" s="160" t="n">
        <f aca="false">+$B$63*SUM($C$21:G21)</f>
        <v>0</v>
      </c>
      <c r="H63" s="160" t="n">
        <f aca="false">+$B$63*SUM($C$21:H21)</f>
        <v>0</v>
      </c>
    </row>
    <row r="64" customFormat="false" ht="12.75" hidden="false" customHeight="false" outlineLevel="0" collapsed="false">
      <c r="A64" s="173" t="str">
        <f aca="false">+A43</f>
        <v>   Outras imobilizações corpóreas</v>
      </c>
      <c r="B64" s="193" t="n">
        <v>0.2</v>
      </c>
      <c r="C64" s="160" t="n">
        <f aca="false">+B64*C22</f>
        <v>0</v>
      </c>
      <c r="D64" s="160" t="n">
        <f aca="false">+$B$64*SUM($C$22:D22)</f>
        <v>0</v>
      </c>
      <c r="E64" s="160" t="n">
        <f aca="false">+$B$64*SUM($C$22:E22)</f>
        <v>0</v>
      </c>
      <c r="F64" s="160" t="s">
        <v>78</v>
      </c>
      <c r="G64" s="160" t="n">
        <f aca="false">+$B$64*SUM($C$22:G22)</f>
        <v>0</v>
      </c>
      <c r="H64" s="160" t="n">
        <f aca="false">+B64*SUM(D22:H22)</f>
        <v>0</v>
      </c>
    </row>
    <row r="65" customFormat="false" ht="12.75" hidden="false" customHeight="false" outlineLevel="0" collapsed="false">
      <c r="A65" s="134" t="str">
        <f aca="false">+A44</f>
        <v>Total Imobilizado Corpóreo</v>
      </c>
      <c r="B65" s="134"/>
      <c r="C65" s="81" t="n">
        <f aca="false">SUM(C57:C64)</f>
        <v>7550</v>
      </c>
      <c r="D65" s="81" t="n">
        <f aca="false">SUM(D57:D64)</f>
        <v>8245</v>
      </c>
      <c r="E65" s="81" t="n">
        <f aca="false">SUM(E57:E64)</f>
        <v>8495</v>
      </c>
      <c r="F65" s="81" t="n">
        <f aca="false">SUM(F57:F64)</f>
        <v>8620</v>
      </c>
      <c r="G65" s="81" t="n">
        <f aca="false">SUM(G57:G64)</f>
        <v>1245</v>
      </c>
      <c r="H65" s="81" t="n">
        <f aca="false">SUM(H57:H64)</f>
        <v>695</v>
      </c>
    </row>
    <row r="66" customFormat="false" ht="12.75" hidden="false" customHeight="false" outlineLevel="0" collapsed="false">
      <c r="A66" s="134" t="s">
        <v>189</v>
      </c>
      <c r="B66" s="134"/>
      <c r="C66" s="81" t="n">
        <f aca="false">+C55+C65</f>
        <v>7550</v>
      </c>
      <c r="D66" s="81" t="n">
        <f aca="false">+D55+D65</f>
        <v>8245</v>
      </c>
      <c r="E66" s="81" t="n">
        <f aca="false">+E55+E65</f>
        <v>8495</v>
      </c>
      <c r="F66" s="81" t="n">
        <f aca="false">+F55+F65</f>
        <v>8620</v>
      </c>
      <c r="G66" s="81" t="n">
        <f aca="false">+G55+G65</f>
        <v>1245</v>
      </c>
      <c r="H66" s="81" t="n">
        <f aca="false">+H55+H65</f>
        <v>695</v>
      </c>
    </row>
  </sheetData>
  <mergeCells count="12">
    <mergeCell ref="A3:H3"/>
    <mergeCell ref="A6:B6"/>
    <mergeCell ref="A13:B13"/>
    <mergeCell ref="A23:B23"/>
    <mergeCell ref="A24:B24"/>
    <mergeCell ref="A27:B27"/>
    <mergeCell ref="A34:B34"/>
    <mergeCell ref="A44:B44"/>
    <mergeCell ref="A45:B45"/>
    <mergeCell ref="A55:B55"/>
    <mergeCell ref="A65:B65"/>
    <mergeCell ref="A66:B66"/>
  </mergeCells>
  <printOptions headings="false" gridLines="false" gridLinesSet="true" horizontalCentered="true" verticalCentered="false"/>
  <pageMargins left="0.75" right="0.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5"/>
  <sheetViews>
    <sheetView windowProtection="false" showFormulas="false" showGridLines="false" showRowColHeaders="true" showZeros="true" rightToLeft="false" tabSelected="false" showOutlineSymbols="true" defaultGridColor="true" view="normal" topLeftCell="J1" colorId="64" zoomScale="120" zoomScaleNormal="120" zoomScalePageLayoutView="100" workbookViewId="0">
      <selection pane="topLeft" activeCell="C8" activeCellId="0" sqref="C8"/>
    </sheetView>
  </sheetViews>
  <sheetFormatPr defaultRowHeight="12.75"/>
  <cols>
    <col collapsed="false" hidden="false" max="1" min="1" style="19" width="30.4732142857143"/>
    <col collapsed="false" hidden="false" max="2" min="2" style="19" width="7.44196428571429"/>
    <col collapsed="false" hidden="false" max="13" min="3" style="19" width="11.2232142857143"/>
    <col collapsed="false" hidden="false" max="1025" min="14" style="19" width="8.74107142857143"/>
  </cols>
  <sheetData>
    <row r="1" customFormat="false" ht="13.5" hidden="false" customHeight="false" outlineLevel="0" collapsed="false">
      <c r="A1" s="194" t="s">
        <v>16</v>
      </c>
      <c r="B1" s="195" t="str">
        <f aca="false">+Pressupostos!B1</f>
        <v>Herbawatter</v>
      </c>
      <c r="C1" s="196"/>
      <c r="D1" s="196"/>
      <c r="E1" s="196"/>
      <c r="F1" s="196"/>
      <c r="G1" s="196"/>
      <c r="H1" s="196"/>
      <c r="I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61" t="str">
        <f aca="false">+Pressupostos!B6</f>
        <v>(valores em euros)</v>
      </c>
      <c r="I2" s="0"/>
    </row>
    <row r="3" customFormat="false" ht="13.5" hidden="false" customHeight="true" outlineLevel="0" collapsed="false">
      <c r="A3" s="23" t="s">
        <v>190</v>
      </c>
      <c r="B3" s="23"/>
      <c r="C3" s="23"/>
      <c r="D3" s="23"/>
      <c r="E3" s="23"/>
      <c r="F3" s="23"/>
      <c r="G3" s="23"/>
      <c r="H3" s="23"/>
      <c r="I3" s="0"/>
    </row>
    <row r="4" customFormat="false" ht="12.75" hidden="false" customHeight="true" outlineLevel="0" collapsed="false">
      <c r="A4" s="0"/>
      <c r="B4" s="191"/>
      <c r="C4" s="191"/>
      <c r="D4" s="0"/>
      <c r="E4" s="0"/>
      <c r="F4" s="0"/>
      <c r="G4" s="0"/>
      <c r="H4" s="0"/>
      <c r="I4" s="0" t="s">
        <v>191</v>
      </c>
    </row>
    <row r="5" customFormat="false" ht="13.5" hidden="false" customHeight="false" outlineLevel="0" collapsed="false">
      <c r="A5" s="0"/>
      <c r="B5" s="172"/>
      <c r="C5" s="191"/>
      <c r="D5" s="0"/>
      <c r="E5" s="0"/>
      <c r="F5" s="0"/>
      <c r="G5" s="0"/>
      <c r="H5" s="0"/>
      <c r="I5" s="0" t="s">
        <v>192</v>
      </c>
    </row>
    <row r="6" customFormat="false" ht="12.75" hidden="false" customHeight="false" outlineLevel="0" collapsed="false">
      <c r="A6" s="173"/>
      <c r="B6" s="162"/>
      <c r="C6" s="64" t="n">
        <f aca="false">+VN!C5</f>
        <v>2016</v>
      </c>
      <c r="D6" s="64" t="n">
        <f aca="false">+VN!D5</f>
        <v>2017</v>
      </c>
      <c r="E6" s="64" t="n">
        <f aca="false">+VN!E5</f>
        <v>2018</v>
      </c>
      <c r="F6" s="64" t="n">
        <f aca="false">+VN!F5</f>
        <v>2019</v>
      </c>
      <c r="G6" s="64" t="n">
        <f aca="false">+VN!G5</f>
        <v>2020</v>
      </c>
      <c r="H6" s="64" t="n">
        <f aca="false">+VN!H5</f>
        <v>2021</v>
      </c>
      <c r="I6" s="0"/>
    </row>
    <row r="7" customFormat="false" ht="12.75" hidden="false" customHeight="false" outlineLevel="0" collapsed="false">
      <c r="A7" s="71" t="s">
        <v>193</v>
      </c>
      <c r="B7" s="197"/>
      <c r="C7" s="198"/>
      <c r="D7" s="28"/>
      <c r="E7" s="28"/>
      <c r="F7" s="28"/>
      <c r="G7" s="28"/>
      <c r="H7" s="28"/>
      <c r="I7" s="0"/>
    </row>
    <row r="8" customFormat="false" ht="12.75" hidden="false" customHeight="false" outlineLevel="0" collapsed="false">
      <c r="A8" s="73" t="s">
        <v>194</v>
      </c>
      <c r="B8" s="197"/>
      <c r="C8" s="199" t="n">
        <v>15000</v>
      </c>
      <c r="D8" s="200" t="n">
        <f aca="false">+C8</f>
        <v>15000</v>
      </c>
      <c r="E8" s="200" t="n">
        <f aca="false">+D8</f>
        <v>15000</v>
      </c>
      <c r="F8" s="200" t="n">
        <f aca="false">+E8</f>
        <v>15000</v>
      </c>
      <c r="G8" s="200" t="n">
        <f aca="false">+F8</f>
        <v>15000</v>
      </c>
      <c r="H8" s="200" t="n">
        <f aca="false">+G8</f>
        <v>15000</v>
      </c>
      <c r="I8" s="0"/>
    </row>
    <row r="9" customFormat="false" ht="12.75" hidden="false" customHeight="false" outlineLevel="0" collapsed="false">
      <c r="A9" s="73" t="s">
        <v>195</v>
      </c>
      <c r="B9" s="197"/>
      <c r="C9" s="200" t="n">
        <f aca="false">VN!C81*Pressupostos!$C$8/12</f>
        <v>6.15</v>
      </c>
      <c r="D9" s="200" t="n">
        <f aca="false">VN!D81*Pressupostos!$C$8/12</f>
        <v>7377.54</v>
      </c>
      <c r="E9" s="200" t="n">
        <f aca="false">VN!E81*Pressupostos!$C$8/12</f>
        <v>21896.53872</v>
      </c>
      <c r="F9" s="200" t="n">
        <f aca="false">VN!F81*Pressupostos!$C$8/12</f>
        <v>43267.56051072</v>
      </c>
      <c r="G9" s="200" t="n">
        <f aca="false">VN!G81*Pressupostos!$C$8/12</f>
        <v>55706.984157552</v>
      </c>
      <c r="H9" s="200" t="n">
        <f aca="false">VN!H81*Pressupostos!$C$8/12</f>
        <v>65734.2413059114</v>
      </c>
      <c r="I9" s="19" t="s">
        <v>196</v>
      </c>
    </row>
    <row r="10" customFormat="false" ht="12.75" hidden="false" customHeight="false" outlineLevel="0" collapsed="false">
      <c r="A10" s="73" t="s">
        <v>197</v>
      </c>
      <c r="B10" s="197"/>
      <c r="C10" s="200" t="n">
        <f aca="false">CMVMC!C11*Pressupostos!$C$10/12</f>
        <v>0.8</v>
      </c>
      <c r="D10" s="200" t="n">
        <f aca="false">CMVMC!D11*Pressupostos!$C$10/12</f>
        <v>959.68</v>
      </c>
      <c r="E10" s="200" t="n">
        <f aca="false">CMVMC!E11*Pressupostos!$C$10/12</f>
        <v>2848.33024</v>
      </c>
      <c r="F10" s="200" t="n">
        <f aca="false">CMVMC!F11*Pressupostos!$C$10/12</f>
        <v>5628.30055424</v>
      </c>
      <c r="G10" s="200" t="n">
        <f aca="false">CMVMC!G11*Pressupostos!$C$10/12</f>
        <v>7246.436963584</v>
      </c>
      <c r="H10" s="200" t="n">
        <f aca="false">CMVMC!H11*Pressupostos!$C$10/12</f>
        <v>8550.79561702912</v>
      </c>
      <c r="I10" s="19" t="s">
        <v>198</v>
      </c>
    </row>
    <row r="11" customFormat="false" ht="12.75" hidden="false" customHeight="false" outlineLevel="0" collapsed="false">
      <c r="A11" s="201" t="s">
        <v>199</v>
      </c>
      <c r="B11" s="201"/>
      <c r="C11" s="202"/>
      <c r="D11" s="202"/>
      <c r="E11" s="202"/>
      <c r="F11" s="202"/>
      <c r="G11" s="202"/>
      <c r="H11" s="202"/>
      <c r="I11" s="0"/>
    </row>
    <row r="12" customFormat="false" ht="12.75" hidden="false" customHeight="false" outlineLevel="0" collapsed="false">
      <c r="A12" s="201" t="s">
        <v>199</v>
      </c>
      <c r="B12" s="201"/>
      <c r="C12" s="202"/>
      <c r="D12" s="202"/>
      <c r="E12" s="202"/>
      <c r="F12" s="202"/>
      <c r="G12" s="202"/>
      <c r="H12" s="202"/>
      <c r="I12" s="0"/>
    </row>
    <row r="13" customFormat="false" ht="12.75" hidden="false" customHeight="false" outlineLevel="0" collapsed="false">
      <c r="A13" s="66" t="s">
        <v>200</v>
      </c>
      <c r="B13" s="66"/>
      <c r="C13" s="203" t="n">
        <f aca="false">SUM(C8:C12)</f>
        <v>15006.95</v>
      </c>
      <c r="D13" s="203" t="n">
        <f aca="false">SUM(D8:D12)</f>
        <v>23337.22</v>
      </c>
      <c r="E13" s="203" t="n">
        <f aca="false">SUM(E8:E12)</f>
        <v>39744.86896</v>
      </c>
      <c r="F13" s="203" t="n">
        <f aca="false">SUM(F8:F12)</f>
        <v>63895.86106496</v>
      </c>
      <c r="G13" s="203" t="n">
        <f aca="false">SUM(G8:G12)</f>
        <v>77953.421121136</v>
      </c>
      <c r="H13" s="203" t="n">
        <f aca="false">SUM(H8:H12)</f>
        <v>89285.0369229405</v>
      </c>
      <c r="I13" s="0"/>
    </row>
    <row r="14" customFormat="false" ht="12.75" hidden="false" customHeight="false" outlineLevel="0" collapsed="false">
      <c r="A14" s="204" t="s">
        <v>201</v>
      </c>
      <c r="B14" s="197"/>
      <c r="C14" s="205"/>
      <c r="D14" s="206"/>
      <c r="E14" s="206"/>
      <c r="F14" s="206"/>
      <c r="G14" s="206"/>
      <c r="H14" s="206"/>
      <c r="I14" s="0"/>
    </row>
    <row r="15" customFormat="false" ht="12.75" hidden="false" customHeight="false" outlineLevel="0" collapsed="false">
      <c r="A15" s="73" t="s">
        <v>202</v>
      </c>
      <c r="B15" s="197"/>
      <c r="C15" s="200" t="n">
        <f aca="false">(CMVMC!C15+FSE!F48)/12*Pressupostos!$C$9</f>
        <v>236.398</v>
      </c>
      <c r="D15" s="200" t="n">
        <f aca="false">(CMVMC!D15+FSE!G48)/12*Pressupostos!$C$9</f>
        <v>3861.1648</v>
      </c>
      <c r="E15" s="200" t="n">
        <f aca="false">(CMVMC!E15+FSE!H48)/12*Pressupostos!$C$9</f>
        <v>8957.3499904</v>
      </c>
      <c r="F15" s="200" t="n">
        <f aca="false">(CMVMC!F15+FSE!I48)/12*Pressupostos!$C$9</f>
        <v>16358.5663634304</v>
      </c>
      <c r="G15" s="200" t="n">
        <f aca="false">(CMVMC!G15+FSE!J48)/12*Pressupostos!$C$9</f>
        <v>21109.2177304166</v>
      </c>
      <c r="H15" s="200" t="n">
        <f aca="false">(CMVMC!H15+FSE!K48)/12*Pressupostos!$C$9</f>
        <v>24742.0782978916</v>
      </c>
      <c r="I15" s="19" t="s">
        <v>203</v>
      </c>
    </row>
    <row r="16" customFormat="false" ht="12.75" hidden="false" customHeight="false" outlineLevel="0" collapsed="false">
      <c r="A16" s="73" t="s">
        <v>204</v>
      </c>
      <c r="B16" s="197"/>
      <c r="C16" s="200" t="n">
        <f aca="false">((VN!C79-CMVMC!C13-FSE!F46)/4*1)+(('Custos Pessoal'!D17*(0.2125+0.1+Pressupostos!$B$17))+(('Custos Pessoal'!D31*(0.2375+0.11+Pressupostos!$B$17)))/12)</f>
        <v>11106.5976666667</v>
      </c>
      <c r="D16" s="200" t="n">
        <f aca="false">((VN!D79-CMVMC!D13-FSE!G46)/4*1)+(('Custos Pessoal'!E17*(0.2125+0.1+Pressupostos!$B$17))+(('Custos Pessoal'!E31*(0.2375+0.11+Pressupostos!$B$17)))/12)</f>
        <v>25220.2722666667</v>
      </c>
      <c r="E16" s="200" t="n">
        <f aca="false">((VN!E79-CMVMC!E13-FSE!H46)/4*1)+(('Custos Pessoal'!F17*(0.2125+0.1+Pressupostos!$B$17))+(('Custos Pessoal'!F31*(0.2375+0.11+Pressupostos!$B$17)))/12)</f>
        <v>32326.0596288</v>
      </c>
      <c r="F16" s="200" t="n">
        <f aca="false">((VN!F79-CMVMC!F13-FSE!I46)/4*1)+(('Custos Pessoal'!G17*(0.2125+0.1+Pressupostos!$B$17))+(('Custos Pessoal'!G31*(0.2375+0.11+Pressupostos!$B$17)))/12)</f>
        <v>41663.9288153088</v>
      </c>
      <c r="G16" s="200" t="n">
        <f aca="false">((VN!G79-CMVMC!G13-FSE!J46)/4*1)+(('Custos Pessoal'!H17*(0.2125+0.1+Pressupostos!$B$17))+(('Custos Pessoal'!H31*(0.2375+0.11+Pressupostos!$B$17)))/12)</f>
        <v>47232.5285733101</v>
      </c>
      <c r="H16" s="200" t="n">
        <f aca="false">((VN!H79-CMVMC!H13-FSE!K46)/4*1)+(('Custos Pessoal'!I17*(0.2125+0.1+Pressupostos!$B$17))+(('Custos Pessoal'!I31*(0.2375+0.11+Pressupostos!$B$17)))/12)</f>
        <v>51982.0994076419</v>
      </c>
      <c r="I16" s="19" t="s">
        <v>205</v>
      </c>
    </row>
    <row r="17" customFormat="false" ht="12.75" hidden="false" customHeight="false" outlineLevel="0" collapsed="false">
      <c r="A17" s="201" t="s">
        <v>199</v>
      </c>
      <c r="B17" s="201"/>
      <c r="C17" s="207"/>
      <c r="D17" s="207"/>
      <c r="E17" s="207"/>
      <c r="F17" s="207"/>
      <c r="G17" s="207"/>
      <c r="H17" s="207"/>
    </row>
    <row r="18" customFormat="false" ht="12.75" hidden="false" customHeight="false" outlineLevel="0" collapsed="false">
      <c r="A18" s="208" t="s">
        <v>200</v>
      </c>
      <c r="B18" s="208"/>
      <c r="C18" s="209" t="n">
        <f aca="false">+C15+C16+C17</f>
        <v>11342.9956666667</v>
      </c>
      <c r="D18" s="209" t="n">
        <f aca="false">+D15+D16+D17</f>
        <v>29081.4370666667</v>
      </c>
      <c r="E18" s="209" t="n">
        <f aca="false">+E15+E16+E17</f>
        <v>41283.4096192</v>
      </c>
      <c r="F18" s="209" t="n">
        <f aca="false">+F15+F16+F17</f>
        <v>58022.4951787392</v>
      </c>
      <c r="G18" s="209" t="n">
        <f aca="false">+G15+G16+G17</f>
        <v>68341.7463037267</v>
      </c>
      <c r="H18" s="209" t="n">
        <f aca="false">+H15+H16+H17</f>
        <v>76724.1777055336</v>
      </c>
    </row>
    <row r="19" customFormat="false" ht="12.75" hidden="false" customHeight="false" outlineLevel="0" collapsed="false">
      <c r="A19" s="210"/>
      <c r="B19" s="171"/>
      <c r="C19" s="211"/>
      <c r="D19" s="212"/>
      <c r="E19" s="212"/>
      <c r="F19" s="212"/>
      <c r="G19" s="212"/>
      <c r="H19" s="212"/>
    </row>
    <row r="20" customFormat="false" ht="12.75" hidden="false" customHeight="false" outlineLevel="0" collapsed="false">
      <c r="A20" s="213" t="s">
        <v>206</v>
      </c>
      <c r="B20" s="214"/>
      <c r="C20" s="209" t="n">
        <f aca="false">+C13-C18</f>
        <v>3663.95433333333</v>
      </c>
      <c r="D20" s="209" t="n">
        <f aca="false">+D13-D18</f>
        <v>-5744.21706666666</v>
      </c>
      <c r="E20" s="209" t="n">
        <f aca="false">+E13-E18</f>
        <v>-1538.54065920001</v>
      </c>
      <c r="F20" s="209" t="n">
        <f aca="false">+F13-F18</f>
        <v>5873.36588622079</v>
      </c>
      <c r="G20" s="209" t="n">
        <f aca="false">+G13-G18</f>
        <v>9611.67481740928</v>
      </c>
      <c r="H20" s="209" t="n">
        <f aca="false">+H13-H18</f>
        <v>12560.8592174069</v>
      </c>
    </row>
    <row r="21" customFormat="false" ht="12.75" hidden="false" customHeight="false" outlineLevel="0" collapsed="false">
      <c r="A21" s="215"/>
      <c r="B21" s="216"/>
      <c r="C21" s="211"/>
      <c r="D21" s="212"/>
      <c r="E21" s="212"/>
      <c r="F21" s="212"/>
      <c r="G21" s="212"/>
      <c r="H21" s="212"/>
    </row>
    <row r="22" customFormat="false" ht="12.75" hidden="false" customHeight="false" outlineLevel="0" collapsed="false">
      <c r="A22" s="213" t="s">
        <v>207</v>
      </c>
      <c r="B22" s="214"/>
      <c r="C22" s="209" t="n">
        <f aca="false">+C20</f>
        <v>3663.95433333333</v>
      </c>
      <c r="D22" s="209" t="n">
        <f aca="false">+D20-C20</f>
        <v>-9408.1714</v>
      </c>
      <c r="E22" s="209" t="n">
        <f aca="false">+E20-D20</f>
        <v>4205.67640746666</v>
      </c>
      <c r="F22" s="209" t="n">
        <f aca="false">+F20-E20</f>
        <v>7411.9065454208</v>
      </c>
      <c r="G22" s="209" t="n">
        <f aca="false">+G20-F20</f>
        <v>3738.30893118849</v>
      </c>
      <c r="H22" s="209" t="n">
        <f aca="false">+H20-G20</f>
        <v>2949.18439999766</v>
      </c>
    </row>
    <row r="23" customFormat="false" ht="12.75" hidden="false" customHeight="false" outlineLevel="0" collapsed="false">
      <c r="A23" s="210"/>
      <c r="B23" s="171"/>
      <c r="C23" s="154"/>
      <c r="D23" s="0"/>
      <c r="E23" s="0"/>
      <c r="F23" s="0"/>
      <c r="G23" s="0"/>
      <c r="H23" s="0"/>
    </row>
    <row r="24" customFormat="false" ht="12.75" hidden="false" customHeight="false" outlineLevel="0" collapsed="false">
      <c r="A24" s="210"/>
      <c r="B24" s="171"/>
      <c r="C24" s="154"/>
      <c r="D24" s="0"/>
      <c r="E24" s="0"/>
      <c r="F24" s="0"/>
      <c r="G24" s="0"/>
      <c r="H24" s="0"/>
    </row>
    <row r="25" customFormat="false" ht="12.75" hidden="false" customHeight="false" outlineLevel="0" collapsed="false">
      <c r="A25" s="217" t="s">
        <v>208</v>
      </c>
      <c r="C25" s="218"/>
      <c r="D25" s="218"/>
      <c r="E25" s="219"/>
      <c r="F25" s="218"/>
      <c r="G25" s="218"/>
      <c r="H25" s="218"/>
    </row>
  </sheetData>
  <mergeCells count="6">
    <mergeCell ref="A3:H3"/>
    <mergeCell ref="A11:B11"/>
    <mergeCell ref="A12:B12"/>
    <mergeCell ref="A13:B13"/>
    <mergeCell ref="A17:B17"/>
    <mergeCell ref="A18:B18"/>
  </mergeCells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M13" activeCellId="0" sqref="M13"/>
    </sheetView>
  </sheetViews>
  <sheetFormatPr defaultRowHeight="12.75"/>
  <cols>
    <col collapsed="false" hidden="false" max="1" min="1" style="19" width="30.2366071428571"/>
    <col collapsed="false" hidden="false" max="2" min="2" style="19" width="8.74107142857143"/>
    <col collapsed="false" hidden="false" max="3" min="3" style="19" width="13.4642857142857"/>
    <col collapsed="false" hidden="false" max="4" min="4" style="19" width="11.9285714285714"/>
    <col collapsed="false" hidden="false" max="8" min="5" style="19" width="11.6919642857143"/>
    <col collapsed="false" hidden="false" max="1025" min="9" style="19" width="8.74107142857143"/>
  </cols>
  <sheetData>
    <row r="1" customFormat="false" ht="13.5" hidden="false" customHeight="false" outlineLevel="0" collapsed="false">
      <c r="A1" s="20" t="str">
        <f aca="false">+Investimentos!A1</f>
        <v>Empresa:</v>
      </c>
      <c r="B1" s="57" t="str">
        <f aca="false">+Pressupostos!B1</f>
        <v>Herbawatter</v>
      </c>
      <c r="C1" s="58"/>
      <c r="D1" s="58"/>
      <c r="E1" s="58"/>
      <c r="F1" s="58"/>
      <c r="G1" s="58"/>
      <c r="H1" s="58"/>
      <c r="K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61" t="str">
        <f aca="false">+Pressupostos!B6</f>
        <v>(valores em euros)</v>
      </c>
      <c r="K2" s="101"/>
    </row>
    <row r="3" customFormat="false" ht="12.75" hidden="false" customHeight="false" outlineLevel="0" collapsed="false">
      <c r="A3" s="23" t="s">
        <v>209</v>
      </c>
      <c r="B3" s="23"/>
      <c r="C3" s="23"/>
      <c r="D3" s="23"/>
      <c r="E3" s="23"/>
      <c r="F3" s="23"/>
      <c r="G3" s="23"/>
      <c r="H3" s="23"/>
    </row>
    <row r="4" customFormat="false" ht="12.75" hidden="false" customHeight="false" outlineLevel="0" collapsed="false">
      <c r="A4" s="0"/>
      <c r="B4" s="0"/>
      <c r="C4" s="0"/>
      <c r="D4" s="0"/>
      <c r="E4" s="0"/>
      <c r="F4" s="0"/>
      <c r="G4" s="0"/>
      <c r="H4" s="0"/>
    </row>
    <row r="5" customFormat="false" ht="12.75" hidden="false" customHeight="false" outlineLevel="0" collapsed="false">
      <c r="A5" s="0"/>
      <c r="B5" s="0"/>
      <c r="C5" s="0"/>
      <c r="D5" s="0"/>
      <c r="E5" s="0"/>
      <c r="F5" s="0"/>
      <c r="G5" s="0"/>
      <c r="H5" s="0"/>
    </row>
    <row r="6" customFormat="false" ht="12.75" hidden="false" customHeight="false" outlineLevel="0" collapsed="false">
      <c r="A6" s="66"/>
      <c r="B6" s="120"/>
      <c r="C6" s="64" t="n">
        <f aca="false">+VN!C5</f>
        <v>2016</v>
      </c>
      <c r="D6" s="64" t="n">
        <f aca="false">+VN!D5</f>
        <v>2017</v>
      </c>
      <c r="E6" s="64" t="n">
        <f aca="false">+VN!E5</f>
        <v>2018</v>
      </c>
      <c r="F6" s="64" t="n">
        <f aca="false">+VN!F5</f>
        <v>2019</v>
      </c>
      <c r="G6" s="64" t="n">
        <f aca="false">+VN!G5</f>
        <v>2020</v>
      </c>
      <c r="H6" s="64" t="n">
        <f aca="false">+VN!H5</f>
        <v>2021</v>
      </c>
    </row>
    <row r="7" customFormat="false" ht="12.75" hidden="false" customHeight="false" outlineLevel="0" collapsed="false">
      <c r="A7" s="71" t="s">
        <v>210</v>
      </c>
      <c r="B7" s="124"/>
      <c r="C7" s="200" t="n">
        <f aca="false">+Investimentos!C24+FundoManeio!C22</f>
        <v>33913.9543333333</v>
      </c>
      <c r="D7" s="200" t="n">
        <f aca="false">+Investimentos!D24+FundoManeio!D22</f>
        <v>-6558.1714</v>
      </c>
      <c r="E7" s="200" t="n">
        <f aca="false">+Investimentos!E24+FundoManeio!E22</f>
        <v>5205.67640746666</v>
      </c>
      <c r="F7" s="200" t="n">
        <f aca="false">+Investimentos!F24+FundoManeio!F22</f>
        <v>7911.9065454208</v>
      </c>
      <c r="G7" s="200" t="n">
        <f aca="false">+Investimentos!G24+FundoManeio!G22</f>
        <v>4238.30893118849</v>
      </c>
      <c r="H7" s="200" t="n">
        <f aca="false">+Investimentos!H24+FundoManeio!H22</f>
        <v>3449.18439999766</v>
      </c>
    </row>
    <row r="8" customFormat="false" ht="12.75" hidden="false" customHeight="false" outlineLevel="0" collapsed="false">
      <c r="A8" s="173" t="s">
        <v>211</v>
      </c>
      <c r="B8" s="124"/>
      <c r="C8" s="220" t="n">
        <v>0.05</v>
      </c>
      <c r="D8" s="220" t="n">
        <v>0.05</v>
      </c>
      <c r="E8" s="220" t="n">
        <v>0.05</v>
      </c>
      <c r="F8" s="220" t="n">
        <v>0.05</v>
      </c>
      <c r="G8" s="220" t="n">
        <v>0.05</v>
      </c>
      <c r="H8" s="220" t="n">
        <v>0.05</v>
      </c>
    </row>
    <row r="9" customFormat="false" ht="12.75" hidden="false" customHeight="false" outlineLevel="0" collapsed="false">
      <c r="A9" s="221" t="s">
        <v>212</v>
      </c>
      <c r="B9" s="222"/>
      <c r="C9" s="209" t="n">
        <f aca="false">+ROUND(C7*(1+C8),-2)</f>
        <v>35600</v>
      </c>
      <c r="D9" s="209" t="n">
        <f aca="false">+ROUND(D7*(1+D8),-2)</f>
        <v>-6900</v>
      </c>
      <c r="E9" s="209" t="n">
        <f aca="false">+ROUND(E7*(1+E8),-2)</f>
        <v>5500</v>
      </c>
      <c r="F9" s="209" t="n">
        <f aca="false">+ROUND(F7*(1+F8),-2)</f>
        <v>8300</v>
      </c>
      <c r="G9" s="209" t="n">
        <f aca="false">+ROUND(G7*(1+G8),-2)</f>
        <v>4500</v>
      </c>
      <c r="H9" s="209" t="n">
        <f aca="false">+ROUND(H7*(1+H8),-2)</f>
        <v>3600</v>
      </c>
    </row>
    <row r="10" customFormat="false" ht="12.75" hidden="false" customHeight="false" outlineLevel="0" collapsed="false">
      <c r="A10" s="0"/>
      <c r="B10" s="0"/>
      <c r="C10" s="223"/>
      <c r="D10" s="223"/>
      <c r="E10" s="223"/>
      <c r="F10" s="223"/>
      <c r="G10" s="223"/>
      <c r="H10" s="223"/>
    </row>
    <row r="11" customFormat="false" ht="12.75" hidden="false" customHeight="false" outlineLevel="0" collapsed="false">
      <c r="A11" s="0"/>
      <c r="B11" s="0"/>
      <c r="C11" s="223"/>
      <c r="D11" s="223"/>
      <c r="E11" s="223"/>
      <c r="F11" s="223"/>
      <c r="G11" s="223"/>
      <c r="H11" s="223"/>
    </row>
    <row r="12" customFormat="false" ht="12.75" hidden="false" customHeight="false" outlineLevel="0" collapsed="false">
      <c r="A12" s="71" t="s">
        <v>213</v>
      </c>
      <c r="B12" s="124"/>
      <c r="C12" s="64" t="n">
        <f aca="false">+C6</f>
        <v>2016</v>
      </c>
      <c r="D12" s="64" t="n">
        <f aca="false">+D6</f>
        <v>2017</v>
      </c>
      <c r="E12" s="64" t="n">
        <f aca="false">+E6</f>
        <v>2018</v>
      </c>
      <c r="F12" s="64" t="n">
        <f aca="false">+F6</f>
        <v>2019</v>
      </c>
      <c r="G12" s="64" t="n">
        <f aca="false">+G6</f>
        <v>2020</v>
      </c>
      <c r="H12" s="64" t="n">
        <f aca="false">+H6</f>
        <v>2021</v>
      </c>
    </row>
    <row r="13" customFormat="false" ht="12.75" hidden="false" customHeight="false" outlineLevel="0" collapsed="false">
      <c r="A13" s="73" t="s">
        <v>214</v>
      </c>
      <c r="B13" s="124"/>
      <c r="C13" s="206" t="n">
        <f aca="false">IF(+'Cash Flow'!C11&gt;0,'Cash Flow'!C11,0)</f>
        <v>0</v>
      </c>
      <c r="D13" s="206" t="n">
        <f aca="false">IF(+'Cash Flow'!D11&gt;0,'Cash Flow'!D11,0)</f>
        <v>0</v>
      </c>
      <c r="E13" s="206" t="n">
        <f aca="false">IF(+'Cash Flow'!E11&gt;0,'Cash Flow'!E11,0)</f>
        <v>7487.7403936</v>
      </c>
      <c r="F13" s="206" t="n">
        <f aca="false">IF(+'Cash Flow'!F11&gt;0,'Cash Flow'!F11,0)</f>
        <v>110419.05635177</v>
      </c>
      <c r="G13" s="206" t="n">
        <f aca="false">IF(+'Cash Flow'!G11&gt;0,'Cash Flow'!G11,0)</f>
        <v>166578.256645097</v>
      </c>
      <c r="H13" s="206" t="n">
        <f aca="false">IF(+'Cash Flow'!H11&gt;0,'Cash Flow'!H11,0)</f>
        <v>213112.890899693</v>
      </c>
    </row>
    <row r="14" customFormat="false" ht="12.75" hidden="false" customHeight="false" outlineLevel="0" collapsed="false">
      <c r="A14" s="73" t="s">
        <v>215</v>
      </c>
      <c r="B14" s="124"/>
      <c r="C14" s="224" t="n">
        <v>15000</v>
      </c>
      <c r="D14" s="224" t="n">
        <v>30000</v>
      </c>
      <c r="E14" s="224" t="n">
        <v>0</v>
      </c>
      <c r="F14" s="224" t="n">
        <v>0</v>
      </c>
      <c r="G14" s="224" t="n">
        <v>0</v>
      </c>
      <c r="H14" s="224" t="n">
        <v>0</v>
      </c>
    </row>
    <row r="15" customFormat="false" ht="12.75" hidden="false" customHeight="false" outlineLevel="0" collapsed="false">
      <c r="A15" s="73" t="s">
        <v>216</v>
      </c>
      <c r="B15" s="124"/>
      <c r="C15" s="224" t="n">
        <v>0</v>
      </c>
      <c r="D15" s="224" t="n">
        <v>0</v>
      </c>
      <c r="E15" s="224" t="n">
        <v>0</v>
      </c>
      <c r="F15" s="224" t="n">
        <v>0</v>
      </c>
      <c r="G15" s="224" t="n">
        <v>0</v>
      </c>
      <c r="H15" s="224" t="n">
        <v>0</v>
      </c>
    </row>
    <row r="16" customFormat="false" ht="12.75" hidden="false" customHeight="false" outlineLevel="0" collapsed="false">
      <c r="A16" s="73" t="s">
        <v>217</v>
      </c>
      <c r="B16" s="120"/>
      <c r="C16" s="200" t="n">
        <f aca="false">ROUND(IF(C9-C13-C14-C15&lt;0,0,C9-C13-C14-C15),-2)</f>
        <v>20600</v>
      </c>
      <c r="D16" s="200" t="n">
        <f aca="false">ROUND(IF(D9-D13-D14-D15&lt;0,0,D9-D13-D14-D15),-2)</f>
        <v>0</v>
      </c>
      <c r="E16" s="200" t="n">
        <f aca="false">ROUND(IF(E9-E13-E14-E15&lt;0,0,E9-E13-E14-E15),-2)</f>
        <v>0</v>
      </c>
      <c r="F16" s="200" t="n">
        <f aca="false">ROUND(IF(F9-F13-F14-F15&lt;0,0,F9-F13-F14-F15),-2)</f>
        <v>0</v>
      </c>
      <c r="G16" s="200" t="n">
        <f aca="false">ROUND(IF(G9-G13-G14-G15&lt;0,0,G9-G13-G14-G15),-2)</f>
        <v>0</v>
      </c>
      <c r="H16" s="200" t="n">
        <f aca="false">ROUND(IF(H9-H13-H14-H15&lt;0,0,H9-H13-H14-H15),-2)</f>
        <v>0</v>
      </c>
    </row>
    <row r="17" customFormat="false" ht="14.25" hidden="false" customHeight="true" outlineLevel="0" collapsed="false">
      <c r="A17" s="225" t="s">
        <v>53</v>
      </c>
      <c r="B17" s="225"/>
      <c r="C17" s="209" t="n">
        <f aca="false">+C14+C15+C13+C16</f>
        <v>35600</v>
      </c>
      <c r="D17" s="209" t="n">
        <f aca="false">+D14+D15+D13+D16</f>
        <v>30000</v>
      </c>
      <c r="E17" s="209" t="n">
        <f aca="false">+E14+E15+E13+E16</f>
        <v>7487.7403936</v>
      </c>
      <c r="F17" s="209" t="n">
        <f aca="false">+F14+F15+F13+F16</f>
        <v>110419.05635177</v>
      </c>
      <c r="G17" s="209" t="n">
        <f aca="false">+G14+G15+G13+G16</f>
        <v>166578.256645097</v>
      </c>
      <c r="H17" s="209" t="n">
        <f aca="false">+H14+H15+H13+H16</f>
        <v>213112.890899693</v>
      </c>
    </row>
    <row r="18" customFormat="false" ht="12.75" hidden="false" customHeight="false" outlineLevel="0" collapsed="false">
      <c r="A18" s="0"/>
      <c r="B18" s="0"/>
      <c r="C18" s="226"/>
      <c r="D18" s="226"/>
      <c r="E18" s="226"/>
      <c r="F18" s="226"/>
      <c r="G18" s="226"/>
      <c r="H18" s="226"/>
    </row>
    <row r="19" customFormat="false" ht="12.75" hidden="false" customHeight="false" outlineLevel="0" collapsed="false">
      <c r="A19" s="0"/>
      <c r="B19" s="0"/>
      <c r="C19" s="227"/>
      <c r="D19" s="227"/>
      <c r="E19" s="227"/>
      <c r="F19" s="227"/>
      <c r="G19" s="227"/>
      <c r="H19" s="227"/>
    </row>
    <row r="20" customFormat="false" ht="12.75" hidden="fals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2.75" hidden="false" customHeight="false" outlineLevel="0" collapsed="false">
      <c r="A21" s="49" t="s">
        <v>218</v>
      </c>
      <c r="B21" s="0"/>
      <c r="C21" s="0"/>
      <c r="D21" s="0"/>
      <c r="E21" s="0"/>
      <c r="F21" s="0"/>
      <c r="G21" s="0"/>
      <c r="H21" s="0"/>
    </row>
    <row r="22" customFormat="false" ht="12.75" hidden="false" customHeight="false" outlineLevel="0" collapsed="false">
      <c r="A22" s="73" t="s">
        <v>219</v>
      </c>
      <c r="B22" s="120"/>
      <c r="C22" s="228" t="n">
        <f aca="false">+C16</f>
        <v>20600</v>
      </c>
      <c r="D22" s="206" t="n">
        <f aca="false">+C22</f>
        <v>20600</v>
      </c>
      <c r="E22" s="206" t="n">
        <f aca="false">+D28</f>
        <v>16480</v>
      </c>
      <c r="F22" s="206" t="n">
        <f aca="false">+E28</f>
        <v>12360</v>
      </c>
      <c r="G22" s="206" t="n">
        <f aca="false">+F28</f>
        <v>8240</v>
      </c>
      <c r="H22" s="206" t="n">
        <f aca="false">+G28</f>
        <v>4120</v>
      </c>
    </row>
    <row r="23" customFormat="false" ht="12.75" hidden="false" customHeight="false" outlineLevel="0" collapsed="false">
      <c r="A23" s="73" t="s">
        <v>220</v>
      </c>
      <c r="B23" s="120"/>
      <c r="C23" s="229"/>
      <c r="D23" s="230" t="n">
        <f aca="false">+Pressupostos!$B$22</f>
        <v>0.06</v>
      </c>
      <c r="E23" s="230" t="n">
        <f aca="false">+Pressupostos!$B$22</f>
        <v>0.06</v>
      </c>
      <c r="F23" s="230" t="n">
        <f aca="false">+Pressupostos!$B$22</f>
        <v>0.06</v>
      </c>
      <c r="G23" s="230" t="n">
        <f aca="false">+Pressupostos!$B$22</f>
        <v>0.06</v>
      </c>
      <c r="H23" s="230" t="n">
        <f aca="false">+Pressupostos!$B$22</f>
        <v>0.06</v>
      </c>
    </row>
    <row r="24" customFormat="false" ht="12.75" hidden="false" customHeight="false" outlineLevel="0" collapsed="false">
      <c r="A24" s="73" t="s">
        <v>221</v>
      </c>
      <c r="B24" s="120"/>
      <c r="C24" s="231"/>
      <c r="D24" s="206" t="n">
        <f aca="false">+D22*D23</f>
        <v>1236</v>
      </c>
      <c r="E24" s="206" t="n">
        <f aca="false">+E22*E23</f>
        <v>988.8</v>
      </c>
      <c r="F24" s="206" t="n">
        <f aca="false">+F22*F23</f>
        <v>741.6</v>
      </c>
      <c r="G24" s="206" t="n">
        <f aca="false">+G22*G23</f>
        <v>494.4</v>
      </c>
      <c r="H24" s="206" t="n">
        <f aca="false">+H22*H23</f>
        <v>247.2</v>
      </c>
    </row>
    <row r="25" customFormat="false" ht="12.75" hidden="false" customHeight="false" outlineLevel="0" collapsed="false">
      <c r="A25" s="73" t="s">
        <v>222</v>
      </c>
      <c r="B25" s="120"/>
      <c r="C25" s="231"/>
      <c r="D25" s="206" t="n">
        <f aca="false">+$D$22/5</f>
        <v>4120</v>
      </c>
      <c r="E25" s="206" t="n">
        <f aca="false">+$D$22/5</f>
        <v>4120</v>
      </c>
      <c r="F25" s="206" t="n">
        <f aca="false">+$D$22/5</f>
        <v>4120</v>
      </c>
      <c r="G25" s="206" t="n">
        <f aca="false">+$D$22/5</f>
        <v>4120</v>
      </c>
      <c r="H25" s="206" t="n">
        <f aca="false">+$D$22/5</f>
        <v>4120</v>
      </c>
    </row>
    <row r="26" customFormat="false" ht="12.75" hidden="false" customHeight="false" outlineLevel="0" collapsed="false">
      <c r="A26" s="73" t="s">
        <v>223</v>
      </c>
      <c r="B26" s="120"/>
      <c r="C26" s="231"/>
      <c r="D26" s="206" t="n">
        <f aca="false">+D24*0.004</f>
        <v>4.944</v>
      </c>
      <c r="E26" s="206" t="n">
        <f aca="false">+E24*0.004</f>
        <v>3.9552</v>
      </c>
      <c r="F26" s="206" t="n">
        <f aca="false">+F24*0.004</f>
        <v>2.9664</v>
      </c>
      <c r="G26" s="206" t="n">
        <f aca="false">+G24*0.004</f>
        <v>1.9776</v>
      </c>
      <c r="H26" s="206" t="n">
        <f aca="false">+H24*0.004</f>
        <v>0.9888</v>
      </c>
    </row>
    <row r="27" customFormat="false" ht="12.75" hidden="false" customHeight="false" outlineLevel="0" collapsed="false">
      <c r="A27" s="73" t="s">
        <v>224</v>
      </c>
      <c r="B27" s="120"/>
      <c r="C27" s="231"/>
      <c r="D27" s="206" t="n">
        <f aca="false">+D24+D25+D26</f>
        <v>5360.944</v>
      </c>
      <c r="E27" s="206" t="n">
        <f aca="false">+E24+E25+E26</f>
        <v>5112.7552</v>
      </c>
      <c r="F27" s="206" t="n">
        <f aca="false">+F24+F25+F26</f>
        <v>4864.5664</v>
      </c>
      <c r="G27" s="206" t="n">
        <f aca="false">+G24+G25+G26</f>
        <v>4616.3776</v>
      </c>
      <c r="H27" s="206" t="n">
        <f aca="false">+H24+H25+H26</f>
        <v>4368.1888</v>
      </c>
    </row>
    <row r="28" customFormat="false" ht="12.75" hidden="false" customHeight="false" outlineLevel="0" collapsed="false">
      <c r="A28" s="232" t="s">
        <v>225</v>
      </c>
      <c r="B28" s="233"/>
      <c r="C28" s="206" t="n">
        <f aca="false">+C22-C25</f>
        <v>20600</v>
      </c>
      <c r="D28" s="206" t="n">
        <f aca="false">+D22-D25</f>
        <v>16480</v>
      </c>
      <c r="E28" s="206" t="n">
        <f aca="false">+E22-E25</f>
        <v>12360</v>
      </c>
      <c r="F28" s="206" t="n">
        <f aca="false">+F22-F25</f>
        <v>8240</v>
      </c>
      <c r="G28" s="206" t="n">
        <f aca="false">+G22-G25</f>
        <v>4120</v>
      </c>
      <c r="H28" s="206" t="n">
        <f aca="false">+H22-H25</f>
        <v>0</v>
      </c>
    </row>
    <row r="29" customFormat="false" ht="12.75" hidden="false" customHeight="false" outlineLevel="0" collapsed="false">
      <c r="A29" s="0"/>
      <c r="B29" s="0"/>
      <c r="C29" s="0"/>
      <c r="D29" s="0"/>
      <c r="E29" s="0"/>
      <c r="F29" s="0"/>
      <c r="G29" s="0"/>
      <c r="H29" s="0"/>
    </row>
    <row r="30" customFormat="false" ht="12.75" hidden="false" customHeight="false" outlineLevel="0" collapsed="false">
      <c r="A30" s="49" t="s">
        <v>226</v>
      </c>
      <c r="B30" s="0"/>
      <c r="C30" s="0"/>
      <c r="D30" s="0"/>
      <c r="E30" s="0"/>
      <c r="F30" s="0"/>
      <c r="G30" s="0"/>
      <c r="H30" s="0"/>
    </row>
    <row r="31" customFormat="false" ht="12.75" hidden="false" customHeight="false" outlineLevel="0" collapsed="false">
      <c r="A31" s="73" t="s">
        <v>219</v>
      </c>
      <c r="B31" s="120"/>
      <c r="C31" s="234" t="n">
        <f aca="false">+C24</f>
        <v>0</v>
      </c>
      <c r="D31" s="206" t="n">
        <f aca="false">+D16</f>
        <v>0</v>
      </c>
      <c r="E31" s="206" t="n">
        <f aca="false">+D37</f>
        <v>0</v>
      </c>
      <c r="F31" s="206" t="n">
        <f aca="false">+E37</f>
        <v>0</v>
      </c>
      <c r="G31" s="206" t="n">
        <f aca="false">+F37</f>
        <v>0</v>
      </c>
      <c r="H31" s="206" t="n">
        <f aca="false">+G37</f>
        <v>0</v>
      </c>
    </row>
    <row r="32" customFormat="false" ht="12.75" hidden="false" customHeight="false" outlineLevel="0" collapsed="false">
      <c r="A32" s="73" t="s">
        <v>220</v>
      </c>
      <c r="B32" s="120"/>
      <c r="C32" s="229"/>
      <c r="D32" s="230" t="n">
        <f aca="false">+Pressupostos!$B$22</f>
        <v>0.06</v>
      </c>
      <c r="E32" s="230" t="n">
        <f aca="false">+Pressupostos!$B$22</f>
        <v>0.06</v>
      </c>
      <c r="F32" s="230" t="n">
        <f aca="false">+Pressupostos!$B$22</f>
        <v>0.06</v>
      </c>
      <c r="G32" s="230" t="n">
        <f aca="false">+Pressupostos!$B$22</f>
        <v>0.06</v>
      </c>
      <c r="H32" s="230" t="n">
        <f aca="false">+Pressupostos!$B$22</f>
        <v>0.06</v>
      </c>
    </row>
    <row r="33" customFormat="false" ht="12.75" hidden="false" customHeight="false" outlineLevel="0" collapsed="false">
      <c r="A33" s="73" t="s">
        <v>221</v>
      </c>
      <c r="B33" s="120"/>
      <c r="C33" s="231"/>
      <c r="D33" s="206" t="n">
        <f aca="false">+D31*D32</f>
        <v>0</v>
      </c>
      <c r="E33" s="206" t="n">
        <f aca="false">+E31*E32</f>
        <v>0</v>
      </c>
      <c r="F33" s="206" t="n">
        <f aca="false">+F31*F32</f>
        <v>0</v>
      </c>
      <c r="G33" s="206" t="n">
        <f aca="false">+G31*G32</f>
        <v>0</v>
      </c>
      <c r="H33" s="206" t="n">
        <f aca="false">+H31*H32</f>
        <v>0</v>
      </c>
    </row>
    <row r="34" customFormat="false" ht="12.75" hidden="false" customHeight="false" outlineLevel="0" collapsed="false">
      <c r="A34" s="73" t="s">
        <v>222</v>
      </c>
      <c r="B34" s="120"/>
      <c r="C34" s="231"/>
      <c r="D34" s="206" t="n">
        <f aca="false">+$D$31/5</f>
        <v>0</v>
      </c>
      <c r="E34" s="206" t="n">
        <f aca="false">+$D$31/5</f>
        <v>0</v>
      </c>
      <c r="F34" s="206" t="n">
        <f aca="false">+$D$31/5</f>
        <v>0</v>
      </c>
      <c r="G34" s="206" t="n">
        <f aca="false">+$D$31/5</f>
        <v>0</v>
      </c>
      <c r="H34" s="206" t="n">
        <f aca="false">+$D$31/5</f>
        <v>0</v>
      </c>
    </row>
    <row r="35" customFormat="false" ht="12.75" hidden="false" customHeight="false" outlineLevel="0" collapsed="false">
      <c r="A35" s="73" t="s">
        <v>223</v>
      </c>
      <c r="B35" s="120"/>
      <c r="C35" s="231"/>
      <c r="D35" s="206" t="n">
        <f aca="false">0.004*D33</f>
        <v>0</v>
      </c>
      <c r="E35" s="206" t="n">
        <f aca="false">0.004*E33</f>
        <v>0</v>
      </c>
      <c r="F35" s="206" t="n">
        <f aca="false">0.004*F33</f>
        <v>0</v>
      </c>
      <c r="G35" s="206" t="n">
        <f aca="false">0.004*G33</f>
        <v>0</v>
      </c>
      <c r="H35" s="206" t="n">
        <f aca="false">0.004*H33</f>
        <v>0</v>
      </c>
    </row>
    <row r="36" customFormat="false" ht="12.75" hidden="false" customHeight="false" outlineLevel="0" collapsed="false">
      <c r="A36" s="73" t="s">
        <v>224</v>
      </c>
      <c r="B36" s="120"/>
      <c r="C36" s="231"/>
      <c r="D36" s="206" t="n">
        <f aca="false">+D33+D34+D35</f>
        <v>0</v>
      </c>
      <c r="E36" s="206" t="n">
        <f aca="false">+E33+E34+E35</f>
        <v>0</v>
      </c>
      <c r="F36" s="206" t="n">
        <f aca="false">+F33+F34+F35</f>
        <v>0</v>
      </c>
      <c r="G36" s="206" t="n">
        <f aca="false">+G33+G34+G35</f>
        <v>0</v>
      </c>
      <c r="H36" s="206" t="n">
        <f aca="false">+H33+H34+H35</f>
        <v>0</v>
      </c>
    </row>
    <row r="37" customFormat="false" ht="12.75" hidden="false" customHeight="false" outlineLevel="0" collapsed="false">
      <c r="A37" s="232" t="s">
        <v>225</v>
      </c>
      <c r="B37" s="233"/>
      <c r="C37" s="235"/>
      <c r="D37" s="206" t="n">
        <f aca="false">+D31-D34</f>
        <v>0</v>
      </c>
      <c r="E37" s="206" t="n">
        <f aca="false">+E31-E34</f>
        <v>0</v>
      </c>
      <c r="F37" s="206" t="n">
        <f aca="false">+F31-F34</f>
        <v>0</v>
      </c>
      <c r="G37" s="206" t="n">
        <f aca="false">+G31-G34</f>
        <v>0</v>
      </c>
      <c r="H37" s="206" t="n">
        <f aca="false">+H31-H34</f>
        <v>0</v>
      </c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</row>
    <row r="39" customFormat="false" ht="12.75" hidden="false" customHeight="false" outlineLevel="0" collapsed="false">
      <c r="A39" s="49" t="s">
        <v>227</v>
      </c>
      <c r="B39" s="0"/>
      <c r="C39" s="0"/>
      <c r="D39" s="0"/>
      <c r="E39" s="0"/>
      <c r="F39" s="0"/>
      <c r="G39" s="0"/>
      <c r="H39" s="0"/>
    </row>
    <row r="40" customFormat="false" ht="12.75" hidden="false" customHeight="false" outlineLevel="0" collapsed="false">
      <c r="A40" s="73" t="s">
        <v>219</v>
      </c>
      <c r="B40" s="120"/>
      <c r="C40" s="236" t="n">
        <f aca="false">+C33</f>
        <v>0</v>
      </c>
      <c r="D40" s="237"/>
      <c r="E40" s="238" t="n">
        <f aca="false">+E16</f>
        <v>0</v>
      </c>
      <c r="F40" s="206" t="n">
        <f aca="false">+E46</f>
        <v>0</v>
      </c>
      <c r="G40" s="206" t="n">
        <f aca="false">+F46</f>
        <v>0</v>
      </c>
      <c r="H40" s="206" t="n">
        <f aca="false">+G46</f>
        <v>0</v>
      </c>
    </row>
    <row r="41" customFormat="false" ht="12.75" hidden="false" customHeight="false" outlineLevel="0" collapsed="false">
      <c r="A41" s="73" t="s">
        <v>220</v>
      </c>
      <c r="B41" s="120"/>
      <c r="C41" s="239"/>
      <c r="D41" s="240"/>
      <c r="E41" s="241" t="n">
        <f aca="false">+Pressupostos!$B$22</f>
        <v>0.06</v>
      </c>
      <c r="F41" s="230" t="n">
        <f aca="false">+Pressupostos!$B$22</f>
        <v>0.06</v>
      </c>
      <c r="G41" s="230" t="n">
        <f aca="false">+Pressupostos!$B$22</f>
        <v>0.06</v>
      </c>
      <c r="H41" s="230" t="n">
        <f aca="false">+Pressupostos!$B$22</f>
        <v>0.06</v>
      </c>
    </row>
    <row r="42" customFormat="false" ht="12.75" hidden="false" customHeight="false" outlineLevel="0" collapsed="false">
      <c r="A42" s="73" t="s">
        <v>221</v>
      </c>
      <c r="B42" s="120"/>
      <c r="C42" s="242"/>
      <c r="D42" s="243"/>
      <c r="E42" s="238" t="n">
        <f aca="false">+E40*E41</f>
        <v>0</v>
      </c>
      <c r="F42" s="238" t="n">
        <f aca="false">+F40*F41</f>
        <v>0</v>
      </c>
      <c r="G42" s="238" t="n">
        <f aca="false">+G40*G41</f>
        <v>0</v>
      </c>
      <c r="H42" s="238" t="n">
        <f aca="false">+H40*H41</f>
        <v>0</v>
      </c>
    </row>
    <row r="43" customFormat="false" ht="12.75" hidden="false" customHeight="false" outlineLevel="0" collapsed="false">
      <c r="A43" s="73" t="s">
        <v>222</v>
      </c>
      <c r="B43" s="120"/>
      <c r="C43" s="242"/>
      <c r="D43" s="243"/>
      <c r="E43" s="238" t="n">
        <f aca="false">+$E$40/5</f>
        <v>0</v>
      </c>
      <c r="F43" s="238" t="n">
        <f aca="false">+$E$40/5</f>
        <v>0</v>
      </c>
      <c r="G43" s="238" t="n">
        <f aca="false">+$E$40/5</f>
        <v>0</v>
      </c>
      <c r="H43" s="238" t="n">
        <f aca="false">+$E$40/5</f>
        <v>0</v>
      </c>
    </row>
    <row r="44" customFormat="false" ht="12.75" hidden="false" customHeight="false" outlineLevel="0" collapsed="false">
      <c r="A44" s="73" t="s">
        <v>223</v>
      </c>
      <c r="B44" s="120"/>
      <c r="C44" s="242"/>
      <c r="D44" s="243"/>
      <c r="E44" s="238" t="n">
        <f aca="false">0.004*E42</f>
        <v>0</v>
      </c>
      <c r="F44" s="238" t="n">
        <f aca="false">0.004*F42</f>
        <v>0</v>
      </c>
      <c r="G44" s="238" t="n">
        <f aca="false">0.004*G42</f>
        <v>0</v>
      </c>
      <c r="H44" s="238" t="n">
        <f aca="false">0.004*H42</f>
        <v>0</v>
      </c>
    </row>
    <row r="45" customFormat="false" ht="12.75" hidden="false" customHeight="false" outlineLevel="0" collapsed="false">
      <c r="A45" s="73" t="s">
        <v>224</v>
      </c>
      <c r="B45" s="120"/>
      <c r="C45" s="242"/>
      <c r="D45" s="243"/>
      <c r="E45" s="238" t="n">
        <f aca="false">+E42+E43+E44</f>
        <v>0</v>
      </c>
      <c r="F45" s="238" t="n">
        <f aca="false">+F42+F43+F44</f>
        <v>0</v>
      </c>
      <c r="G45" s="238" t="n">
        <f aca="false">+G42+G43+G44</f>
        <v>0</v>
      </c>
      <c r="H45" s="238" t="n">
        <f aca="false">+H42+H43+H44</f>
        <v>0</v>
      </c>
    </row>
    <row r="46" customFormat="false" ht="12.75" hidden="false" customHeight="false" outlineLevel="0" collapsed="false">
      <c r="A46" s="232" t="s">
        <v>228</v>
      </c>
      <c r="B46" s="233"/>
      <c r="C46" s="235"/>
      <c r="D46" s="243"/>
      <c r="E46" s="238" t="n">
        <f aca="false">+E40-E43</f>
        <v>0</v>
      </c>
      <c r="F46" s="238" t="n">
        <f aca="false">+F40-F43</f>
        <v>0</v>
      </c>
      <c r="G46" s="238" t="n">
        <f aca="false">+G40-G43</f>
        <v>0</v>
      </c>
      <c r="H46" s="238" t="n">
        <f aca="false">+H40-H43</f>
        <v>0</v>
      </c>
    </row>
    <row r="47" customFormat="false" ht="12.75" hidden="false" customHeight="false" outlineLevel="0" collapsed="false">
      <c r="A47" s="0"/>
      <c r="B47" s="0"/>
      <c r="C47" s="0"/>
      <c r="D47" s="0"/>
      <c r="E47" s="0"/>
      <c r="F47" s="0"/>
      <c r="G47" s="0"/>
      <c r="H47" s="0"/>
    </row>
    <row r="48" customFormat="false" ht="12.75" hidden="false" customHeight="false" outlineLevel="0" collapsed="false">
      <c r="A48" s="49" t="s">
        <v>229</v>
      </c>
      <c r="B48" s="0"/>
      <c r="C48" s="0"/>
      <c r="D48" s="0"/>
      <c r="E48" s="0"/>
      <c r="F48" s="0"/>
      <c r="G48" s="0"/>
      <c r="H48" s="0"/>
    </row>
    <row r="49" customFormat="false" ht="12.75" hidden="false" customHeight="false" outlineLevel="0" collapsed="false">
      <c r="A49" s="73" t="s">
        <v>219</v>
      </c>
      <c r="B49" s="120"/>
      <c r="C49" s="236" t="n">
        <f aca="false">+C42</f>
        <v>0</v>
      </c>
      <c r="D49" s="244"/>
      <c r="E49" s="237"/>
      <c r="F49" s="206" t="n">
        <f aca="false">+F16</f>
        <v>0</v>
      </c>
      <c r="G49" s="206" t="n">
        <f aca="false">+F55</f>
        <v>0</v>
      </c>
      <c r="H49" s="206" t="n">
        <f aca="false">+G55</f>
        <v>0</v>
      </c>
    </row>
    <row r="50" customFormat="false" ht="12.75" hidden="false" customHeight="false" outlineLevel="0" collapsed="false">
      <c r="A50" s="73" t="s">
        <v>220</v>
      </c>
      <c r="B50" s="120"/>
      <c r="C50" s="239"/>
      <c r="D50" s="240"/>
      <c r="E50" s="240"/>
      <c r="F50" s="230" t="n">
        <f aca="false">+Pressupostos!$B$22</f>
        <v>0.06</v>
      </c>
      <c r="G50" s="230" t="n">
        <f aca="false">+Pressupostos!$B$22</f>
        <v>0.06</v>
      </c>
      <c r="H50" s="230" t="n">
        <f aca="false">+Pressupostos!$B$22</f>
        <v>0.06</v>
      </c>
    </row>
    <row r="51" customFormat="false" ht="12.75" hidden="false" customHeight="false" outlineLevel="0" collapsed="false">
      <c r="A51" s="73" t="s">
        <v>221</v>
      </c>
      <c r="B51" s="120"/>
      <c r="C51" s="242"/>
      <c r="D51" s="243"/>
      <c r="E51" s="243"/>
      <c r="F51" s="238" t="n">
        <f aca="false">+F49*F50</f>
        <v>0</v>
      </c>
      <c r="G51" s="238" t="n">
        <f aca="false">+G49*G50</f>
        <v>0</v>
      </c>
      <c r="H51" s="238" t="n">
        <f aca="false">+H49*H50</f>
        <v>0</v>
      </c>
    </row>
    <row r="52" customFormat="false" ht="12.75" hidden="false" customHeight="false" outlineLevel="0" collapsed="false">
      <c r="A52" s="73" t="s">
        <v>222</v>
      </c>
      <c r="B52" s="120"/>
      <c r="C52" s="242"/>
      <c r="D52" s="243"/>
      <c r="E52" s="243"/>
      <c r="F52" s="238" t="n">
        <f aca="false">$F$49/5</f>
        <v>0</v>
      </c>
      <c r="G52" s="238" t="n">
        <f aca="false">$F$49/5</f>
        <v>0</v>
      </c>
      <c r="H52" s="238" t="n">
        <f aca="false">$F$49/5</f>
        <v>0</v>
      </c>
    </row>
    <row r="53" customFormat="false" ht="12.75" hidden="false" customHeight="false" outlineLevel="0" collapsed="false">
      <c r="A53" s="73" t="s">
        <v>223</v>
      </c>
      <c r="B53" s="120"/>
      <c r="C53" s="242"/>
      <c r="D53" s="243"/>
      <c r="E53" s="243"/>
      <c r="F53" s="238" t="n">
        <f aca="false">+F51*0.004</f>
        <v>0</v>
      </c>
      <c r="G53" s="238" t="n">
        <f aca="false">+G51*0.004</f>
        <v>0</v>
      </c>
      <c r="H53" s="238" t="n">
        <f aca="false">+H51*0.004</f>
        <v>0</v>
      </c>
    </row>
    <row r="54" customFormat="false" ht="12.75" hidden="false" customHeight="false" outlineLevel="0" collapsed="false">
      <c r="A54" s="73" t="s">
        <v>224</v>
      </c>
      <c r="B54" s="120"/>
      <c r="C54" s="242"/>
      <c r="D54" s="243"/>
      <c r="E54" s="243"/>
      <c r="F54" s="238" t="n">
        <f aca="false">+F51+F52+F53</f>
        <v>0</v>
      </c>
      <c r="G54" s="238" t="n">
        <f aca="false">+G51+G52+G53</f>
        <v>0</v>
      </c>
      <c r="H54" s="238" t="n">
        <f aca="false">+H51+H52+H53</f>
        <v>0</v>
      </c>
    </row>
    <row r="55" customFormat="false" ht="12.75" hidden="false" customHeight="false" outlineLevel="0" collapsed="false">
      <c r="A55" s="232" t="s">
        <v>225</v>
      </c>
      <c r="B55" s="233"/>
      <c r="C55" s="235"/>
      <c r="D55" s="243"/>
      <c r="E55" s="243"/>
      <c r="F55" s="238" t="n">
        <f aca="false">+F49-F52</f>
        <v>0</v>
      </c>
      <c r="G55" s="238" t="n">
        <f aca="false">+G49-G52</f>
        <v>0</v>
      </c>
      <c r="H55" s="238" t="n">
        <f aca="false">+H49-H52</f>
        <v>0</v>
      </c>
    </row>
    <row r="56" customFormat="false" ht="12.75" hidden="false" customHeight="false" outlineLevel="0" collapsed="false">
      <c r="A56" s="0"/>
      <c r="B56" s="0"/>
      <c r="C56" s="0"/>
      <c r="D56" s="0"/>
      <c r="E56" s="0"/>
      <c r="F56" s="0"/>
      <c r="G56" s="0"/>
      <c r="H56" s="0"/>
    </row>
    <row r="57" customFormat="false" ht="12.75" hidden="false" customHeight="false" outlineLevel="0" collapsed="false">
      <c r="A57" s="49" t="s">
        <v>230</v>
      </c>
      <c r="B57" s="0"/>
      <c r="C57" s="0"/>
      <c r="D57" s="0"/>
      <c r="E57" s="0"/>
      <c r="F57" s="0"/>
      <c r="G57" s="0"/>
      <c r="H57" s="0"/>
    </row>
    <row r="58" customFormat="false" ht="12.75" hidden="false" customHeight="false" outlineLevel="0" collapsed="false">
      <c r="A58" s="73" t="s">
        <v>219</v>
      </c>
      <c r="B58" s="120"/>
      <c r="C58" s="236" t="n">
        <f aca="false">+C51</f>
        <v>0</v>
      </c>
      <c r="D58" s="244"/>
      <c r="E58" s="243"/>
      <c r="F58" s="237"/>
      <c r="G58" s="206" t="n">
        <f aca="false">+G16</f>
        <v>0</v>
      </c>
      <c r="H58" s="206" t="n">
        <f aca="false">+G64</f>
        <v>0</v>
      </c>
    </row>
    <row r="59" customFormat="false" ht="12.75" hidden="false" customHeight="false" outlineLevel="0" collapsed="false">
      <c r="A59" s="73" t="s">
        <v>220</v>
      </c>
      <c r="B59" s="120"/>
      <c r="C59" s="239"/>
      <c r="D59" s="240"/>
      <c r="E59" s="240"/>
      <c r="F59" s="240"/>
      <c r="G59" s="230" t="n">
        <f aca="false">+Pressupostos!$B$22</f>
        <v>0.06</v>
      </c>
      <c r="H59" s="230" t="n">
        <f aca="false">+Pressupostos!$B$22</f>
        <v>0.06</v>
      </c>
    </row>
    <row r="60" customFormat="false" ht="12.75" hidden="false" customHeight="false" outlineLevel="0" collapsed="false">
      <c r="A60" s="73" t="s">
        <v>221</v>
      </c>
      <c r="B60" s="120"/>
      <c r="C60" s="242"/>
      <c r="D60" s="243"/>
      <c r="E60" s="243"/>
      <c r="F60" s="243"/>
      <c r="G60" s="238" t="n">
        <f aca="false">+G58*G59</f>
        <v>0</v>
      </c>
      <c r="H60" s="238" t="n">
        <f aca="false">+H58*H59</f>
        <v>0</v>
      </c>
    </row>
    <row r="61" customFormat="false" ht="12.75" hidden="false" customHeight="false" outlineLevel="0" collapsed="false">
      <c r="A61" s="73" t="s">
        <v>222</v>
      </c>
      <c r="B61" s="120"/>
      <c r="C61" s="242"/>
      <c r="D61" s="243"/>
      <c r="E61" s="243"/>
      <c r="F61" s="243"/>
      <c r="G61" s="238" t="n">
        <f aca="false">$G$58/5</f>
        <v>0</v>
      </c>
      <c r="H61" s="238" t="n">
        <f aca="false">$G$58/5</f>
        <v>0</v>
      </c>
    </row>
    <row r="62" customFormat="false" ht="12.75" hidden="false" customHeight="false" outlineLevel="0" collapsed="false">
      <c r="A62" s="73" t="s">
        <v>223</v>
      </c>
      <c r="B62" s="120"/>
      <c r="C62" s="242"/>
      <c r="D62" s="243"/>
      <c r="E62" s="243"/>
      <c r="F62" s="243"/>
      <c r="G62" s="238" t="n">
        <f aca="false">+G60*0.004</f>
        <v>0</v>
      </c>
      <c r="H62" s="238" t="n">
        <f aca="false">+H60*0.004</f>
        <v>0</v>
      </c>
    </row>
    <row r="63" customFormat="false" ht="12.75" hidden="false" customHeight="false" outlineLevel="0" collapsed="false">
      <c r="A63" s="73" t="s">
        <v>224</v>
      </c>
      <c r="B63" s="120"/>
      <c r="C63" s="242"/>
      <c r="D63" s="243"/>
      <c r="E63" s="243"/>
      <c r="F63" s="243"/>
      <c r="G63" s="238" t="n">
        <f aca="false">+G60+G61+G62</f>
        <v>0</v>
      </c>
      <c r="H63" s="238" t="n">
        <f aca="false">+H60+H61+H62</f>
        <v>0</v>
      </c>
    </row>
    <row r="64" customFormat="false" ht="12.75" hidden="false" customHeight="false" outlineLevel="0" collapsed="false">
      <c r="A64" s="232" t="s">
        <v>225</v>
      </c>
      <c r="B64" s="233"/>
      <c r="C64" s="235"/>
      <c r="D64" s="243"/>
      <c r="E64" s="243"/>
      <c r="F64" s="243"/>
      <c r="G64" s="245" t="n">
        <f aca="false">+G58-G61</f>
        <v>0</v>
      </c>
      <c r="H64" s="245" t="n">
        <f aca="false">+H58-H61</f>
        <v>0</v>
      </c>
    </row>
    <row r="65" customFormat="false" ht="12.75" hidden="false" customHeight="false" outlineLevel="0" collapsed="false">
      <c r="A65" s="0"/>
      <c r="B65" s="0"/>
      <c r="C65" s="0"/>
      <c r="D65" s="0"/>
      <c r="E65" s="0"/>
      <c r="F65" s="0"/>
      <c r="G65" s="0"/>
      <c r="H65" s="0"/>
    </row>
    <row r="66" customFormat="false" ht="12.75" hidden="false" customHeight="false" outlineLevel="0" collapsed="false">
      <c r="A66" s="49" t="s">
        <v>231</v>
      </c>
      <c r="B66" s="0"/>
      <c r="C66" s="0"/>
      <c r="D66" s="0"/>
      <c r="E66" s="0"/>
      <c r="F66" s="0"/>
      <c r="G66" s="0"/>
      <c r="H66" s="0"/>
    </row>
    <row r="67" customFormat="false" ht="12.75" hidden="false" customHeight="false" outlineLevel="0" collapsed="false">
      <c r="A67" s="73" t="s">
        <v>219</v>
      </c>
      <c r="B67" s="120"/>
      <c r="C67" s="236" t="n">
        <f aca="false">+C60</f>
        <v>0</v>
      </c>
      <c r="D67" s="244"/>
      <c r="E67" s="244"/>
      <c r="F67" s="244"/>
      <c r="G67" s="244"/>
      <c r="H67" s="206" t="n">
        <f aca="false">+H16</f>
        <v>0</v>
      </c>
    </row>
    <row r="68" customFormat="false" ht="12.75" hidden="false" customHeight="false" outlineLevel="0" collapsed="false">
      <c r="A68" s="73" t="s">
        <v>220</v>
      </c>
      <c r="B68" s="120"/>
      <c r="C68" s="239"/>
      <c r="D68" s="240"/>
      <c r="E68" s="240"/>
      <c r="F68" s="240"/>
      <c r="G68" s="240"/>
      <c r="H68" s="230" t="n">
        <f aca="false">+Pressupostos!$B$22</f>
        <v>0.06</v>
      </c>
    </row>
    <row r="69" customFormat="false" ht="12.75" hidden="false" customHeight="false" outlineLevel="0" collapsed="false">
      <c r="A69" s="73" t="s">
        <v>221</v>
      </c>
      <c r="B69" s="120"/>
      <c r="C69" s="242"/>
      <c r="D69" s="243"/>
      <c r="E69" s="243"/>
      <c r="F69" s="243"/>
      <c r="G69" s="243"/>
      <c r="H69" s="238" t="n">
        <f aca="false">+H67*H68</f>
        <v>0</v>
      </c>
    </row>
    <row r="70" customFormat="false" ht="12.75" hidden="false" customHeight="false" outlineLevel="0" collapsed="false">
      <c r="A70" s="73" t="s">
        <v>222</v>
      </c>
      <c r="B70" s="120"/>
      <c r="C70" s="242"/>
      <c r="D70" s="243"/>
      <c r="E70" s="243"/>
      <c r="F70" s="243"/>
      <c r="G70" s="243"/>
      <c r="H70" s="238" t="n">
        <f aca="false">$H$67/5</f>
        <v>0</v>
      </c>
    </row>
    <row r="71" customFormat="false" ht="12.75" hidden="false" customHeight="false" outlineLevel="0" collapsed="false">
      <c r="A71" s="73" t="s">
        <v>223</v>
      </c>
      <c r="B71" s="120"/>
      <c r="C71" s="242"/>
      <c r="D71" s="243"/>
      <c r="E71" s="243"/>
      <c r="F71" s="243"/>
      <c r="G71" s="243"/>
      <c r="H71" s="238" t="n">
        <f aca="false">0.004*H69</f>
        <v>0</v>
      </c>
    </row>
    <row r="72" customFormat="false" ht="12.75" hidden="false" customHeight="false" outlineLevel="0" collapsed="false">
      <c r="A72" s="73" t="s">
        <v>224</v>
      </c>
      <c r="B72" s="120"/>
      <c r="C72" s="242"/>
      <c r="D72" s="243"/>
      <c r="E72" s="243"/>
      <c r="F72" s="243"/>
      <c r="G72" s="243"/>
      <c r="H72" s="238" t="n">
        <f aca="false">+H69+H70+H71</f>
        <v>0</v>
      </c>
    </row>
    <row r="73" customFormat="false" ht="12.75" hidden="false" customHeight="false" outlineLevel="0" collapsed="false">
      <c r="A73" s="232" t="s">
        <v>225</v>
      </c>
      <c r="B73" s="233"/>
      <c r="C73" s="235"/>
      <c r="D73" s="243"/>
      <c r="E73" s="243"/>
      <c r="F73" s="243"/>
      <c r="G73" s="243"/>
      <c r="H73" s="245" t="n">
        <f aca="false">+H67-H70</f>
        <v>0</v>
      </c>
    </row>
    <row r="74" customFormat="false" ht="12.75" hidden="false" customHeight="false" outlineLevel="0" collapsed="false">
      <c r="A74" s="0"/>
      <c r="B74" s="0"/>
      <c r="C74" s="0"/>
      <c r="D74" s="0"/>
      <c r="E74" s="0"/>
      <c r="F74" s="0"/>
      <c r="G74" s="0"/>
      <c r="H74" s="0"/>
    </row>
    <row r="75" customFormat="false" ht="12.75" hidden="false" customHeight="false" outlineLevel="0" collapsed="false">
      <c r="A75" s="0"/>
      <c r="B75" s="0"/>
      <c r="C75" s="0"/>
      <c r="D75" s="246"/>
      <c r="E75" s="0"/>
      <c r="F75" s="0"/>
      <c r="G75" s="0"/>
      <c r="H75" s="0"/>
    </row>
    <row r="76" customFormat="false" ht="12.75" hidden="false" customHeight="false" outlineLevel="0" collapsed="false">
      <c r="A76" s="71" t="s">
        <v>232</v>
      </c>
      <c r="B76" s="124"/>
      <c r="C76" s="200" t="n">
        <f aca="false">+C28+C37+C46+C55+C64+C73</f>
        <v>20600</v>
      </c>
      <c r="D76" s="200" t="n">
        <f aca="false">+D28+D37+D46+D55+D64+D73</f>
        <v>16480</v>
      </c>
      <c r="E76" s="200" t="n">
        <f aca="false">+E28+E37+E46+E55+E64+E73</f>
        <v>12360</v>
      </c>
      <c r="F76" s="200" t="n">
        <f aca="false">+F28+F37+F46+F55+F64+F73</f>
        <v>8240</v>
      </c>
      <c r="G76" s="200" t="n">
        <f aca="false">+G28+G37+G46+G55+G64+G73</f>
        <v>4120</v>
      </c>
      <c r="H76" s="200" t="n">
        <f aca="false">+H28+H37+H46+H55+H64+H73</f>
        <v>0</v>
      </c>
    </row>
    <row r="77" customFormat="false" ht="12.75" hidden="false" customHeight="false" outlineLevel="0" collapsed="false">
      <c r="A77" s="0"/>
      <c r="B77" s="0"/>
      <c r="C77" s="0"/>
      <c r="D77" s="0"/>
      <c r="E77" s="0"/>
      <c r="F77" s="0"/>
      <c r="G77" s="0"/>
      <c r="H77" s="0"/>
    </row>
    <row r="78" customFormat="false" ht="12.75" hidden="false" customHeight="false" outlineLevel="0" collapsed="false">
      <c r="A78" s="71" t="s">
        <v>233</v>
      </c>
      <c r="B78" s="124"/>
      <c r="C78" s="200" t="n">
        <f aca="false">+C24+C33+C42+C51+C60+C69+C26+C35+C44+C53+C62+C71</f>
        <v>0</v>
      </c>
      <c r="D78" s="200" t="n">
        <f aca="false">+D24+D33+D42+D51+D60+D69+D26+D35+D44+D53+D62+D71</f>
        <v>1240.944</v>
      </c>
      <c r="E78" s="200" t="n">
        <f aca="false">+E24+E33+E42+E51+E60+E69+E26+E35+E44+E53+E62+E71</f>
        <v>992.7552</v>
      </c>
      <c r="F78" s="200" t="n">
        <f aca="false">+F24+F33+F42+F51+F60+F69+F26+F35+F44+F53+F62+F71</f>
        <v>744.5664</v>
      </c>
      <c r="G78" s="200" t="n">
        <f aca="false">+G24+G33+G42+G51+G60+G69+G26+G35+G44+G53+G62+G71</f>
        <v>496.3776</v>
      </c>
      <c r="H78" s="200" t="n">
        <f aca="false">+H24+H33+H42+H51+H60+H69+H26+H35+H44+H53+H62+H71</f>
        <v>248.1888</v>
      </c>
    </row>
    <row r="79" customFormat="false" ht="12.75" hidden="false" customHeight="false" outlineLevel="0" collapsed="false">
      <c r="A79" s="71" t="s">
        <v>234</v>
      </c>
      <c r="B79" s="124"/>
      <c r="C79" s="200" t="n">
        <f aca="false">+C25+C34+C43+C52+C61+C70</f>
        <v>0</v>
      </c>
      <c r="D79" s="200" t="n">
        <f aca="false">+D25+D34+D43+D52+D61+D70</f>
        <v>4120</v>
      </c>
      <c r="E79" s="200" t="n">
        <f aca="false">+E25+E34+E43+E52+E61+E70</f>
        <v>4120</v>
      </c>
      <c r="F79" s="200" t="n">
        <f aca="false">+F25+F34+F43+F52+F61+F70</f>
        <v>4120</v>
      </c>
      <c r="G79" s="200" t="n">
        <f aca="false">+G25+G34+G43+G52+G61+G70</f>
        <v>4120</v>
      </c>
      <c r="H79" s="200" t="n">
        <f aca="false">+H25+H34+H43+H52+H61+H70</f>
        <v>4120</v>
      </c>
    </row>
  </sheetData>
  <mergeCells count="2">
    <mergeCell ref="A3:H3"/>
    <mergeCell ref="A17:B17"/>
  </mergeCells>
  <printOptions headings="false" gridLines="false" gridLinesSet="true" horizontalCentered="true" verticalCentered="false"/>
  <pageMargins left="0.157638888888889" right="0.157638888888889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windowProtection="false" showFormulas="false" showGridLines="fals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C7" activeCellId="0" sqref="C7"/>
    </sheetView>
  </sheetViews>
  <sheetFormatPr defaultRowHeight="12.75"/>
  <cols>
    <col collapsed="false" hidden="false" max="1" min="1" style="19" width="40.3973214285714"/>
    <col collapsed="false" hidden="false" max="2" min="2" style="19" width="0.825892857142857"/>
    <col collapsed="false" hidden="false" max="7" min="3" style="19" width="11.2232142857143"/>
    <col collapsed="false" hidden="false" max="8" min="8" style="19" width="11.6919642857143"/>
    <col collapsed="false" hidden="false" max="1025" min="9" style="19" width="8.74107142857143"/>
  </cols>
  <sheetData>
    <row r="1" customFormat="false" ht="13.5" hidden="false" customHeight="false" outlineLevel="0" collapsed="false">
      <c r="A1" s="57" t="s">
        <v>16</v>
      </c>
      <c r="B1" s="57" t="str">
        <f aca="false">+Pressupostos!B1</f>
        <v>Herbawatter</v>
      </c>
      <c r="C1" s="57"/>
      <c r="D1" s="57"/>
      <c r="E1" s="58"/>
      <c r="F1" s="58"/>
      <c r="G1" s="58"/>
      <c r="H1" s="58"/>
    </row>
    <row r="2" customFormat="false" ht="12.75" hidden="false" customHeight="false" outlineLevel="0" collapsed="false">
      <c r="A2" s="0"/>
      <c r="B2" s="0"/>
      <c r="C2" s="107"/>
      <c r="D2" s="0"/>
      <c r="E2" s="0"/>
      <c r="F2" s="0"/>
      <c r="G2" s="0"/>
      <c r="H2" s="61" t="str">
        <f aca="false">+Pressupostos!B6</f>
        <v>(valores em euros)</v>
      </c>
    </row>
    <row r="3" customFormat="false" ht="12.75" hidden="false" customHeight="false" outlineLevel="0" collapsed="false">
      <c r="A3" s="23" t="s">
        <v>235</v>
      </c>
      <c r="B3" s="23"/>
      <c r="C3" s="23"/>
      <c r="D3" s="23"/>
      <c r="E3" s="23"/>
      <c r="F3" s="23"/>
      <c r="G3" s="23"/>
      <c r="H3" s="23"/>
    </row>
    <row r="4" customFormat="false" ht="12.75" hidden="false" customHeight="false" outlineLevel="0" collapsed="false">
      <c r="A4" s="0"/>
      <c r="B4" s="0"/>
      <c r="C4" s="191"/>
      <c r="D4" s="0"/>
      <c r="E4" s="0"/>
      <c r="F4" s="0"/>
      <c r="G4" s="0"/>
      <c r="H4" s="0"/>
    </row>
    <row r="5" customFormat="false" ht="12.75" hidden="false" customHeight="false" outlineLevel="0" collapsed="false">
      <c r="A5" s="0"/>
      <c r="B5" s="0"/>
      <c r="C5" s="247"/>
      <c r="D5" s="0"/>
      <c r="E5" s="0"/>
      <c r="F5" s="0"/>
      <c r="G5" s="0"/>
      <c r="H5" s="0"/>
    </row>
    <row r="6" customFormat="false" ht="12.75" hidden="false" customHeight="false" outlineLevel="0" collapsed="false">
      <c r="A6" s="173"/>
      <c r="B6" s="124"/>
      <c r="C6" s="64" t="n">
        <f aca="false">+VN!C5</f>
        <v>2016</v>
      </c>
      <c r="D6" s="64" t="n">
        <f aca="false">+VN!D5</f>
        <v>2017</v>
      </c>
      <c r="E6" s="64" t="n">
        <f aca="false">+VN!E5</f>
        <v>2018</v>
      </c>
      <c r="F6" s="64" t="n">
        <f aca="false">+VN!F5</f>
        <v>2019</v>
      </c>
      <c r="G6" s="64" t="n">
        <f aca="false">+VN!G5</f>
        <v>2020</v>
      </c>
      <c r="H6" s="64" t="n">
        <f aca="false">+VN!H5</f>
        <v>2021</v>
      </c>
    </row>
    <row r="7" customFormat="false" ht="12.75" hidden="false" customHeight="false" outlineLevel="0" collapsed="false">
      <c r="A7" s="173" t="s">
        <v>236</v>
      </c>
      <c r="B7" s="162"/>
      <c r="C7" s="248" t="n">
        <f aca="false">+VN!C26+VN!C38</f>
        <v>60</v>
      </c>
      <c r="D7" s="248" t="n">
        <f aca="false">+VN!D26+VN!D38</f>
        <v>71976</v>
      </c>
      <c r="E7" s="248" t="n">
        <f aca="false">+VN!E26+VN!E38</f>
        <v>213624.768</v>
      </c>
      <c r="F7" s="248" t="n">
        <f aca="false">+VN!F26+VN!F38</f>
        <v>422122.541568</v>
      </c>
      <c r="G7" s="248" t="n">
        <f aca="false">+VN!G26+VN!G38</f>
        <v>543482.7722688</v>
      </c>
      <c r="H7" s="248" t="n">
        <f aca="false">+VN!H26+VN!H38</f>
        <v>641309.671277184</v>
      </c>
    </row>
    <row r="8" customFormat="false" ht="12.75" hidden="false" customHeight="false" outlineLevel="0" collapsed="false">
      <c r="A8" s="173" t="s">
        <v>237</v>
      </c>
      <c r="B8" s="162"/>
      <c r="C8" s="248" t="n">
        <f aca="false">+VN!C51+VN!C63</f>
        <v>0</v>
      </c>
      <c r="D8" s="248" t="n">
        <f aca="false">+VN!D51+VN!D63</f>
        <v>0</v>
      </c>
      <c r="E8" s="248" t="n">
        <f aca="false">+VN!E51+VN!E63</f>
        <v>0</v>
      </c>
      <c r="F8" s="248" t="n">
        <f aca="false">+VN!F51+VN!F63</f>
        <v>0</v>
      </c>
      <c r="G8" s="248" t="n">
        <f aca="false">+VN!G51+VN!G63</f>
        <v>0</v>
      </c>
      <c r="H8" s="248" t="n">
        <f aca="false">+VN!H51+VN!H63</f>
        <v>0</v>
      </c>
    </row>
    <row r="9" customFormat="false" ht="12.75" hidden="false" customHeight="false" outlineLevel="0" collapsed="false">
      <c r="A9" s="249" t="s">
        <v>238</v>
      </c>
      <c r="B9" s="249"/>
      <c r="C9" s="81" t="n">
        <f aca="false">SUM(C7:C8)</f>
        <v>60</v>
      </c>
      <c r="D9" s="81" t="n">
        <f aca="false">SUM(D7:D8)</f>
        <v>71976</v>
      </c>
      <c r="E9" s="81" t="n">
        <f aca="false">SUM(E7:E8)</f>
        <v>213624.768</v>
      </c>
      <c r="F9" s="81" t="n">
        <f aca="false">SUM(F7:F8)</f>
        <v>422122.541568</v>
      </c>
      <c r="G9" s="81" t="n">
        <f aca="false">SUM(G7:G8)</f>
        <v>543482.7722688</v>
      </c>
      <c r="H9" s="81" t="n">
        <f aca="false">SUM(H7:H8)</f>
        <v>641309.671277184</v>
      </c>
    </row>
    <row r="10" customFormat="false" ht="12.75" hidden="false" customHeight="false" outlineLevel="0" collapsed="false">
      <c r="A10" s="173" t="s">
        <v>239</v>
      </c>
      <c r="B10" s="162"/>
      <c r="C10" s="250"/>
      <c r="D10" s="250"/>
      <c r="E10" s="250"/>
      <c r="F10" s="250"/>
      <c r="G10" s="250"/>
      <c r="H10" s="250"/>
    </row>
    <row r="11" customFormat="false" ht="12.75" hidden="false" customHeight="false" outlineLevel="0" collapsed="false">
      <c r="A11" s="173" t="s">
        <v>80</v>
      </c>
      <c r="B11" s="162"/>
      <c r="C11" s="248" t="n">
        <f aca="false">+CMVMC!C11</f>
        <v>19.2</v>
      </c>
      <c r="D11" s="248" t="n">
        <f aca="false">+CMVMC!D11</f>
        <v>23032.32</v>
      </c>
      <c r="E11" s="248" t="n">
        <f aca="false">+CMVMC!E11</f>
        <v>68359.92576</v>
      </c>
      <c r="F11" s="248" t="n">
        <f aca="false">+CMVMC!F11</f>
        <v>135079.21330176</v>
      </c>
      <c r="G11" s="248" t="n">
        <f aca="false">+CMVMC!G11</f>
        <v>173914.487126016</v>
      </c>
      <c r="H11" s="248" t="n">
        <f aca="false">+CMVMC!H11</f>
        <v>205219.094808699</v>
      </c>
    </row>
    <row r="12" customFormat="false" ht="12.75" hidden="false" customHeight="false" outlineLevel="0" collapsed="false">
      <c r="A12" s="173" t="s">
        <v>240</v>
      </c>
      <c r="B12" s="162"/>
      <c r="C12" s="248" t="n">
        <f aca="false">+FSE!F42</f>
        <v>2173.5</v>
      </c>
      <c r="D12" s="248" t="n">
        <f aca="false">+FSE!G42</f>
        <v>13910.4</v>
      </c>
      <c r="E12" s="248" t="n">
        <f aca="false">+FSE!H42</f>
        <v>18083.52</v>
      </c>
      <c r="F12" s="248" t="n">
        <f aca="false">+FSE!I42</f>
        <v>22604.4</v>
      </c>
      <c r="G12" s="248" t="n">
        <f aca="false">+FSE!J42</f>
        <v>25995.06</v>
      </c>
      <c r="H12" s="248" t="n">
        <f aca="false">+FSE!K42</f>
        <v>28594.566</v>
      </c>
    </row>
    <row r="13" customFormat="false" ht="12.8" hidden="false" customHeight="false" outlineLevel="0" collapsed="false">
      <c r="A13" s="249" t="s">
        <v>241</v>
      </c>
      <c r="B13" s="249"/>
      <c r="C13" s="81" t="n">
        <f aca="false">+C9-C10-C11-C12</f>
        <v>-2132.7</v>
      </c>
      <c r="D13" s="81" t="n">
        <f aca="false">+D9-D10-D11-D12</f>
        <v>35033.28</v>
      </c>
      <c r="E13" s="81" t="n">
        <f aca="false">+E9-E10-E11-E12</f>
        <v>127181.32224</v>
      </c>
      <c r="F13" s="81" t="n">
        <f aca="false">+F9-F10-F11-F12</f>
        <v>264438.92826624</v>
      </c>
      <c r="G13" s="81" t="n">
        <f aca="false">+G9-G10-G11-G12</f>
        <v>343573.225142784</v>
      </c>
      <c r="H13" s="81" t="n">
        <f aca="false">+H9-H10-H11-H12</f>
        <v>407496.010468485</v>
      </c>
    </row>
    <row r="14" customFormat="false" ht="12.75" hidden="false" customHeight="false" outlineLevel="0" collapsed="false">
      <c r="A14" s="165"/>
      <c r="B14" s="165"/>
      <c r="C14" s="251" t="n">
        <f aca="false">+C13/C9</f>
        <v>-35.545</v>
      </c>
      <c r="D14" s="251" t="n">
        <f aca="false">+D13/D9</f>
        <v>0.486735578526176</v>
      </c>
      <c r="E14" s="251" t="n">
        <f aca="false">+E13/E9</f>
        <v>0.595349141537745</v>
      </c>
      <c r="F14" s="251" t="n">
        <f aca="false">+F13/F9</f>
        <v>0.626450620912035</v>
      </c>
      <c r="G14" s="251" t="n">
        <f aca="false">+G13/G9</f>
        <v>0.632169486639876</v>
      </c>
      <c r="H14" s="251" t="n">
        <f aca="false">+H13/H9</f>
        <v>0.635412233308359</v>
      </c>
    </row>
    <row r="15" customFormat="false" ht="12.75" hidden="false" customHeight="false" outlineLevel="0" collapsed="false">
      <c r="A15" s="173" t="s">
        <v>242</v>
      </c>
      <c r="B15" s="162"/>
      <c r="C15" s="248" t="n">
        <f aca="false">+FSE!F40</f>
        <v>898.5</v>
      </c>
      <c r="D15" s="248" t="n">
        <f aca="false">+FSE!G40</f>
        <v>5750.4</v>
      </c>
      <c r="E15" s="248" t="n">
        <f aca="false">+FSE!H40</f>
        <v>7475.52</v>
      </c>
      <c r="F15" s="248" t="n">
        <f aca="false">+FSE!I40</f>
        <v>9344.4</v>
      </c>
      <c r="G15" s="248" t="n">
        <f aca="false">+FSE!J40</f>
        <v>10746.06</v>
      </c>
      <c r="H15" s="248" t="n">
        <f aca="false">+FSE!J40</f>
        <v>10746.06</v>
      </c>
    </row>
    <row r="16" customFormat="false" ht="12.75" hidden="false" customHeight="false" outlineLevel="0" collapsed="false">
      <c r="A16" s="249" t="s">
        <v>243</v>
      </c>
      <c r="B16" s="249"/>
      <c r="C16" s="81" t="n">
        <f aca="false">+C13-C15</f>
        <v>-3031.2</v>
      </c>
      <c r="D16" s="81" t="n">
        <f aca="false">+D13-D15</f>
        <v>29282.88</v>
      </c>
      <c r="E16" s="81" t="n">
        <f aca="false">+E13-E15</f>
        <v>119705.80224</v>
      </c>
      <c r="F16" s="81" t="n">
        <f aca="false">+F13-F15</f>
        <v>255094.52826624</v>
      </c>
      <c r="G16" s="81" t="n">
        <f aca="false">+G13-G15</f>
        <v>332827.165142784</v>
      </c>
      <c r="H16" s="81" t="n">
        <f aca="false">+H13-H15</f>
        <v>396749.950468485</v>
      </c>
    </row>
    <row r="17" customFormat="false" ht="12.75" hidden="false" customHeight="false" outlineLevel="0" collapsed="false">
      <c r="A17" s="173" t="s">
        <v>244</v>
      </c>
      <c r="B17" s="162"/>
      <c r="C17" s="250"/>
      <c r="D17" s="250"/>
      <c r="E17" s="250"/>
      <c r="F17" s="250"/>
      <c r="G17" s="250"/>
      <c r="H17" s="250"/>
    </row>
    <row r="18" customFormat="false" ht="12.75" hidden="false" customHeight="false" outlineLevel="0" collapsed="false">
      <c r="A18" s="173" t="s">
        <v>245</v>
      </c>
      <c r="B18" s="162"/>
      <c r="C18" s="248" t="n">
        <f aca="false">+'Custos Pessoal'!D62</f>
        <v>50132.25</v>
      </c>
      <c r="D18" s="248" t="n">
        <f aca="false">+'Custos Pessoal'!E62</f>
        <v>103301.68</v>
      </c>
      <c r="E18" s="248" t="n">
        <f aca="false">+'Custos Pessoal'!F62</f>
        <v>112485.8144</v>
      </c>
      <c r="F18" s="248" t="n">
        <f aca="false">+'Custos Pessoal'!G62</f>
        <v>117614.963264</v>
      </c>
      <c r="G18" s="248" t="n">
        <f aca="false">+'Custos Pessoal'!H62</f>
        <v>122299.56179456</v>
      </c>
      <c r="H18" s="248" t="n">
        <f aca="false">+'Custos Pessoal'!I62</f>
        <v>127171.544266342</v>
      </c>
    </row>
    <row r="19" customFormat="false" ht="12.75" hidden="false" customHeight="false" outlineLevel="0" collapsed="false">
      <c r="A19" s="173" t="s">
        <v>246</v>
      </c>
      <c r="B19" s="162"/>
      <c r="C19" s="251" t="n">
        <f aca="false">+C18/C9</f>
        <v>835.5375</v>
      </c>
      <c r="D19" s="251" t="n">
        <f aca="false">+D18/D9</f>
        <v>1.4352239635434</v>
      </c>
      <c r="E19" s="251" t="n">
        <f aca="false">+E18/E9</f>
        <v>0.526557924219723</v>
      </c>
      <c r="F19" s="251" t="n">
        <f aca="false">+F18/F9</f>
        <v>0.278627535092327</v>
      </c>
      <c r="G19" s="251" t="n">
        <f aca="false">+G18/G9</f>
        <v>0.225029325739275</v>
      </c>
      <c r="H19" s="251" t="n">
        <f aca="false">+H18/H9</f>
        <v>0.198299744978237</v>
      </c>
    </row>
    <row r="20" customFormat="false" ht="12.75" hidden="false" customHeight="false" outlineLevel="0" collapsed="false">
      <c r="A20" s="173" t="s">
        <v>247</v>
      </c>
      <c r="B20" s="162"/>
      <c r="C20" s="250"/>
      <c r="D20" s="250"/>
      <c r="E20" s="250"/>
      <c r="F20" s="250"/>
      <c r="G20" s="250"/>
      <c r="H20" s="250"/>
    </row>
    <row r="21" customFormat="false" ht="12.75" hidden="false" customHeight="false" outlineLevel="0" collapsed="false">
      <c r="A21" s="173" t="s">
        <v>248</v>
      </c>
      <c r="B21" s="162"/>
      <c r="C21" s="250"/>
      <c r="D21" s="250"/>
      <c r="E21" s="250"/>
      <c r="F21" s="250"/>
      <c r="G21" s="250"/>
      <c r="H21" s="250"/>
    </row>
    <row r="22" customFormat="false" ht="12.75" hidden="false" customHeight="false" outlineLevel="0" collapsed="false">
      <c r="A22" s="249" t="s">
        <v>249</v>
      </c>
      <c r="B22" s="249"/>
      <c r="C22" s="81" t="n">
        <f aca="false">+C16-C17-C18-C20+C21</f>
        <v>-53163.45</v>
      </c>
      <c r="D22" s="81" t="n">
        <f aca="false">+D16-D17-D18-D20+D21</f>
        <v>-74018.8</v>
      </c>
      <c r="E22" s="81" t="n">
        <f aca="false">+E16-E17-E18-E20+E21</f>
        <v>7219.98784</v>
      </c>
      <c r="F22" s="81" t="n">
        <f aca="false">+F16-F17-F18-F20+F21</f>
        <v>137479.56500224</v>
      </c>
      <c r="G22" s="81" t="n">
        <f aca="false">+G16-G17-G18-G20+G21</f>
        <v>210527.603348224</v>
      </c>
      <c r="H22" s="81" t="n">
        <f aca="false">+H16-H17-H18-H20+H21</f>
        <v>269578.406202143</v>
      </c>
    </row>
    <row r="23" customFormat="false" ht="12.75" hidden="false" customHeight="false" outlineLevel="0" collapsed="false">
      <c r="A23" s="173" t="s">
        <v>250</v>
      </c>
      <c r="B23" s="162"/>
      <c r="C23" s="248" t="n">
        <f aca="false">+Investimentos!C66</f>
        <v>7550</v>
      </c>
      <c r="D23" s="248" t="n">
        <f aca="false">+Investimentos!D66</f>
        <v>8245</v>
      </c>
      <c r="E23" s="248" t="n">
        <f aca="false">+Investimentos!E66</f>
        <v>8495</v>
      </c>
      <c r="F23" s="248" t="n">
        <f aca="false">+Investimentos!F66</f>
        <v>8620</v>
      </c>
      <c r="G23" s="248" t="n">
        <f aca="false">+Investimentos!G66</f>
        <v>1245</v>
      </c>
      <c r="H23" s="248" t="n">
        <f aca="false">+Investimentos!H66</f>
        <v>695</v>
      </c>
    </row>
    <row r="24" customFormat="false" ht="12.75" hidden="false" customHeight="false" outlineLevel="0" collapsed="false">
      <c r="A24" s="173" t="s">
        <v>251</v>
      </c>
      <c r="B24" s="162"/>
      <c r="C24" s="248"/>
      <c r="D24" s="248"/>
      <c r="E24" s="248"/>
      <c r="F24" s="248"/>
      <c r="G24" s="248"/>
      <c r="H24" s="248"/>
    </row>
    <row r="25" customFormat="false" ht="12.75" hidden="false" customHeight="false" outlineLevel="0" collapsed="false">
      <c r="A25" s="249" t="s">
        <v>252</v>
      </c>
      <c r="B25" s="249"/>
      <c r="C25" s="81" t="n">
        <f aca="false">+C22-C23-C24</f>
        <v>-60713.45</v>
      </c>
      <c r="D25" s="81" t="n">
        <f aca="false">+D22-D23-D24</f>
        <v>-82263.8</v>
      </c>
      <c r="E25" s="81" t="n">
        <f aca="false">+E22-E23-E24</f>
        <v>-1275.01216</v>
      </c>
      <c r="F25" s="81" t="n">
        <f aca="false">+F22-F23-F24</f>
        <v>128859.56500224</v>
      </c>
      <c r="G25" s="81" t="n">
        <f aca="false">+G22-G23-G24</f>
        <v>209282.603348224</v>
      </c>
      <c r="H25" s="81" t="n">
        <f aca="false">+H22-H23-H24</f>
        <v>268883.406202143</v>
      </c>
    </row>
    <row r="26" customFormat="false" ht="12.75" hidden="false" customHeight="false" outlineLevel="0" collapsed="false">
      <c r="A26" s="173" t="s">
        <v>253</v>
      </c>
      <c r="B26" s="162"/>
      <c r="C26" s="248" t="n">
        <f aca="false">Financiamento!C78+IF(PlanoFinanceiro!C28&lt;0,-PlanoFinanceiro!C28*Pressupostos!$B$22,0)</f>
        <v>3099.63208685106</v>
      </c>
      <c r="D26" s="248" t="n">
        <f aca="false">Financiamento!D78+IF(PlanoFinanceiro!D28&lt;0,-PlanoFinanceiro!D28*Pressupostos!$B$22,0)</f>
        <v>6456.44628639475</v>
      </c>
      <c r="E26" s="248" t="n">
        <f aca="false">Financiamento!E78+IF(PlanoFinanceiro!E28&lt;0,-PlanoFinanceiro!E28*Pressupostos!$B$22,0)</f>
        <v>5919.23583025824</v>
      </c>
      <c r="F26" s="248" t="n">
        <f aca="false">Financiamento!F78+IF(PlanoFinanceiro!F28&lt;0,-PlanoFinanceiro!F28*Pressupostos!$B$22,0)</f>
        <v>744.5664</v>
      </c>
      <c r="G26" s="248" t="n">
        <f aca="false">Financiamento!G78+IF(PlanoFinanceiro!G28&lt;0,-PlanoFinanceiro!G28*Pressupostos!$B$22,0)</f>
        <v>496.3776</v>
      </c>
      <c r="H26" s="248" t="n">
        <f aca="false">Financiamento!H78+IF(PlanoFinanceiro!H28&lt;0,-PlanoFinanceiro!H28*Pressupostos!$B$22,0)</f>
        <v>248.1888</v>
      </c>
    </row>
    <row r="27" customFormat="false" ht="12.75" hidden="false" customHeight="false" outlineLevel="0" collapsed="false">
      <c r="A27" s="173" t="s">
        <v>254</v>
      </c>
      <c r="B27" s="162"/>
      <c r="C27" s="248" t="n">
        <f aca="false">+IF(PlanoFinanceiro!C28&gt;0,PlanoFinanceiro!C28*Pressupostos!$B$22,0)</f>
        <v>0</v>
      </c>
      <c r="D27" s="248" t="n">
        <f aca="false">+IF(PlanoFinanceiro!D28&gt;0,PlanoFinanceiro!D28*Pressupostos!$B$22,0)</f>
        <v>0</v>
      </c>
      <c r="E27" s="248" t="n">
        <f aca="false">+IF(PlanoFinanceiro!E28&gt;0,PlanoFinanceiro!E28*Pressupostos!$B$22,0)</f>
        <v>0</v>
      </c>
      <c r="F27" s="248" t="n">
        <f aca="false">+IF(PlanoFinanceiro!F28&gt;0,PlanoFinanceiro!F28*Pressupostos!$B$22,0)</f>
        <v>3592.66744803289</v>
      </c>
      <c r="G27" s="248" t="n">
        <f aca="false">+IF(PlanoFinanceiro!G28&gt;0,PlanoFinanceiro!G28*Pressupostos!$B$22,0)</f>
        <v>17332.0778734061</v>
      </c>
      <c r="H27" s="248" t="n">
        <f aca="false">+IF(PlanoFinanceiro!H28&gt;0,PlanoFinanceiro!H28*Pressupostos!$B$22,0)</f>
        <v>32874.8778974279</v>
      </c>
    </row>
    <row r="28" customFormat="false" ht="12.75" hidden="false" customHeight="false" outlineLevel="0" collapsed="false">
      <c r="A28" s="249" t="s">
        <v>255</v>
      </c>
      <c r="B28" s="249"/>
      <c r="C28" s="81" t="n">
        <f aca="false">+C27-C26</f>
        <v>-3099.63208685106</v>
      </c>
      <c r="D28" s="81" t="n">
        <f aca="false">+D27-D26</f>
        <v>-6456.44628639475</v>
      </c>
      <c r="E28" s="81" t="n">
        <f aca="false">+E27-E26</f>
        <v>-5919.23583025824</v>
      </c>
      <c r="F28" s="81" t="n">
        <f aca="false">+F27-F26</f>
        <v>2848.10104803289</v>
      </c>
      <c r="G28" s="81" t="n">
        <f aca="false">+G27-G26</f>
        <v>16835.7002734061</v>
      </c>
      <c r="H28" s="81" t="n">
        <f aca="false">+H27-H26</f>
        <v>32626.6890974279</v>
      </c>
    </row>
    <row r="29" customFormat="false" ht="12.75" hidden="false" customHeight="false" outlineLevel="0" collapsed="false">
      <c r="A29" s="173" t="s">
        <v>256</v>
      </c>
      <c r="B29" s="162"/>
      <c r="C29" s="250"/>
      <c r="D29" s="250"/>
      <c r="E29" s="250"/>
      <c r="F29" s="250"/>
      <c r="G29" s="250"/>
      <c r="H29" s="250"/>
    </row>
    <row r="30" customFormat="false" ht="12.75" hidden="false" customHeight="false" outlineLevel="0" collapsed="false">
      <c r="A30" s="173" t="s">
        <v>257</v>
      </c>
      <c r="B30" s="162"/>
      <c r="C30" s="250"/>
      <c r="D30" s="250"/>
      <c r="E30" s="250"/>
      <c r="F30" s="250"/>
      <c r="G30" s="250"/>
      <c r="H30" s="250"/>
    </row>
    <row r="31" customFormat="false" ht="12.75" hidden="false" customHeight="false" outlineLevel="0" collapsed="false">
      <c r="A31" s="249" t="s">
        <v>258</v>
      </c>
      <c r="B31" s="249"/>
      <c r="C31" s="81" t="n">
        <f aca="false">+C25+C28-C29+C30</f>
        <v>-63813.0820868511</v>
      </c>
      <c r="D31" s="81" t="n">
        <f aca="false">+D25+D28-D29+D30</f>
        <v>-88720.2462863947</v>
      </c>
      <c r="E31" s="81" t="n">
        <f aca="false">+E25+E28-E29+E30</f>
        <v>-7194.24799025824</v>
      </c>
      <c r="F31" s="81" t="n">
        <f aca="false">+F25+F28-F29+F30</f>
        <v>131707.666050273</v>
      </c>
      <c r="G31" s="81" t="n">
        <f aca="false">+G25+G28-G29+G30</f>
        <v>226118.30362163</v>
      </c>
      <c r="H31" s="81" t="n">
        <f aca="false">+H25+H28-H29+H30</f>
        <v>301510.095299571</v>
      </c>
    </row>
    <row r="32" customFormat="false" ht="12.75" hidden="false" customHeight="false" outlineLevel="0" collapsed="false">
      <c r="A32" s="173" t="s">
        <v>259</v>
      </c>
      <c r="B32" s="162"/>
      <c r="C32" s="248" t="n">
        <f aca="false">IF(C31&gt;0,C31*Pressupostos!$B$18,0)</f>
        <v>0</v>
      </c>
      <c r="D32" s="248" t="n">
        <f aca="false">IF(D31+D34&lt;0,0,(D31+D34)*Pressupostos!$B$18)</f>
        <v>0</v>
      </c>
      <c r="E32" s="248" t="n">
        <f aca="false">IF(E31+E34&lt;0,0,(E31+E34)*Pressupostos!$B$18)</f>
        <v>0</v>
      </c>
      <c r="F32" s="248" t="n">
        <f aca="false">IF(F31+F34&lt;0,0,(F31+F34)*Pressupostos!$B$18)</f>
        <v>0</v>
      </c>
      <c r="G32" s="248" t="n">
        <f aca="false">IF(G31+G34&lt;0,0,(G31+G34)*Pressupostos!$B$18)</f>
        <v>41600.6625947638</v>
      </c>
      <c r="H32" s="248" t="n">
        <f aca="false">IF(H31+H34&lt;0,0,(H31+H34)*Pressupostos!$B$18)</f>
        <v>63317.1200129098</v>
      </c>
    </row>
    <row r="33" customFormat="false" ht="12.75" hidden="false" customHeight="false" outlineLevel="0" collapsed="false">
      <c r="A33" s="249" t="s">
        <v>260</v>
      </c>
      <c r="B33" s="249"/>
      <c r="C33" s="81" t="n">
        <f aca="false">+C31-C32</f>
        <v>-63813.0820868511</v>
      </c>
      <c r="D33" s="81" t="n">
        <f aca="false">+D31-D32</f>
        <v>-88720.2462863947</v>
      </c>
      <c r="E33" s="81" t="n">
        <f aca="false">+E31-E32</f>
        <v>-7194.24799025824</v>
      </c>
      <c r="F33" s="81" t="n">
        <f aca="false">+F31-F32</f>
        <v>131707.666050273</v>
      </c>
      <c r="G33" s="81" t="n">
        <f aca="false">+G31-G32</f>
        <v>184517.641026866</v>
      </c>
      <c r="H33" s="81" t="n">
        <f aca="false">+H31-H32</f>
        <v>238192.975286661</v>
      </c>
    </row>
    <row r="34" customFormat="false" ht="12.75" hidden="false" customHeight="false" outlineLevel="0" collapsed="false">
      <c r="A34" s="252"/>
      <c r="B34" s="0"/>
      <c r="C34" s="253"/>
      <c r="D34" s="254" t="n">
        <f aca="false">IF(C33&lt;0,C33,0)</f>
        <v>-63813.0820868511</v>
      </c>
      <c r="E34" s="254" t="n">
        <f aca="false">IF(D33+D34&lt;0,D33+D34,0)</f>
        <v>-152533.328373246</v>
      </c>
      <c r="F34" s="254" t="n">
        <f aca="false">IF(E33+E34&lt;0,E33+E34,0)</f>
        <v>-159727.576363504</v>
      </c>
      <c r="G34" s="255" t="n">
        <f aca="false">IF(F33+F34&lt;0,F33+F34,0)</f>
        <v>-28019.9103132311</v>
      </c>
      <c r="H34" s="255" t="n">
        <f aca="false">IF(G33+G34&lt;0,G33+G34,0)</f>
        <v>0</v>
      </c>
    </row>
    <row r="35" customFormat="false" ht="12.75" hidden="false" customHeight="false" outlineLevel="0" collapsed="false">
      <c r="A35" s="249" t="s">
        <v>261</v>
      </c>
      <c r="B35" s="249"/>
      <c r="C35" s="256" t="n">
        <f aca="false">(+C15+C17+C18+C23)/C9</f>
        <v>976.345833333333</v>
      </c>
      <c r="D35" s="256" t="n">
        <f aca="false">(+D15+D17+D18+D23)/D9</f>
        <v>1.62966933422252</v>
      </c>
      <c r="E35" s="256" t="n">
        <f aca="false">(+E15+E17+E18+E23)/E9</f>
        <v>0.601317607516372</v>
      </c>
      <c r="F35" s="256" t="n">
        <f aca="false">(+F15+F17+F18+F23)/F9</f>
        <v>0.321184845425175</v>
      </c>
      <c r="G35" s="256" t="n">
        <f aca="false">(+G15+G17+G18+G23)/G9</f>
        <v>0.247092692991824</v>
      </c>
      <c r="H35" s="256" t="n">
        <f aca="false">(+H15+H17+H18+H23)/H9</f>
        <v>0.216139893836767</v>
      </c>
    </row>
    <row r="36" customFormat="false" ht="12.75" hidden="false" customHeight="false" outlineLevel="0" collapsed="false">
      <c r="A36" s="249" t="s">
        <v>262</v>
      </c>
      <c r="B36" s="249"/>
      <c r="C36" s="256" t="n">
        <f aca="false">+C33/C9</f>
        <v>-1063.55136811418</v>
      </c>
      <c r="D36" s="256" t="n">
        <f aca="false">+D33/D9</f>
        <v>-1.23263652170716</v>
      </c>
      <c r="E36" s="256" t="n">
        <f aca="false">+E33/E9</f>
        <v>-0.0336770312619286</v>
      </c>
      <c r="F36" s="256" t="n">
        <f aca="false">+F33/F9</f>
        <v>0.312012870862183</v>
      </c>
      <c r="G36" s="256" t="n">
        <f aca="false">+G33/G9</f>
        <v>0.339509641228528</v>
      </c>
      <c r="H36" s="256" t="n">
        <f aca="false">+H33/H9</f>
        <v>0.371416471565591</v>
      </c>
    </row>
    <row r="37" customFormat="false" ht="12.75" hidden="false" customHeight="false" outlineLevel="0" collapsed="false">
      <c r="C37" s="107"/>
      <c r="D37" s="107"/>
      <c r="E37" s="107"/>
      <c r="F37" s="107"/>
      <c r="G37" s="107"/>
      <c r="H37" s="0"/>
    </row>
    <row r="38" customFormat="false" ht="12.75" hidden="false" customHeight="false" outlineLevel="0" collapsed="false">
      <c r="C38" s="257"/>
      <c r="D38" s="257" t="n">
        <f aca="false">+IF(D33&gt;0,D33*Pressupostos!C19,0)</f>
        <v>0</v>
      </c>
      <c r="E38" s="257"/>
      <c r="F38" s="257" t="n">
        <f aca="false">+IF(F33&gt;0,F33*Pressupostos!E19,0)</f>
        <v>0</v>
      </c>
      <c r="G38" s="257" t="n">
        <f aca="false">+IF(G33&gt;0,G33*Pressupostos!F19,0)</f>
        <v>0</v>
      </c>
      <c r="H38" s="257" t="n">
        <f aca="false">+IF(H33&gt;0,H33*Pressupostos!G19,0)</f>
        <v>0</v>
      </c>
    </row>
  </sheetData>
  <mergeCells count="11">
    <mergeCell ref="A3:H3"/>
    <mergeCell ref="A9:B9"/>
    <mergeCell ref="A13:B13"/>
    <mergeCell ref="A16:B16"/>
    <mergeCell ref="A22:B22"/>
    <mergeCell ref="A25:B25"/>
    <mergeCell ref="A28:B28"/>
    <mergeCell ref="A31:B31"/>
    <mergeCell ref="A33:B33"/>
    <mergeCell ref="A35:B35"/>
    <mergeCell ref="A36:B36"/>
  </mergeCells>
  <printOptions headings="false" gridLines="false" gridLinesSet="true" horizontalCentered="true" verticalCentered="false"/>
  <pageMargins left="0.0395833333333333" right="0.0395833333333333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4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2" activeCellId="0" sqref="C22"/>
    </sheetView>
  </sheetViews>
  <sheetFormatPr defaultRowHeight="10.5"/>
  <cols>
    <col collapsed="false" hidden="false" max="1" min="1" style="258" width="30.4732142857143"/>
    <col collapsed="false" hidden="false" max="2" min="2" style="258" width="7.44196428571429"/>
    <col collapsed="false" hidden="false" max="13" min="3" style="258" width="11.2232142857143"/>
    <col collapsed="false" hidden="false" max="1025" min="14" style="258" width="8.74107142857143"/>
  </cols>
  <sheetData>
    <row r="1" customFormat="false" ht="13.5" hidden="false" customHeight="false" outlineLevel="0" collapsed="false">
      <c r="A1" s="194" t="s">
        <v>16</v>
      </c>
      <c r="B1" s="195" t="str">
        <f aca="false">+Pressupostos!B1</f>
        <v>Herbawatter</v>
      </c>
      <c r="C1" s="196"/>
      <c r="D1" s="196"/>
      <c r="E1" s="196"/>
      <c r="F1" s="196"/>
      <c r="G1" s="196"/>
      <c r="H1" s="196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19"/>
      <c r="B2" s="19"/>
      <c r="C2" s="19"/>
      <c r="D2" s="19"/>
      <c r="E2" s="19"/>
      <c r="F2" s="19"/>
      <c r="G2" s="19"/>
      <c r="H2" s="61" t="str">
        <f aca="false">+Pressupostos!B6</f>
        <v>(valores em euros)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5" hidden="false" customHeight="true" outlineLevel="0" collapsed="false">
      <c r="A3" s="23" t="s">
        <v>263</v>
      </c>
      <c r="B3" s="23"/>
      <c r="C3" s="23"/>
      <c r="D3" s="23"/>
      <c r="E3" s="23"/>
      <c r="F3" s="23"/>
      <c r="G3" s="23"/>
      <c r="H3" s="23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true" outlineLevel="0" collapsed="false">
      <c r="A4" s="19"/>
      <c r="B4" s="191"/>
      <c r="C4" s="191"/>
      <c r="D4" s="19"/>
      <c r="E4" s="19"/>
      <c r="F4" s="19"/>
      <c r="G4" s="19"/>
      <c r="H4" s="19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19"/>
      <c r="B5" s="172"/>
      <c r="C5" s="191"/>
      <c r="D5" s="19"/>
      <c r="E5" s="19"/>
      <c r="F5" s="19"/>
      <c r="G5" s="19"/>
      <c r="H5" s="19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73"/>
      <c r="B6" s="162"/>
      <c r="C6" s="64" t="n">
        <f aca="false">+VN!C5</f>
        <v>2016</v>
      </c>
      <c r="D6" s="64" t="n">
        <f aca="false">+VN!D5</f>
        <v>2017</v>
      </c>
      <c r="E6" s="64" t="n">
        <f aca="false">+VN!E5</f>
        <v>2018</v>
      </c>
      <c r="F6" s="64" t="n">
        <f aca="false">+VN!F5</f>
        <v>2019</v>
      </c>
      <c r="G6" s="64" t="n">
        <f aca="false">+VN!G5</f>
        <v>2020</v>
      </c>
      <c r="H6" s="64" t="n">
        <f aca="false">+VN!H5</f>
        <v>2021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91" t="s">
        <v>264</v>
      </c>
      <c r="B7" s="162"/>
      <c r="C7" s="64"/>
      <c r="D7" s="64"/>
      <c r="E7" s="64"/>
      <c r="F7" s="64"/>
      <c r="G7" s="64"/>
      <c r="H7" s="64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259" t="s">
        <v>265</v>
      </c>
      <c r="B8" s="260"/>
      <c r="C8" s="200" t="n">
        <f aca="false">+DR!C25*(1-Pressupostos!$B$18)</f>
        <v>-47963.6255</v>
      </c>
      <c r="D8" s="200" t="n">
        <f aca="false">+DR!D25*(1-Pressupostos!$B$18)</f>
        <v>-64988.402</v>
      </c>
      <c r="E8" s="200" t="n">
        <f aca="false">+DR!E25*(1-Pressupostos!$B$18)</f>
        <v>-1007.2596064</v>
      </c>
      <c r="F8" s="200" t="n">
        <f aca="false">+DR!F25*(1-Pressupostos!$B$18)</f>
        <v>101799.05635177</v>
      </c>
      <c r="G8" s="200" t="n">
        <f aca="false">+DR!G25*(1-Pressupostos!$B$18)</f>
        <v>165333.256645097</v>
      </c>
      <c r="H8" s="200" t="n">
        <f aca="false">+DR!H25*(1-Pressupostos!$B$18)</f>
        <v>212417.890899693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73" t="s">
        <v>266</v>
      </c>
      <c r="B9" s="260"/>
      <c r="C9" s="200" t="n">
        <f aca="false">+DR!C23</f>
        <v>7550</v>
      </c>
      <c r="D9" s="200" t="n">
        <f aca="false">+DR!D23</f>
        <v>8245</v>
      </c>
      <c r="E9" s="200" t="n">
        <f aca="false">+DR!E23</f>
        <v>8495</v>
      </c>
      <c r="F9" s="200" t="n">
        <f aca="false">+DR!F23</f>
        <v>8620</v>
      </c>
      <c r="G9" s="200" t="n">
        <f aca="false">+DR!G23</f>
        <v>1245</v>
      </c>
      <c r="H9" s="200" t="n">
        <f aca="false">+DR!H23</f>
        <v>695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73" t="s">
        <v>267</v>
      </c>
      <c r="B10" s="260"/>
      <c r="C10" s="200" t="n">
        <f aca="false">+DR!C24</f>
        <v>0</v>
      </c>
      <c r="D10" s="200" t="n">
        <f aca="false">+DR!D24</f>
        <v>0</v>
      </c>
      <c r="E10" s="200" t="n">
        <f aca="false">+DR!E24</f>
        <v>0</v>
      </c>
      <c r="F10" s="200" t="n">
        <f aca="false">+DR!F24</f>
        <v>0</v>
      </c>
      <c r="G10" s="200" t="n">
        <f aca="false">+DR!G24</f>
        <v>0</v>
      </c>
      <c r="H10" s="200" t="n">
        <f aca="false">+DR!H24</f>
        <v>0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73"/>
      <c r="B11" s="158"/>
      <c r="C11" s="209" t="n">
        <f aca="false">SUM(C8:C10)</f>
        <v>-40413.6255</v>
      </c>
      <c r="D11" s="209" t="n">
        <f aca="false">SUM(D8:D10)</f>
        <v>-56743.402</v>
      </c>
      <c r="E11" s="209" t="n">
        <f aca="false">SUM(E8:E10)</f>
        <v>7487.7403936</v>
      </c>
      <c r="F11" s="209" t="n">
        <f aca="false">SUM(F8:F10)</f>
        <v>110419.05635177</v>
      </c>
      <c r="G11" s="209" t="n">
        <f aca="false">SUM(G8:G10)</f>
        <v>166578.256645097</v>
      </c>
      <c r="H11" s="209" t="n">
        <f aca="false">SUM(H8:H10)</f>
        <v>213112.890899693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91" t="s">
        <v>268</v>
      </c>
      <c r="B12" s="261"/>
      <c r="C12" s="262"/>
      <c r="D12" s="262"/>
      <c r="E12" s="262"/>
      <c r="F12" s="262"/>
      <c r="G12" s="262"/>
      <c r="H12" s="262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259" t="s">
        <v>269</v>
      </c>
      <c r="B13" s="263"/>
      <c r="C13" s="200" t="n">
        <f aca="false">-FundoManeio!C22</f>
        <v>-3663.95433333333</v>
      </c>
      <c r="D13" s="200" t="n">
        <f aca="false">-FundoManeio!D22</f>
        <v>9408.1714</v>
      </c>
      <c r="E13" s="200" t="n">
        <f aca="false">-FundoManeio!E22</f>
        <v>-4205.67640746666</v>
      </c>
      <c r="F13" s="200" t="n">
        <f aca="false">-FundoManeio!F22</f>
        <v>-7411.9065454208</v>
      </c>
      <c r="G13" s="200" t="n">
        <f aca="false">-FundoManeio!G22</f>
        <v>-3738.30893118849</v>
      </c>
      <c r="H13" s="200" t="n">
        <f aca="false">-FundoManeio!H22</f>
        <v>-2949.18439999766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0.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213" t="s">
        <v>270</v>
      </c>
      <c r="B15" s="264"/>
      <c r="C15" s="209" t="n">
        <f aca="false">+SUM(C11:C13)</f>
        <v>-44077.5798333333</v>
      </c>
      <c r="D15" s="209" t="n">
        <f aca="false">+SUM(D11:D13)</f>
        <v>-47335.2306</v>
      </c>
      <c r="E15" s="209" t="n">
        <f aca="false">+SUM(E11:E13)</f>
        <v>3282.06398613334</v>
      </c>
      <c r="F15" s="209" t="n">
        <f aca="false">+SUM(F11:F13)</f>
        <v>103007.149806349</v>
      </c>
      <c r="G15" s="209" t="n">
        <f aca="false">+SUM(G11:G13)</f>
        <v>162839.947713909</v>
      </c>
      <c r="H15" s="209" t="n">
        <f aca="false">+SUM(H11:H13)</f>
        <v>210163.706499695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265"/>
      <c r="B16" s="266"/>
      <c r="C16" s="267"/>
      <c r="D16" s="267"/>
      <c r="E16" s="267"/>
      <c r="F16" s="267"/>
      <c r="G16" s="267"/>
      <c r="H16" s="267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91" t="s">
        <v>271</v>
      </c>
      <c r="B17" s="261"/>
      <c r="C17" s="262"/>
      <c r="D17" s="262"/>
      <c r="E17" s="262"/>
      <c r="F17" s="262"/>
      <c r="G17" s="262"/>
      <c r="H17" s="262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73" t="s">
        <v>272</v>
      </c>
      <c r="B18" s="260"/>
      <c r="C18" s="200" t="n">
        <f aca="false">-Investimentos!C24</f>
        <v>-30250</v>
      </c>
      <c r="D18" s="200" t="n">
        <f aca="false">-Investimentos!D24</f>
        <v>-2850</v>
      </c>
      <c r="E18" s="200" t="n">
        <f aca="false">-Investimentos!E24</f>
        <v>-1000</v>
      </c>
      <c r="F18" s="200" t="n">
        <f aca="false">-Investimentos!F24</f>
        <v>-500</v>
      </c>
      <c r="G18" s="200" t="n">
        <f aca="false">-Investimentos!G24</f>
        <v>-500</v>
      </c>
      <c r="H18" s="200" t="n">
        <f aca="false">-Investimentos!H24</f>
        <v>-500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0"/>
      <c r="B19" s="266"/>
      <c r="C19" s="267"/>
      <c r="D19" s="267"/>
      <c r="E19" s="267"/>
      <c r="F19" s="267"/>
      <c r="G19" s="267"/>
      <c r="H19" s="267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213" t="s">
        <v>273</v>
      </c>
      <c r="B20" s="264"/>
      <c r="C20" s="209" t="n">
        <f aca="false">+C11+C13+C18</f>
        <v>-74327.5798333333</v>
      </c>
      <c r="D20" s="209" t="n">
        <f aca="false">+D11+D13+D18</f>
        <v>-50185.2306</v>
      </c>
      <c r="E20" s="209" t="n">
        <f aca="false">+E11+E13+E18</f>
        <v>2282.06398613334</v>
      </c>
      <c r="F20" s="209" t="n">
        <f aca="false">+F11+F13+F18</f>
        <v>102507.149806349</v>
      </c>
      <c r="G20" s="209" t="n">
        <f aca="false">+G11+G13+G18</f>
        <v>162339.947713909</v>
      </c>
      <c r="H20" s="209" t="n">
        <f aca="false">+H11+H13+H18</f>
        <v>209663.706499695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265"/>
      <c r="B21" s="266"/>
      <c r="C21" s="267"/>
      <c r="D21" s="267"/>
      <c r="E21" s="267"/>
      <c r="F21" s="267"/>
      <c r="G21" s="267"/>
      <c r="H21" s="267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213" t="s">
        <v>274</v>
      </c>
      <c r="B22" s="264"/>
      <c r="C22" s="209" t="n">
        <f aca="false">+SUM(C20)</f>
        <v>-74327.5798333333</v>
      </c>
      <c r="D22" s="209" t="n">
        <f aca="false">+SUM($C$20:D20)</f>
        <v>-124512.810433333</v>
      </c>
      <c r="E22" s="209" t="n">
        <f aca="false">+SUM($C$20:E20)</f>
        <v>-122230.7464472</v>
      </c>
      <c r="F22" s="209" t="n">
        <f aca="false">+SUM($C$20:F20)</f>
        <v>-19723.5966408511</v>
      </c>
      <c r="G22" s="209" t="n">
        <f aca="false">+SUM($C$20:G20)</f>
        <v>142616.351073057</v>
      </c>
      <c r="H22" s="209" t="n">
        <f aca="false">+SUM($C$20:H20)</f>
        <v>352280.057572753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30"/>
      <c r="B23" s="266"/>
      <c r="C23" s="267"/>
      <c r="D23" s="267"/>
      <c r="E23" s="267"/>
      <c r="F23" s="267"/>
      <c r="G23" s="267"/>
      <c r="H23" s="267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71" customFormat="true" ht="12.75" hidden="false" customHeight="false" outlineLevel="0" collapsed="false">
      <c r="A24" s="268"/>
      <c r="B24" s="269"/>
      <c r="C24" s="83"/>
      <c r="D24" s="83"/>
      <c r="E24" s="83"/>
      <c r="F24" s="83"/>
      <c r="G24" s="83"/>
      <c r="H24" s="83"/>
      <c r="I24" s="270"/>
    </row>
    <row r="25" customFormat="false" ht="12.75" hidden="false" customHeight="false" outlineLevel="0" collapsed="false">
      <c r="A25" s="272"/>
      <c r="B25" s="269"/>
      <c r="C25" s="273"/>
      <c r="D25" s="273"/>
      <c r="E25" s="273"/>
      <c r="F25" s="273"/>
      <c r="G25" s="273"/>
      <c r="H25" s="273"/>
      <c r="I25" s="274"/>
    </row>
    <row r="26" customFormat="false" ht="12.75" hidden="false" customHeight="false" outlineLevel="0" collapsed="false">
      <c r="A26" s="272"/>
      <c r="B26" s="269"/>
      <c r="C26" s="273"/>
      <c r="D26" s="273"/>
      <c r="E26" s="273"/>
      <c r="F26" s="273"/>
      <c r="G26" s="273"/>
      <c r="H26" s="273"/>
      <c r="I26" s="274"/>
    </row>
    <row r="27" customFormat="false" ht="12.75" hidden="false" customHeight="false" outlineLevel="0" collapsed="false">
      <c r="A27" s="272"/>
      <c r="B27" s="269"/>
      <c r="C27" s="273"/>
      <c r="D27" s="273"/>
      <c r="E27" s="273"/>
      <c r="F27" s="273"/>
      <c r="G27" s="273"/>
      <c r="H27" s="273"/>
      <c r="I27" s="274"/>
    </row>
    <row r="28" customFormat="false" ht="12.75" hidden="false" customHeight="false" outlineLevel="0" collapsed="false">
      <c r="A28" s="272"/>
      <c r="B28" s="269"/>
      <c r="C28" s="273"/>
      <c r="D28" s="273"/>
      <c r="E28" s="273"/>
      <c r="F28" s="273"/>
      <c r="G28" s="273"/>
      <c r="H28" s="273"/>
      <c r="I28" s="274"/>
    </row>
    <row r="29" customFormat="false" ht="12.75" hidden="false" customHeight="false" outlineLevel="0" collapsed="false">
      <c r="A29" s="272"/>
      <c r="B29" s="269"/>
      <c r="C29" s="273"/>
      <c r="D29" s="273"/>
      <c r="E29" s="273"/>
      <c r="F29" s="273"/>
      <c r="G29" s="273"/>
      <c r="H29" s="273"/>
      <c r="I29" s="274"/>
    </row>
    <row r="30" customFormat="false" ht="12.75" hidden="false" customHeight="false" outlineLevel="0" collapsed="false">
      <c r="A30" s="272"/>
      <c r="B30" s="269"/>
      <c r="C30" s="273"/>
      <c r="D30" s="273"/>
      <c r="E30" s="273"/>
      <c r="F30" s="273"/>
      <c r="G30" s="273"/>
      <c r="H30" s="273"/>
      <c r="I30" s="274"/>
    </row>
    <row r="31" customFormat="false" ht="12.75" hidden="false" customHeight="false" outlineLevel="0" collapsed="false">
      <c r="A31" s="272"/>
      <c r="B31" s="269"/>
      <c r="C31" s="273"/>
      <c r="D31" s="273"/>
      <c r="E31" s="273"/>
      <c r="F31" s="273"/>
      <c r="G31" s="273"/>
      <c r="H31" s="273"/>
      <c r="I31" s="274"/>
    </row>
    <row r="32" customFormat="false" ht="12.75" hidden="false" customHeight="false" outlineLevel="0" collapsed="false">
      <c r="A32" s="272"/>
      <c r="B32" s="269"/>
      <c r="C32" s="273"/>
      <c r="D32" s="273"/>
      <c r="E32" s="273"/>
      <c r="F32" s="273"/>
      <c r="G32" s="273"/>
      <c r="H32" s="273"/>
      <c r="I32" s="274"/>
    </row>
    <row r="33" customFormat="false" ht="12.75" hidden="false" customHeight="false" outlineLevel="0" collapsed="false">
      <c r="A33" s="272"/>
      <c r="B33" s="269"/>
      <c r="C33" s="273"/>
      <c r="D33" s="273"/>
      <c r="E33" s="273"/>
      <c r="F33" s="273"/>
      <c r="G33" s="273"/>
      <c r="H33" s="273"/>
      <c r="I33" s="274"/>
    </row>
    <row r="34" customFormat="false" ht="12.75" hidden="false" customHeight="false" outlineLevel="0" collapsed="false">
      <c r="A34" s="272"/>
      <c r="B34" s="269"/>
      <c r="C34" s="273"/>
      <c r="D34" s="273"/>
      <c r="E34" s="273"/>
      <c r="F34" s="273"/>
      <c r="G34" s="273"/>
      <c r="H34" s="273"/>
      <c r="I34" s="274"/>
    </row>
    <row r="35" customFormat="false" ht="12.75" hidden="false" customHeight="false" outlineLevel="0" collapsed="false">
      <c r="A35" s="268"/>
      <c r="B35" s="269"/>
      <c r="C35" s="83"/>
      <c r="D35" s="83"/>
      <c r="E35" s="83"/>
      <c r="F35" s="83"/>
      <c r="G35" s="83"/>
      <c r="H35" s="83"/>
      <c r="I35" s="274"/>
    </row>
    <row r="36" customFormat="false" ht="12.75" hidden="false" customHeight="false" outlineLevel="0" collapsed="false">
      <c r="A36" s="275"/>
      <c r="B36" s="269"/>
      <c r="C36" s="276"/>
      <c r="D36" s="30"/>
      <c r="E36" s="30"/>
      <c r="F36" s="30"/>
      <c r="G36" s="30"/>
      <c r="H36" s="30"/>
      <c r="I36" s="274"/>
    </row>
    <row r="37" customFormat="false" ht="12.75" hidden="false" customHeight="false" outlineLevel="0" collapsed="false">
      <c r="A37" s="101"/>
      <c r="B37" s="101"/>
      <c r="C37" s="30"/>
      <c r="D37" s="30"/>
      <c r="E37" s="30"/>
      <c r="F37" s="30"/>
      <c r="G37" s="30"/>
      <c r="H37" s="30"/>
      <c r="I37" s="274"/>
    </row>
    <row r="38" customFormat="false" ht="10.5" hidden="false" customHeight="false" outlineLevel="0" collapsed="false">
      <c r="A38" s="274"/>
      <c r="B38" s="274"/>
      <c r="C38" s="277"/>
      <c r="D38" s="277"/>
      <c r="E38" s="277"/>
      <c r="F38" s="277"/>
      <c r="G38" s="277"/>
      <c r="H38" s="277"/>
      <c r="I38" s="274"/>
    </row>
    <row r="39" customFormat="false" ht="10.5" hidden="false" customHeight="false" outlineLevel="0" collapsed="false">
      <c r="A39" s="274"/>
      <c r="B39" s="274"/>
      <c r="C39" s="274"/>
      <c r="D39" s="274"/>
      <c r="E39" s="274"/>
      <c r="F39" s="274"/>
      <c r="G39" s="274"/>
      <c r="H39" s="274"/>
      <c r="I39" s="274"/>
    </row>
    <row r="40" customFormat="false" ht="10.5" hidden="false" customHeight="false" outlineLevel="0" collapsed="false">
      <c r="A40" s="274"/>
      <c r="B40" s="274"/>
      <c r="C40" s="274"/>
      <c r="D40" s="274"/>
      <c r="E40" s="274"/>
      <c r="F40" s="274"/>
      <c r="G40" s="274"/>
      <c r="H40" s="274"/>
      <c r="I40" s="274"/>
    </row>
    <row r="41" customFormat="false" ht="10.5" hidden="false" customHeight="false" outlineLevel="0" collapsed="false">
      <c r="A41" s="274"/>
      <c r="B41" s="274"/>
      <c r="C41" s="274"/>
      <c r="D41" s="274"/>
      <c r="E41" s="274"/>
      <c r="F41" s="274"/>
      <c r="G41" s="274"/>
      <c r="H41" s="274"/>
      <c r="I41" s="274"/>
    </row>
  </sheetData>
  <mergeCells count="1">
    <mergeCell ref="A3:H3"/>
  </mergeCells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29"/>
  <sheetViews>
    <sheetView windowProtection="false" showFormulas="false" showGridLines="fals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C29" activeCellId="0" sqref="C29"/>
    </sheetView>
  </sheetViews>
  <sheetFormatPr defaultRowHeight="12.75"/>
  <cols>
    <col collapsed="false" hidden="false" max="1" min="1" style="19" width="30.2366071428571"/>
    <col collapsed="false" hidden="false" max="2" min="2" style="19" width="8.74107142857143"/>
    <col collapsed="false" hidden="false" max="3" min="3" style="19" width="13.4642857142857"/>
    <col collapsed="false" hidden="false" max="4" min="4" style="19" width="11.9285714285714"/>
    <col collapsed="false" hidden="false" max="8" min="5" style="19" width="11.6919642857143"/>
    <col collapsed="false" hidden="false" max="1025" min="9" style="19" width="8.74107142857143"/>
  </cols>
  <sheetData>
    <row r="1" customFormat="false" ht="13.5" hidden="false" customHeight="false" outlineLevel="0" collapsed="false">
      <c r="A1" s="20" t="s">
        <v>16</v>
      </c>
      <c r="B1" s="57" t="str">
        <f aca="false">+Pressupostos!B1</f>
        <v>Herbawatter</v>
      </c>
      <c r="C1" s="58"/>
      <c r="D1" s="58"/>
      <c r="E1" s="58"/>
      <c r="F1" s="58"/>
      <c r="G1" s="58"/>
      <c r="H1" s="58"/>
      <c r="K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61" t="str">
        <f aca="false">+Pressupostos!B6</f>
        <v>(valores em euros)</v>
      </c>
      <c r="K2" s="101"/>
    </row>
    <row r="3" customFormat="false" ht="12.75" hidden="false" customHeight="false" outlineLevel="0" collapsed="false">
      <c r="A3" s="23" t="s">
        <v>275</v>
      </c>
      <c r="B3" s="23"/>
      <c r="C3" s="23"/>
      <c r="D3" s="23"/>
      <c r="E3" s="23"/>
      <c r="F3" s="23"/>
      <c r="G3" s="23"/>
      <c r="H3" s="23"/>
    </row>
    <row r="4" customFormat="false" ht="12.75" hidden="false" customHeight="false" outlineLevel="0" collapsed="false">
      <c r="A4" s="0"/>
      <c r="B4" s="0"/>
      <c r="C4" s="0"/>
      <c r="D4" s="0"/>
      <c r="E4" s="0"/>
      <c r="F4" s="0"/>
      <c r="G4" s="0"/>
      <c r="H4" s="0"/>
    </row>
    <row r="5" customFormat="false" ht="12.75" hidden="false" customHeight="false" outlineLevel="0" collapsed="false">
      <c r="A5" s="0"/>
      <c r="B5" s="0"/>
      <c r="C5" s="0"/>
      <c r="D5" s="0"/>
      <c r="E5" s="0"/>
      <c r="F5" s="0"/>
      <c r="G5" s="0"/>
      <c r="H5" s="0"/>
    </row>
    <row r="6" customFormat="false" ht="12.75" hidden="false" customHeight="false" outlineLevel="0" collapsed="false">
      <c r="A6" s="66"/>
      <c r="B6" s="120"/>
      <c r="C6" s="64" t="n">
        <f aca="false">+VN!C5</f>
        <v>2016</v>
      </c>
      <c r="D6" s="64" t="n">
        <f aca="false">+VN!D5</f>
        <v>2017</v>
      </c>
      <c r="E6" s="64" t="n">
        <f aca="false">+VN!E5</f>
        <v>2018</v>
      </c>
      <c r="F6" s="64" t="n">
        <f aca="false">+VN!F5</f>
        <v>2019</v>
      </c>
      <c r="G6" s="64" t="n">
        <f aca="false">+VN!G5</f>
        <v>2020</v>
      </c>
      <c r="H6" s="64" t="n">
        <f aca="false">+VN!H5</f>
        <v>2021</v>
      </c>
    </row>
    <row r="7" customFormat="false" ht="12.75" hidden="false" customHeight="true" outlineLevel="0" collapsed="false">
      <c r="A7" s="278" t="s">
        <v>276</v>
      </c>
      <c r="B7" s="278"/>
      <c r="C7" s="200"/>
      <c r="D7" s="200"/>
      <c r="E7" s="200"/>
      <c r="F7" s="200"/>
      <c r="G7" s="200"/>
      <c r="H7" s="200"/>
    </row>
    <row r="8" customFormat="false" ht="12.75" hidden="false" customHeight="false" outlineLevel="0" collapsed="false">
      <c r="A8" s="156" t="s">
        <v>277</v>
      </c>
      <c r="B8" s="124"/>
      <c r="C8" s="279" t="n">
        <f aca="false">+DR!C25+DR!C23+DR!C24</f>
        <v>-53163.45</v>
      </c>
      <c r="D8" s="279" t="n">
        <f aca="false">+DR!D25+DR!D23+DR!D24</f>
        <v>-74018.8</v>
      </c>
      <c r="E8" s="279" t="n">
        <f aca="false">+DR!E25+DR!E23+DR!E24</f>
        <v>7219.98784</v>
      </c>
      <c r="F8" s="279" t="n">
        <f aca="false">+DR!F25+DR!F23+DR!F24</f>
        <v>137479.56500224</v>
      </c>
      <c r="G8" s="279" t="n">
        <f aca="false">+DR!G25+DR!G23+DR!G24</f>
        <v>210527.603348224</v>
      </c>
      <c r="H8" s="279" t="n">
        <f aca="false">+DR!H25+DR!H23+DR!H24</f>
        <v>269578.406202143</v>
      </c>
    </row>
    <row r="9" customFormat="false" ht="12.75" hidden="false" customHeight="false" outlineLevel="0" collapsed="false">
      <c r="A9" s="156" t="s">
        <v>278</v>
      </c>
      <c r="B9" s="124"/>
      <c r="C9" s="279" t="n">
        <f aca="false">+Financiamento!C14</f>
        <v>15000</v>
      </c>
      <c r="D9" s="279" t="n">
        <f aca="false">+Financiamento!D14</f>
        <v>30000</v>
      </c>
      <c r="E9" s="279" t="n">
        <f aca="false">+Financiamento!E14</f>
        <v>0</v>
      </c>
      <c r="F9" s="279" t="n">
        <f aca="false">+Financiamento!F14</f>
        <v>0</v>
      </c>
      <c r="G9" s="279" t="n">
        <f aca="false">+Financiamento!G14</f>
        <v>0</v>
      </c>
      <c r="H9" s="279" t="n">
        <f aca="false">+Financiamento!H14</f>
        <v>0</v>
      </c>
    </row>
    <row r="10" customFormat="false" ht="12.75" hidden="false" customHeight="false" outlineLevel="0" collapsed="false">
      <c r="A10" s="156" t="s">
        <v>279</v>
      </c>
      <c r="B10" s="124"/>
      <c r="C10" s="279" t="n">
        <f aca="false">+Financiamento!C16</f>
        <v>20600</v>
      </c>
      <c r="D10" s="279" t="n">
        <f aca="false">+Financiamento!D16</f>
        <v>0</v>
      </c>
      <c r="E10" s="279" t="n">
        <f aca="false">+Financiamento!E16</f>
        <v>0</v>
      </c>
      <c r="F10" s="279" t="n">
        <f aca="false">+Financiamento!F16</f>
        <v>0</v>
      </c>
      <c r="G10" s="279" t="n">
        <f aca="false">+Financiamento!G16</f>
        <v>0</v>
      </c>
      <c r="H10" s="279" t="n">
        <f aca="false">+Financiamento!H16</f>
        <v>0</v>
      </c>
    </row>
    <row r="11" customFormat="false" ht="12.75" hidden="false" customHeight="false" outlineLevel="0" collapsed="false">
      <c r="A11" s="156" t="s">
        <v>280</v>
      </c>
      <c r="B11" s="124"/>
      <c r="C11" s="279"/>
      <c r="D11" s="279"/>
      <c r="E11" s="279"/>
      <c r="F11" s="279"/>
      <c r="G11" s="279"/>
      <c r="H11" s="279"/>
    </row>
    <row r="12" customFormat="false" ht="12.75" hidden="false" customHeight="false" outlineLevel="0" collapsed="false">
      <c r="A12" s="156" t="s">
        <v>281</v>
      </c>
      <c r="B12" s="124"/>
      <c r="C12" s="279" t="n">
        <f aca="false">+IF(FundoManeio!C22&lt;0,-FundoManeio!C22,0)</f>
        <v>0</v>
      </c>
      <c r="D12" s="279" t="n">
        <f aca="false">+IF(FundoManeio!D22&lt;0,-FundoManeio!D22,0)</f>
        <v>9408.1714</v>
      </c>
      <c r="E12" s="279" t="n">
        <f aca="false">+IF(FundoManeio!E22&lt;0,-FundoManeio!E22,0)</f>
        <v>0</v>
      </c>
      <c r="F12" s="279" t="n">
        <f aca="false">+IF(FundoManeio!F22&lt;0,-FundoManeio!F22,0)</f>
        <v>0</v>
      </c>
      <c r="G12" s="279" t="n">
        <f aca="false">+IF(FundoManeio!G22&lt;0,-FundoManeio!G22,0)</f>
        <v>0</v>
      </c>
      <c r="H12" s="279" t="n">
        <f aca="false">+IF(FundoManeio!H22&lt;0,-FundoManeio!H22,0)</f>
        <v>0</v>
      </c>
    </row>
    <row r="13" customFormat="false" ht="12.75" hidden="false" customHeight="false" outlineLevel="0" collapsed="false">
      <c r="A13" s="280" t="s">
        <v>282</v>
      </c>
      <c r="B13" s="184"/>
      <c r="C13" s="279" t="n">
        <f aca="false">+Financiamento!C15</f>
        <v>0</v>
      </c>
      <c r="D13" s="279" t="n">
        <f aca="false">+Financiamento!D15</f>
        <v>0</v>
      </c>
      <c r="E13" s="279" t="n">
        <f aca="false">+Financiamento!E15</f>
        <v>0</v>
      </c>
      <c r="F13" s="279" t="n">
        <f aca="false">+Financiamento!F15</f>
        <v>0</v>
      </c>
      <c r="G13" s="279" t="n">
        <f aca="false">+Financiamento!G15</f>
        <v>0</v>
      </c>
      <c r="H13" s="279" t="n">
        <f aca="false">+Financiamento!H15</f>
        <v>0</v>
      </c>
    </row>
    <row r="14" customFormat="false" ht="12.75" hidden="false" customHeight="false" outlineLevel="0" collapsed="false">
      <c r="A14" s="156" t="s">
        <v>254</v>
      </c>
      <c r="B14" s="124"/>
      <c r="C14" s="279" t="n">
        <f aca="false">+DR!C27</f>
        <v>0</v>
      </c>
      <c r="D14" s="279" t="n">
        <f aca="false">+DR!D27</f>
        <v>0</v>
      </c>
      <c r="E14" s="279" t="n">
        <f aca="false">+DR!E27</f>
        <v>0</v>
      </c>
      <c r="F14" s="279" t="n">
        <f aca="false">+DR!F27</f>
        <v>3592.66744803289</v>
      </c>
      <c r="G14" s="279" t="n">
        <f aca="false">+DR!G27</f>
        <v>17332.0778734061</v>
      </c>
      <c r="H14" s="279" t="n">
        <f aca="false">+DR!H27</f>
        <v>32874.8778974279</v>
      </c>
    </row>
    <row r="15" customFormat="false" ht="12.75" hidden="false" customHeight="false" outlineLevel="0" collapsed="false">
      <c r="A15" s="281"/>
      <c r="B15" s="281"/>
      <c r="C15" s="282"/>
      <c r="D15" s="282"/>
      <c r="E15" s="282"/>
      <c r="F15" s="282"/>
      <c r="G15" s="282"/>
      <c r="H15" s="282"/>
    </row>
    <row r="16" customFormat="false" ht="12.75" hidden="false" customHeight="true" outlineLevel="0" collapsed="false">
      <c r="A16" s="283" t="s">
        <v>283</v>
      </c>
      <c r="B16" s="283"/>
      <c r="C16" s="284" t="n">
        <f aca="false">+SUM(C8:C15)</f>
        <v>-17563.45</v>
      </c>
      <c r="D16" s="284" t="n">
        <f aca="false">+SUM(D8:D15)</f>
        <v>-34610.6286</v>
      </c>
      <c r="E16" s="284" t="n">
        <f aca="false">+SUM(E8:E15)</f>
        <v>7219.98784</v>
      </c>
      <c r="F16" s="284" t="n">
        <f aca="false">+SUM(F8:F15)</f>
        <v>141072.232450273</v>
      </c>
      <c r="G16" s="284" t="n">
        <f aca="false">+SUM(G8:G15)</f>
        <v>227859.68122163</v>
      </c>
      <c r="H16" s="284" t="n">
        <f aca="false">+SUM(H8:H15)</f>
        <v>302453.284099571</v>
      </c>
    </row>
    <row r="17" customFormat="false" ht="14.25" hidden="false" customHeight="true" outlineLevel="0" collapsed="false">
      <c r="A17" s="278" t="s">
        <v>284</v>
      </c>
      <c r="B17" s="278"/>
      <c r="C17" s="285"/>
      <c r="D17" s="285"/>
      <c r="E17" s="285"/>
      <c r="F17" s="285"/>
      <c r="G17" s="285"/>
      <c r="H17" s="285"/>
    </row>
    <row r="18" customFormat="false" ht="12.75" hidden="false" customHeight="false" outlineLevel="0" collapsed="false">
      <c r="A18" s="156" t="s">
        <v>285</v>
      </c>
      <c r="B18" s="120"/>
      <c r="C18" s="279" t="n">
        <f aca="false">+Investimentos!C24</f>
        <v>30250</v>
      </c>
      <c r="D18" s="279" t="n">
        <f aca="false">+Investimentos!D24</f>
        <v>2850</v>
      </c>
      <c r="E18" s="279" t="n">
        <f aca="false">+Investimentos!E24</f>
        <v>1000</v>
      </c>
      <c r="F18" s="279" t="n">
        <f aca="false">+Investimentos!F24</f>
        <v>500</v>
      </c>
      <c r="G18" s="279" t="n">
        <f aca="false">+Investimentos!G24</f>
        <v>500</v>
      </c>
      <c r="H18" s="279" t="n">
        <f aca="false">+Investimentos!H24</f>
        <v>500</v>
      </c>
    </row>
    <row r="19" customFormat="false" ht="12.75" hidden="false" customHeight="false" outlineLevel="0" collapsed="false">
      <c r="A19" s="156" t="s">
        <v>286</v>
      </c>
      <c r="B19" s="120"/>
      <c r="C19" s="279" t="n">
        <f aca="false">+IF(FundoManeio!C22&gt;0,FundoManeio!C22,0)</f>
        <v>3663.95433333333</v>
      </c>
      <c r="D19" s="279" t="n">
        <f aca="false">+IF(FundoManeio!D22&gt;0,FundoManeio!D22,0)</f>
        <v>0</v>
      </c>
      <c r="E19" s="279" t="n">
        <f aca="false">+IF(FundoManeio!E22&gt;0,FundoManeio!E22,0)</f>
        <v>4205.67640746666</v>
      </c>
      <c r="F19" s="279" t="n">
        <f aca="false">+IF(FundoManeio!F22&gt;0,FundoManeio!F22,0)</f>
        <v>7411.9065454208</v>
      </c>
      <c r="G19" s="279" t="n">
        <f aca="false">+IF(FundoManeio!G22&gt;0,FundoManeio!G22,0)</f>
        <v>3738.30893118849</v>
      </c>
      <c r="H19" s="279" t="n">
        <f aca="false">+IF(FundoManeio!H22&gt;0,FundoManeio!H22,0)</f>
        <v>2949.18439999766</v>
      </c>
    </row>
    <row r="20" customFormat="false" ht="12.75" hidden="false" customHeight="false" outlineLevel="0" collapsed="false">
      <c r="A20" s="156" t="s">
        <v>287</v>
      </c>
      <c r="B20" s="120"/>
      <c r="C20" s="279"/>
      <c r="D20" s="279" t="n">
        <f aca="false">+DR!C32</f>
        <v>0</v>
      </c>
      <c r="E20" s="279" t="n">
        <f aca="false">+DR!D32</f>
        <v>0</v>
      </c>
      <c r="F20" s="279" t="n">
        <f aca="false">+DR!E32</f>
        <v>0</v>
      </c>
      <c r="G20" s="279" t="n">
        <f aca="false">+DR!F32</f>
        <v>0</v>
      </c>
      <c r="H20" s="279" t="n">
        <f aca="false">+DR!G32</f>
        <v>41600.6625947638</v>
      </c>
    </row>
    <row r="21" customFormat="false" ht="12.75" hidden="false" customHeight="false" outlineLevel="0" collapsed="false">
      <c r="A21" s="156" t="s">
        <v>288</v>
      </c>
      <c r="B21" s="120"/>
      <c r="C21" s="279" t="n">
        <f aca="false">IF(DR!B34&lt;0,0,DR!B33*Pressupostos!$B$19)</f>
        <v>0</v>
      </c>
      <c r="D21" s="279"/>
      <c r="E21" s="279" t="n">
        <f aca="false">IF(DR!D34&lt;0,0,DR!D33*Pressupostos!$B$19)</f>
        <v>0</v>
      </c>
      <c r="F21" s="279" t="n">
        <f aca="false">IF(DR!E34&lt;0,0,DR!E33*Pressupostos!$B$19)</f>
        <v>0</v>
      </c>
      <c r="G21" s="279" t="n">
        <f aca="false">IF(DR!F34&lt;0,0,DR!F33*Pressupostos!$B$19)</f>
        <v>0</v>
      </c>
      <c r="H21" s="279" t="n">
        <f aca="false">IF(DR!G34&lt;0,0,DR!G33*Pressupostos!$B$19)</f>
        <v>0</v>
      </c>
    </row>
    <row r="22" customFormat="false" ht="12.75" hidden="false" customHeight="false" outlineLevel="0" collapsed="false">
      <c r="A22" s="156" t="s">
        <v>289</v>
      </c>
      <c r="B22" s="120"/>
      <c r="C22" s="279" t="n">
        <f aca="false">+Financiamento!C79</f>
        <v>0</v>
      </c>
      <c r="D22" s="279" t="n">
        <f aca="false">+Financiamento!D79</f>
        <v>4120</v>
      </c>
      <c r="E22" s="279" t="n">
        <f aca="false">+Financiamento!E79</f>
        <v>4120</v>
      </c>
      <c r="F22" s="279" t="n">
        <f aca="false">+Financiamento!F79</f>
        <v>4120</v>
      </c>
      <c r="G22" s="279" t="n">
        <f aca="false">+Financiamento!G79</f>
        <v>4120</v>
      </c>
      <c r="H22" s="279" t="n">
        <f aca="false">+Financiamento!H79</f>
        <v>4120</v>
      </c>
    </row>
    <row r="23" customFormat="false" ht="12.75" hidden="false" customHeight="false" outlineLevel="0" collapsed="false">
      <c r="A23" s="156" t="s">
        <v>290</v>
      </c>
      <c r="B23" s="120"/>
      <c r="C23" s="279" t="n">
        <f aca="false">+DR!C26</f>
        <v>3099.63208685106</v>
      </c>
      <c r="D23" s="279" t="n">
        <f aca="false">+DR!D26</f>
        <v>6456.44628639475</v>
      </c>
      <c r="E23" s="279" t="n">
        <f aca="false">+DR!E26</f>
        <v>5919.23583025824</v>
      </c>
      <c r="F23" s="279" t="n">
        <f aca="false">+DR!F26</f>
        <v>744.5664</v>
      </c>
      <c r="G23" s="279" t="n">
        <f aca="false">+DR!G26</f>
        <v>496.3776</v>
      </c>
      <c r="H23" s="279" t="n">
        <f aca="false">+DR!H26</f>
        <v>248.1888</v>
      </c>
    </row>
    <row r="24" customFormat="false" ht="12.75" hidden="false" customHeight="false" outlineLevel="0" collapsed="false">
      <c r="A24" s="281"/>
      <c r="B24" s="281"/>
      <c r="C24" s="282"/>
      <c r="D24" s="282"/>
      <c r="E24" s="282"/>
      <c r="F24" s="282"/>
      <c r="G24" s="282"/>
      <c r="H24" s="282"/>
    </row>
    <row r="25" customFormat="false" ht="12.75" hidden="false" customHeight="true" outlineLevel="0" collapsed="false">
      <c r="A25" s="283" t="s">
        <v>291</v>
      </c>
      <c r="B25" s="283"/>
      <c r="C25" s="284" t="n">
        <f aca="false">+SUM(C18:C24)</f>
        <v>37013.5864201844</v>
      </c>
      <c r="D25" s="284" t="n">
        <f aca="false">+SUM(D18:D24)</f>
        <v>13426.4462863947</v>
      </c>
      <c r="E25" s="284" t="n">
        <f aca="false">+SUM(E18:E24)</f>
        <v>15244.9122377249</v>
      </c>
      <c r="F25" s="284" t="n">
        <f aca="false">+SUM(F18:F24)</f>
        <v>12776.4729454208</v>
      </c>
      <c r="G25" s="284" t="n">
        <f aca="false">+SUM(G18:G24)</f>
        <v>8854.68653118849</v>
      </c>
      <c r="H25" s="284" t="n">
        <f aca="false">+SUM(H18:H24)</f>
        <v>49418.0357947615</v>
      </c>
    </row>
    <row r="26" customFormat="false" ht="12.75" hidden="false" customHeight="true" outlineLevel="0" collapsed="false">
      <c r="A26" s="286" t="s">
        <v>292</v>
      </c>
      <c r="B26" s="286"/>
      <c r="C26" s="284" t="n">
        <f aca="false">+C16-C25</f>
        <v>-54577.0364201844</v>
      </c>
      <c r="D26" s="284" t="n">
        <f aca="false">+D16-D25</f>
        <v>-48037.0748863947</v>
      </c>
      <c r="E26" s="284" t="n">
        <f aca="false">+E16-E25</f>
        <v>-8024.9243977249</v>
      </c>
      <c r="F26" s="284" t="n">
        <f aca="false">+F16-F25</f>
        <v>128295.759504852</v>
      </c>
      <c r="G26" s="284" t="n">
        <f aca="false">+G16-G25</f>
        <v>219004.994690442</v>
      </c>
      <c r="H26" s="284" t="n">
        <f aca="false">+H16-H25</f>
        <v>253035.248304809</v>
      </c>
    </row>
    <row r="27" customFormat="false" ht="12.75" hidden="false" customHeight="true" outlineLevel="0" collapsed="false">
      <c r="A27" s="286" t="s">
        <v>293</v>
      </c>
      <c r="B27" s="286"/>
      <c r="C27" s="284" t="n">
        <f aca="false">+C26</f>
        <v>-54577.0364201844</v>
      </c>
      <c r="D27" s="284" t="n">
        <f aca="false">+C27+D26</f>
        <v>-102614.111306579</v>
      </c>
      <c r="E27" s="284" t="n">
        <f aca="false">+D27+E26</f>
        <v>-110639.035704304</v>
      </c>
      <c r="F27" s="284" t="n">
        <f aca="false">+E27+F26</f>
        <v>17656.7238005481</v>
      </c>
      <c r="G27" s="284" t="n">
        <f aca="false">+F27+G26</f>
        <v>236661.71849099</v>
      </c>
      <c r="H27" s="284" t="n">
        <f aca="false">+G27+H26</f>
        <v>489696.966795799</v>
      </c>
    </row>
    <row r="28" customFormat="false" ht="12.75" hidden="false" customHeight="true" outlineLevel="0" collapsed="false">
      <c r="A28" s="286" t="s">
        <v>294</v>
      </c>
      <c r="B28" s="286"/>
      <c r="C28" s="287" t="n">
        <v>-51660.5347808511</v>
      </c>
      <c r="D28" s="287" t="n">
        <v>-86925.0381065791</v>
      </c>
      <c r="E28" s="287" t="n">
        <v>-82108.010504304</v>
      </c>
      <c r="F28" s="287" t="n">
        <v>59877.7908005482</v>
      </c>
      <c r="G28" s="287" t="n">
        <v>288867.964556768</v>
      </c>
      <c r="H28" s="287" t="n">
        <v>547914.631623799</v>
      </c>
    </row>
    <row r="29" customFormat="false" ht="12.75" hidden="false" customHeight="true" outlineLevel="0" collapsed="false">
      <c r="A29" s="286" t="s">
        <v>295</v>
      </c>
      <c r="B29" s="286"/>
      <c r="C29" s="287" t="n">
        <f aca="false">+C27-C28</f>
        <v>-2916.50163933333</v>
      </c>
      <c r="D29" s="287" t="n">
        <f aca="false">+D27-D28</f>
        <v>-15689.0732</v>
      </c>
      <c r="E29" s="287" t="n">
        <f aca="false">+E27-E28</f>
        <v>-28531.0252</v>
      </c>
      <c r="F29" s="287" t="n">
        <f aca="false">+F27-F28</f>
        <v>-42221.0670000001</v>
      </c>
      <c r="G29" s="287" t="n">
        <f aca="false">+G27-G28</f>
        <v>-52206.2460657786</v>
      </c>
      <c r="H29" s="287" t="n">
        <f aca="false">+H27-H28</f>
        <v>-58217.664828</v>
      </c>
    </row>
  </sheetData>
  <mergeCells count="11">
    <mergeCell ref="A3:H3"/>
    <mergeCell ref="A7:B7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52"/>
  <sheetViews>
    <sheetView windowProtection="false" showFormulas="false" showGridLines="false" showRowColHeaders="true" showZeros="true" rightToLeft="false" tabSelected="false" showOutlineSymbols="true" defaultGridColor="true" view="normal" topLeftCell="K28" colorId="64" zoomScale="120" zoomScaleNormal="120" zoomScalePageLayoutView="100" workbookViewId="0">
      <selection pane="topLeft" activeCell="I25" activeCellId="0" sqref="I25"/>
    </sheetView>
  </sheetViews>
  <sheetFormatPr defaultRowHeight="12.75"/>
  <cols>
    <col collapsed="false" hidden="false" max="1" min="1" style="19" width="25.9866071428571"/>
    <col collapsed="false" hidden="false" max="2" min="2" style="19" width="7.44196428571429"/>
    <col collapsed="false" hidden="false" max="12" min="3" style="19" width="11.2232142857143"/>
    <col collapsed="false" hidden="false" max="1025" min="13" style="19" width="8.74107142857143"/>
  </cols>
  <sheetData>
    <row r="1" customFormat="false" ht="12.75" hidden="false" customHeight="false" outlineLevel="0" collapsed="false">
      <c r="A1" s="288" t="s">
        <v>16</v>
      </c>
      <c r="B1" s="196" t="str">
        <f aca="false">+Pressupostos!B1</f>
        <v>Herbawatter</v>
      </c>
      <c r="C1" s="289"/>
      <c r="D1" s="289"/>
      <c r="E1" s="289"/>
      <c r="F1" s="289"/>
      <c r="G1" s="289"/>
      <c r="H1" s="289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92" customFormat="true" ht="12.75" hidden="false" customHeight="false" outlineLevel="0" collapsed="false">
      <c r="A2" s="290"/>
      <c r="B2" s="290"/>
      <c r="C2" s="290"/>
      <c r="D2" s="290"/>
      <c r="E2" s="290"/>
      <c r="F2" s="290"/>
      <c r="G2" s="290"/>
      <c r="H2" s="291" t="str">
        <f aca="false">+Pressupostos!B6</f>
        <v>(valores em euros)</v>
      </c>
    </row>
    <row r="3" customFormat="false" ht="12.75" hidden="false" customHeight="false" outlineLevel="0" collapsed="false">
      <c r="A3" s="23" t="s">
        <v>296</v>
      </c>
      <c r="B3" s="23"/>
      <c r="C3" s="23"/>
      <c r="D3" s="23"/>
      <c r="E3" s="23"/>
      <c r="F3" s="23"/>
      <c r="G3" s="23"/>
      <c r="H3" s="23"/>
      <c r="I3" s="0"/>
      <c r="J3" s="0"/>
    </row>
    <row r="4" customFormat="false" ht="12.75" hidden="false" customHeight="false" outlineLevel="0" collapsed="false">
      <c r="A4" s="0"/>
      <c r="B4" s="0"/>
      <c r="C4" s="191"/>
      <c r="D4" s="0"/>
      <c r="E4" s="0"/>
      <c r="F4" s="0"/>
      <c r="G4" s="0"/>
      <c r="H4" s="0"/>
      <c r="I4" s="0"/>
      <c r="J4" s="0"/>
    </row>
    <row r="5" customFormat="false" ht="12.75" hidden="false" customHeight="false" outlineLevel="0" collapsed="false">
      <c r="A5" s="0"/>
      <c r="B5" s="0"/>
      <c r="C5" s="191"/>
      <c r="D5" s="0"/>
      <c r="E5" s="0"/>
      <c r="F5" s="0"/>
      <c r="G5" s="0"/>
      <c r="H5" s="0"/>
      <c r="I5" s="0"/>
      <c r="J5" s="0"/>
    </row>
    <row r="6" customFormat="false" ht="12.75" hidden="false" customHeight="false" outlineLevel="0" collapsed="false">
      <c r="A6" s="66"/>
      <c r="B6" s="120"/>
      <c r="C6" s="64" t="n">
        <f aca="false">+VN!C5</f>
        <v>2016</v>
      </c>
      <c r="D6" s="64" t="n">
        <f aca="false">+VN!D5</f>
        <v>2017</v>
      </c>
      <c r="E6" s="64" t="n">
        <f aca="false">+VN!E5</f>
        <v>2018</v>
      </c>
      <c r="F6" s="64" t="n">
        <f aca="false">+VN!F5</f>
        <v>2019</v>
      </c>
      <c r="G6" s="64" t="n">
        <f aca="false">+VN!G5</f>
        <v>2020</v>
      </c>
      <c r="H6" s="64" t="n">
        <f aca="false">+VN!H5</f>
        <v>2021</v>
      </c>
      <c r="I6" s="0"/>
      <c r="J6" s="0"/>
    </row>
    <row r="7" customFormat="false" ht="12.75" hidden="false" customHeight="false" outlineLevel="0" collapsed="false">
      <c r="A7" s="131" t="s">
        <v>297</v>
      </c>
      <c r="B7" s="131"/>
      <c r="C7" s="293"/>
      <c r="D7" s="293"/>
      <c r="E7" s="293"/>
      <c r="F7" s="293"/>
      <c r="G7" s="293"/>
      <c r="H7" s="293"/>
      <c r="I7" s="0"/>
      <c r="J7" s="0"/>
    </row>
    <row r="8" customFormat="false" ht="12.75" hidden="false" customHeight="false" outlineLevel="0" collapsed="false">
      <c r="A8" s="71" t="s">
        <v>298</v>
      </c>
      <c r="B8" s="162"/>
      <c r="C8" s="293"/>
      <c r="D8" s="293"/>
      <c r="E8" s="293"/>
      <c r="F8" s="293"/>
      <c r="G8" s="293"/>
      <c r="H8" s="293"/>
      <c r="I8" s="0"/>
      <c r="J8" s="0"/>
    </row>
    <row r="9" customFormat="false" ht="12.75" hidden="false" customHeight="false" outlineLevel="0" collapsed="false">
      <c r="A9" s="73" t="s">
        <v>167</v>
      </c>
      <c r="B9" s="162"/>
      <c r="C9" s="200" t="n">
        <f aca="false">+Investimentos!C13</f>
        <v>0</v>
      </c>
      <c r="D9" s="200" t="n">
        <f aca="false">+C9+Investimentos!D13</f>
        <v>0</v>
      </c>
      <c r="E9" s="200" t="n">
        <f aca="false">+D9+Investimentos!E13</f>
        <v>0</v>
      </c>
      <c r="F9" s="200" t="n">
        <f aca="false">+E9+Investimentos!F13</f>
        <v>0</v>
      </c>
      <c r="G9" s="200" t="n">
        <f aca="false">+F9+Investimentos!G13</f>
        <v>0</v>
      </c>
      <c r="H9" s="200" t="n">
        <f aca="false">+G9+Investimentos!H13</f>
        <v>0</v>
      </c>
      <c r="I9" s="0"/>
      <c r="J9" s="0"/>
    </row>
    <row r="10" customFormat="false" ht="12.75" hidden="false" customHeight="false" outlineLevel="0" collapsed="false">
      <c r="A10" s="73" t="s">
        <v>172</v>
      </c>
      <c r="B10" s="162"/>
      <c r="C10" s="200" t="n">
        <f aca="false">+Investimentos!C23</f>
        <v>30250</v>
      </c>
      <c r="D10" s="200" t="n">
        <f aca="false">+C10+Investimentos!D23</f>
        <v>33100</v>
      </c>
      <c r="E10" s="200" t="n">
        <f aca="false">+D10+Investimentos!E23</f>
        <v>34100</v>
      </c>
      <c r="F10" s="200" t="n">
        <f aca="false">+E10+Investimentos!F23</f>
        <v>34600</v>
      </c>
      <c r="G10" s="200" t="n">
        <f aca="false">+F10+Investimentos!G23</f>
        <v>35100</v>
      </c>
      <c r="H10" s="200" t="n">
        <f aca="false">+G10+Investimentos!H23</f>
        <v>35600</v>
      </c>
      <c r="I10" s="246"/>
      <c r="J10" s="246"/>
    </row>
    <row r="11" customFormat="false" ht="12.75" hidden="false" customHeight="false" outlineLevel="0" collapsed="false">
      <c r="A11" s="73" t="s">
        <v>299</v>
      </c>
      <c r="B11" s="162"/>
      <c r="C11" s="200" t="n">
        <f aca="false">+DR!C23</f>
        <v>7550</v>
      </c>
      <c r="D11" s="200" t="n">
        <f aca="false">+C11+DR!D23</f>
        <v>15795</v>
      </c>
      <c r="E11" s="200" t="n">
        <f aca="false">+D11+DR!E23</f>
        <v>24290</v>
      </c>
      <c r="F11" s="200" t="n">
        <f aca="false">+E11+DR!F23</f>
        <v>32910</v>
      </c>
      <c r="G11" s="200" t="n">
        <f aca="false">+F11+DR!G23</f>
        <v>34155</v>
      </c>
      <c r="H11" s="200" t="n">
        <f aca="false">+G11+DR!H23</f>
        <v>34850</v>
      </c>
      <c r="I11" s="246"/>
      <c r="J11" s="246"/>
    </row>
    <row r="12" customFormat="false" ht="12.75" hidden="false" customHeight="false" outlineLevel="0" collapsed="false">
      <c r="A12" s="71" t="s">
        <v>197</v>
      </c>
      <c r="B12" s="162"/>
      <c r="C12" s="200"/>
      <c r="D12" s="200"/>
      <c r="E12" s="200"/>
      <c r="F12" s="200"/>
      <c r="G12" s="200"/>
      <c r="H12" s="200"/>
      <c r="I12" s="246"/>
      <c r="J12" s="246"/>
    </row>
    <row r="13" customFormat="false" ht="12.75" hidden="false" customHeight="false" outlineLevel="0" collapsed="false">
      <c r="A13" s="73" t="s">
        <v>300</v>
      </c>
      <c r="B13" s="162"/>
      <c r="C13" s="200"/>
      <c r="D13" s="200"/>
      <c r="E13" s="200"/>
      <c r="F13" s="200"/>
      <c r="G13" s="200"/>
      <c r="H13" s="200"/>
      <c r="I13" s="246"/>
      <c r="J13" s="246"/>
    </row>
    <row r="14" customFormat="false" ht="12.75" hidden="false" customHeight="false" outlineLevel="0" collapsed="false">
      <c r="A14" s="73" t="s">
        <v>301</v>
      </c>
      <c r="B14" s="162"/>
      <c r="C14" s="200"/>
      <c r="D14" s="200"/>
      <c r="E14" s="200"/>
      <c r="F14" s="200"/>
      <c r="G14" s="200"/>
      <c r="H14" s="200"/>
      <c r="I14" s="246"/>
      <c r="J14" s="246"/>
    </row>
    <row r="15" customFormat="false" ht="12.75" hidden="false" customHeight="false" outlineLevel="0" collapsed="false">
      <c r="A15" s="73" t="s">
        <v>302</v>
      </c>
      <c r="B15" s="162"/>
      <c r="C15" s="200" t="n">
        <f aca="false">+FundoManeio!C10</f>
        <v>0.8</v>
      </c>
      <c r="D15" s="200" t="n">
        <f aca="false">+FundoManeio!D10</f>
        <v>959.68</v>
      </c>
      <c r="E15" s="200" t="n">
        <f aca="false">+FundoManeio!E10</f>
        <v>2848.33024</v>
      </c>
      <c r="F15" s="200" t="n">
        <f aca="false">+FundoManeio!F10</f>
        <v>5628.30055424</v>
      </c>
      <c r="G15" s="200" t="n">
        <f aca="false">+FundoManeio!G10</f>
        <v>7246.436963584</v>
      </c>
      <c r="H15" s="200" t="n">
        <f aca="false">+FundoManeio!H10</f>
        <v>8550.79561702912</v>
      </c>
      <c r="I15" s="246"/>
      <c r="J15" s="246"/>
    </row>
    <row r="16" customFormat="false" ht="12.75" hidden="false" customHeight="false" outlineLevel="0" collapsed="false">
      <c r="A16" s="71" t="s">
        <v>303</v>
      </c>
      <c r="B16" s="162"/>
      <c r="C16" s="200"/>
      <c r="D16" s="200"/>
      <c r="E16" s="200"/>
      <c r="F16" s="200"/>
      <c r="G16" s="200"/>
      <c r="H16" s="200"/>
      <c r="I16" s="246"/>
      <c r="J16" s="246"/>
    </row>
    <row r="17" customFormat="false" ht="12.75" hidden="false" customHeight="false" outlineLevel="0" collapsed="false">
      <c r="A17" s="73" t="s">
        <v>304</v>
      </c>
      <c r="B17" s="162"/>
      <c r="C17" s="200" t="n">
        <f aca="false">+FundoManeio!C9</f>
        <v>6.15</v>
      </c>
      <c r="D17" s="200" t="n">
        <f aca="false">+FundoManeio!D9</f>
        <v>7377.54</v>
      </c>
      <c r="E17" s="200" t="n">
        <f aca="false">+FundoManeio!E9</f>
        <v>21896.53872</v>
      </c>
      <c r="F17" s="200" t="n">
        <f aca="false">+FundoManeio!F9</f>
        <v>43267.56051072</v>
      </c>
      <c r="G17" s="200" t="n">
        <f aca="false">+FundoManeio!G9</f>
        <v>55706.984157552</v>
      </c>
      <c r="H17" s="200" t="n">
        <f aca="false">+FundoManeio!H9</f>
        <v>65734.2413059114</v>
      </c>
      <c r="I17" s="246"/>
      <c r="J17" s="246"/>
    </row>
    <row r="18" customFormat="false" ht="12.75" hidden="false" customHeight="false" outlineLevel="0" collapsed="false">
      <c r="A18" s="73" t="s">
        <v>305</v>
      </c>
      <c r="B18" s="162"/>
      <c r="C18" s="200"/>
      <c r="D18" s="200"/>
      <c r="E18" s="200"/>
      <c r="F18" s="200"/>
      <c r="G18" s="200"/>
      <c r="H18" s="200"/>
      <c r="I18" s="246"/>
      <c r="J18" s="246"/>
    </row>
    <row r="19" customFormat="false" ht="12.75" hidden="false" customHeight="false" outlineLevel="0" collapsed="false">
      <c r="A19" s="73" t="s">
        <v>306</v>
      </c>
      <c r="B19" s="162"/>
      <c r="C19" s="200"/>
      <c r="D19" s="200"/>
      <c r="E19" s="200"/>
      <c r="F19" s="200"/>
      <c r="G19" s="200"/>
      <c r="H19" s="200"/>
      <c r="I19" s="246"/>
      <c r="J19" s="246"/>
    </row>
    <row r="20" customFormat="false" ht="12.75" hidden="false" customHeight="false" outlineLevel="0" collapsed="false">
      <c r="A20" s="71" t="s">
        <v>307</v>
      </c>
      <c r="B20" s="162"/>
      <c r="C20" s="200" t="n">
        <f aca="false">+FundoManeio!C8</f>
        <v>15000</v>
      </c>
      <c r="D20" s="200" t="n">
        <f aca="false">+FundoManeio!D8</f>
        <v>15000</v>
      </c>
      <c r="E20" s="200" t="n">
        <f aca="false">+FundoManeio!E8</f>
        <v>15000</v>
      </c>
      <c r="F20" s="200" t="n">
        <f aca="false">+FundoManeio!F8</f>
        <v>15000</v>
      </c>
      <c r="G20" s="200" t="n">
        <f aca="false">+FundoManeio!G8</f>
        <v>15000</v>
      </c>
      <c r="H20" s="200" t="n">
        <f aca="false">+FundoManeio!H8</f>
        <v>15000</v>
      </c>
      <c r="I20" s="246"/>
      <c r="J20" s="246"/>
    </row>
    <row r="21" customFormat="false" ht="12.75" hidden="false" customHeight="false" outlineLevel="0" collapsed="false">
      <c r="A21" s="71" t="s">
        <v>308</v>
      </c>
      <c r="B21" s="162"/>
      <c r="C21" s="200" t="n">
        <f aca="false">+IF(PlanoFinanceiro!C28&gt;0,PlanoFinanceiro!C28,0)</f>
        <v>0</v>
      </c>
      <c r="D21" s="200" t="n">
        <f aca="false">+IF(PlanoFinanceiro!D28&gt;0,PlanoFinanceiro!D28,0)</f>
        <v>0</v>
      </c>
      <c r="E21" s="200" t="n">
        <f aca="false">+IF(PlanoFinanceiro!E28&gt;0,PlanoFinanceiro!E28,0)</f>
        <v>0</v>
      </c>
      <c r="F21" s="200" t="n">
        <f aca="false">+IF(PlanoFinanceiro!F28&gt;0,PlanoFinanceiro!F28,0)</f>
        <v>59877.7908005482</v>
      </c>
      <c r="G21" s="200" t="n">
        <f aca="false">+IF(PlanoFinanceiro!G28&gt;0,PlanoFinanceiro!G28,0)</f>
        <v>288867.964556768</v>
      </c>
      <c r="H21" s="200" t="n">
        <f aca="false">+IF(PlanoFinanceiro!H28&gt;0,PlanoFinanceiro!H28,0)</f>
        <v>547914.631623799</v>
      </c>
      <c r="I21" s="246"/>
      <c r="J21" s="246"/>
    </row>
    <row r="22" customFormat="false" ht="12.75" hidden="false" customHeight="false" outlineLevel="0" collapsed="false">
      <c r="A22" s="71" t="s">
        <v>309</v>
      </c>
      <c r="B22" s="162"/>
      <c r="C22" s="200"/>
      <c r="D22" s="200"/>
      <c r="E22" s="200"/>
      <c r="F22" s="200"/>
      <c r="G22" s="200"/>
      <c r="H22" s="200"/>
      <c r="I22" s="246"/>
      <c r="J22" s="246"/>
    </row>
    <row r="23" customFormat="false" ht="12.75" hidden="false" customHeight="false" outlineLevel="0" collapsed="false">
      <c r="A23" s="106" t="s">
        <v>310</v>
      </c>
      <c r="B23" s="106"/>
      <c r="C23" s="189" t="n">
        <f aca="false">C9+C10-C11+C13+C14+C15+C17+C18+C20+C22+C21+C19</f>
        <v>37706.95</v>
      </c>
      <c r="D23" s="189" t="n">
        <f aca="false">D9+D10-D11+D13+D14+D15+D17+D18+D20+D22+D21+D19</f>
        <v>40642.22</v>
      </c>
      <c r="E23" s="189" t="n">
        <f aca="false">E9+E10-E11+E13+E14+E15+E17+E18+E20+E22+E21+E19</f>
        <v>49554.86896</v>
      </c>
      <c r="F23" s="189" t="n">
        <f aca="false">F9+F10-F11+F13+F14+F15+F17+F18+F20+F22+F21+F19</f>
        <v>125463.651865508</v>
      </c>
      <c r="G23" s="189" t="n">
        <f aca="false">G9+G10-G11+G13+G14+G15+G17+G18+G20+G22+G21+G19</f>
        <v>367766.385677904</v>
      </c>
      <c r="H23" s="189" t="n">
        <f aca="false">H9+H10-H11+H13+H14+H15+H17+H18+H20+H22+H21+H19</f>
        <v>637949.66854674</v>
      </c>
      <c r="I23" s="246"/>
      <c r="J23" s="246"/>
    </row>
    <row r="24" customFormat="false" ht="12.75" hidden="false" customHeight="false" outlineLevel="0" collapsed="false">
      <c r="A24" s="49"/>
      <c r="B24" s="0"/>
      <c r="C24" s="154"/>
      <c r="D24" s="294"/>
      <c r="E24" s="294"/>
      <c r="F24" s="294"/>
      <c r="G24" s="294"/>
      <c r="H24" s="0"/>
      <c r="I24" s="246"/>
      <c r="J24" s="246"/>
    </row>
    <row r="25" customFormat="false" ht="12.75" hidden="false" customHeight="false" outlineLevel="0" collapsed="false">
      <c r="A25" s="64" t="s">
        <v>311</v>
      </c>
      <c r="B25" s="64"/>
      <c r="C25" s="293"/>
      <c r="D25" s="293"/>
      <c r="E25" s="293"/>
      <c r="F25" s="293"/>
      <c r="G25" s="293"/>
      <c r="H25" s="293"/>
      <c r="I25" s="246"/>
      <c r="J25" s="246"/>
    </row>
    <row r="26" customFormat="false" ht="12.75" hidden="false" customHeight="false" outlineLevel="0" collapsed="false">
      <c r="A26" s="173" t="s">
        <v>312</v>
      </c>
      <c r="B26" s="162"/>
      <c r="C26" s="200" t="n">
        <f aca="false">+PlanoFinanceiro!C9</f>
        <v>15000</v>
      </c>
      <c r="D26" s="200" t="n">
        <f aca="false">+C26+PlanoFinanceiro!D9</f>
        <v>45000</v>
      </c>
      <c r="E26" s="200" t="n">
        <f aca="false">+D26+PlanoFinanceiro!E9</f>
        <v>45000</v>
      </c>
      <c r="F26" s="200" t="n">
        <f aca="false">+E26+PlanoFinanceiro!F9</f>
        <v>45000</v>
      </c>
      <c r="G26" s="200" t="n">
        <f aca="false">+F26+PlanoFinanceiro!G9</f>
        <v>45000</v>
      </c>
      <c r="H26" s="200" t="n">
        <f aca="false">+G26+PlanoFinanceiro!H9</f>
        <v>45000</v>
      </c>
      <c r="I26" s="246"/>
      <c r="J26" s="246"/>
    </row>
    <row r="27" customFormat="false" ht="12.75" hidden="false" customHeight="false" outlineLevel="0" collapsed="false">
      <c r="A27" s="173" t="s">
        <v>313</v>
      </c>
      <c r="B27" s="162"/>
      <c r="C27" s="200" t="n">
        <f aca="false">+PlanoFinanceiro!C13</f>
        <v>0</v>
      </c>
      <c r="D27" s="200" t="n">
        <f aca="false">+C27+PlanoFinanceiro!D13</f>
        <v>0</v>
      </c>
      <c r="E27" s="200" t="n">
        <f aca="false">+D27+PlanoFinanceiro!E13</f>
        <v>0</v>
      </c>
      <c r="F27" s="200" t="n">
        <f aca="false">+E27+PlanoFinanceiro!F13</f>
        <v>0</v>
      </c>
      <c r="G27" s="200" t="n">
        <f aca="false">+F27+PlanoFinanceiro!G13</f>
        <v>0</v>
      </c>
      <c r="H27" s="200" t="n">
        <f aca="false">+G27+PlanoFinanceiro!H13</f>
        <v>0</v>
      </c>
      <c r="I27" s="246"/>
      <c r="J27" s="246"/>
    </row>
    <row r="28" customFormat="false" ht="12.75" hidden="false" customHeight="false" outlineLevel="0" collapsed="false">
      <c r="A28" s="173" t="s">
        <v>314</v>
      </c>
      <c r="B28" s="162"/>
      <c r="C28" s="200"/>
      <c r="D28" s="200"/>
      <c r="E28" s="200"/>
      <c r="F28" s="200"/>
      <c r="G28" s="200"/>
      <c r="H28" s="200"/>
      <c r="I28" s="246"/>
      <c r="J28" s="246"/>
    </row>
    <row r="29" customFormat="false" ht="12.75" hidden="false" customHeight="false" outlineLevel="0" collapsed="false">
      <c r="A29" s="173" t="s">
        <v>315</v>
      </c>
      <c r="B29" s="162"/>
      <c r="C29" s="200"/>
      <c r="D29" s="200"/>
      <c r="E29" s="200"/>
      <c r="F29" s="200"/>
      <c r="G29" s="200"/>
      <c r="H29" s="200"/>
      <c r="I29" s="246"/>
      <c r="J29" s="246"/>
    </row>
    <row r="30" customFormat="false" ht="12.75" hidden="false" customHeight="false" outlineLevel="0" collapsed="false">
      <c r="A30" s="173" t="s">
        <v>316</v>
      </c>
      <c r="B30" s="162"/>
      <c r="C30" s="200"/>
      <c r="D30" s="200" t="n">
        <f aca="false">+C30+C31-PlanoFinanceiro!D21</f>
        <v>-63813.0820868511</v>
      </c>
      <c r="E30" s="200" t="n">
        <f aca="false">+D30+D31-PlanoFinanceiro!E21</f>
        <v>-152533.328373246</v>
      </c>
      <c r="F30" s="200" t="n">
        <f aca="false">+E30+E31-PlanoFinanceiro!F21</f>
        <v>-159727.576363504</v>
      </c>
      <c r="G30" s="200" t="n">
        <f aca="false">+F30+F31-PlanoFinanceiro!G21</f>
        <v>-28019.9103132311</v>
      </c>
      <c r="H30" s="200" t="n">
        <f aca="false">+G30+G31-PlanoFinanceiro!H21</f>
        <v>156497.730713635</v>
      </c>
      <c r="I30" s="246"/>
      <c r="J30" s="246"/>
    </row>
    <row r="31" customFormat="false" ht="12.75" hidden="false" customHeight="false" outlineLevel="0" collapsed="false">
      <c r="A31" s="173" t="s">
        <v>317</v>
      </c>
      <c r="B31" s="162"/>
      <c r="C31" s="200" t="n">
        <f aca="false">+DR!C33</f>
        <v>-63813.0820868511</v>
      </c>
      <c r="D31" s="200" t="n">
        <f aca="false">+DR!D33</f>
        <v>-88720.2462863947</v>
      </c>
      <c r="E31" s="200" t="n">
        <f aca="false">+DR!E33</f>
        <v>-7194.24799025824</v>
      </c>
      <c r="F31" s="200" t="n">
        <f aca="false">+DR!F33</f>
        <v>131707.666050273</v>
      </c>
      <c r="G31" s="200" t="n">
        <f aca="false">+DR!G33</f>
        <v>184517.641026866</v>
      </c>
      <c r="H31" s="200" t="n">
        <f aca="false">+DR!H33</f>
        <v>238192.975286661</v>
      </c>
      <c r="I31" s="246"/>
      <c r="J31" s="246"/>
    </row>
    <row r="32" customFormat="false" ht="12.75" hidden="false" customHeight="false" outlineLevel="0" collapsed="false">
      <c r="A32" s="106" t="s">
        <v>318</v>
      </c>
      <c r="B32" s="106"/>
      <c r="C32" s="189" t="n">
        <f aca="false">SUM(C26:C31)</f>
        <v>-48813.0820868511</v>
      </c>
      <c r="D32" s="189" t="n">
        <f aca="false">SUM(D26:D31)</f>
        <v>-107533.328373246</v>
      </c>
      <c r="E32" s="189" t="n">
        <f aca="false">SUM(E26:E31)</f>
        <v>-114727.576363504</v>
      </c>
      <c r="F32" s="189" t="n">
        <f aca="false">SUM(F26:F31)</f>
        <v>16980.0896867689</v>
      </c>
      <c r="G32" s="189" t="n">
        <f aca="false">SUM(G26:G31)</f>
        <v>201497.730713635</v>
      </c>
      <c r="H32" s="189" t="n">
        <f aca="false">SUM(H26:H31)</f>
        <v>439690.706000296</v>
      </c>
      <c r="I32" s="246"/>
      <c r="J32" s="246"/>
    </row>
    <row r="33" customFormat="false" ht="12.75" hidden="false" customHeight="false" outlineLevel="0" collapsed="false">
      <c r="A33" s="0"/>
      <c r="B33" s="0"/>
      <c r="C33" s="267"/>
      <c r="D33" s="267"/>
      <c r="E33" s="267"/>
      <c r="F33" s="267"/>
      <c r="G33" s="267"/>
      <c r="H33" s="267"/>
      <c r="I33" s="246"/>
      <c r="J33" s="246"/>
    </row>
    <row r="34" customFormat="false" ht="12.75" hidden="false" customHeight="false" outlineLevel="0" collapsed="false">
      <c r="A34" s="131" t="s">
        <v>319</v>
      </c>
      <c r="B34" s="131"/>
      <c r="C34" s="64"/>
      <c r="D34" s="64"/>
      <c r="E34" s="64"/>
      <c r="F34" s="64"/>
      <c r="G34" s="64"/>
      <c r="H34" s="64"/>
      <c r="I34" s="246"/>
      <c r="J34" s="246"/>
    </row>
    <row r="35" customFormat="false" ht="12.75" hidden="false" customHeight="false" outlineLevel="0" collapsed="false">
      <c r="A35" s="71" t="s">
        <v>320</v>
      </c>
      <c r="B35" s="162"/>
      <c r="C35" s="295"/>
      <c r="D35" s="130"/>
      <c r="E35" s="130"/>
      <c r="F35" s="130"/>
      <c r="G35" s="130"/>
      <c r="H35" s="130"/>
      <c r="I35" s="246"/>
      <c r="J35" s="246"/>
    </row>
    <row r="36" customFormat="false" ht="12.75" hidden="false" customHeight="false" outlineLevel="0" collapsed="false">
      <c r="A36" s="71" t="s">
        <v>321</v>
      </c>
      <c r="B36" s="162"/>
      <c r="C36" s="293"/>
      <c r="D36" s="293"/>
      <c r="E36" s="293"/>
      <c r="F36" s="293"/>
      <c r="G36" s="293"/>
      <c r="H36" s="293"/>
      <c r="I36" s="246"/>
      <c r="J36" s="246"/>
    </row>
    <row r="37" customFormat="false" ht="12.75" hidden="false" customHeight="false" outlineLevel="0" collapsed="false">
      <c r="A37" s="73" t="s">
        <v>322</v>
      </c>
      <c r="B37" s="162"/>
      <c r="C37" s="200" t="n">
        <f aca="false">+Financiamento!C76</f>
        <v>20600</v>
      </c>
      <c r="D37" s="200" t="n">
        <f aca="false">+Financiamento!D76</f>
        <v>16480</v>
      </c>
      <c r="E37" s="200" t="n">
        <f aca="false">+Financiamento!E76</f>
        <v>12360</v>
      </c>
      <c r="F37" s="200" t="n">
        <f aca="false">+Financiamento!F76</f>
        <v>8240</v>
      </c>
      <c r="G37" s="200" t="n">
        <f aca="false">+Financiamento!G76</f>
        <v>4120</v>
      </c>
      <c r="H37" s="200" t="n">
        <f aca="false">+Financiamento!H76</f>
        <v>0</v>
      </c>
      <c r="I37" s="246"/>
      <c r="J37" s="246"/>
    </row>
    <row r="38" customFormat="false" ht="12.75" hidden="false" customHeight="false" outlineLevel="0" collapsed="false">
      <c r="A38" s="73" t="s">
        <v>323</v>
      </c>
      <c r="B38" s="162"/>
      <c r="C38" s="205"/>
      <c r="D38" s="206"/>
      <c r="E38" s="206"/>
      <c r="F38" s="206"/>
      <c r="G38" s="206"/>
      <c r="H38" s="206"/>
      <c r="I38" s="246"/>
      <c r="J38" s="246"/>
    </row>
    <row r="39" customFormat="false" ht="12.75" hidden="false" customHeight="false" outlineLevel="0" collapsed="false">
      <c r="A39" s="73" t="s">
        <v>313</v>
      </c>
      <c r="B39" s="162"/>
      <c r="C39" s="205"/>
      <c r="D39" s="206"/>
      <c r="E39" s="206"/>
      <c r="F39" s="206"/>
      <c r="G39" s="206"/>
      <c r="H39" s="206"/>
      <c r="I39" s="246"/>
      <c r="J39" s="246"/>
    </row>
    <row r="40" customFormat="false" ht="12.75" hidden="false" customHeight="false" outlineLevel="0" collapsed="false">
      <c r="A40" s="73" t="s">
        <v>324</v>
      </c>
      <c r="B40" s="162"/>
      <c r="C40" s="205"/>
      <c r="D40" s="206"/>
      <c r="E40" s="206"/>
      <c r="F40" s="206"/>
      <c r="G40" s="206"/>
      <c r="H40" s="206"/>
      <c r="I40" s="246"/>
      <c r="J40" s="246"/>
    </row>
    <row r="41" customFormat="false" ht="12.75" hidden="false" customHeight="false" outlineLevel="0" collapsed="false">
      <c r="A41" s="71" t="s">
        <v>325</v>
      </c>
      <c r="B41" s="162"/>
      <c r="C41" s="296"/>
      <c r="D41" s="296"/>
      <c r="E41" s="296"/>
      <c r="F41" s="296"/>
      <c r="G41" s="296"/>
      <c r="H41" s="296"/>
      <c r="I41" s="246"/>
      <c r="J41" s="246"/>
    </row>
    <row r="42" customFormat="false" ht="12.75" hidden="false" customHeight="false" outlineLevel="0" collapsed="false">
      <c r="A42" s="73" t="s">
        <v>322</v>
      </c>
      <c r="B42" s="162"/>
      <c r="C42" s="296" t="n">
        <f aca="false">+IF(PlanoFinanceiro!C28&lt;0,-PlanoFinanceiro!C28,0)</f>
        <v>51660.5347808511</v>
      </c>
      <c r="D42" s="296" t="n">
        <f aca="false">+IF(PlanoFinanceiro!D28&lt;0,-PlanoFinanceiro!D28,0)</f>
        <v>86925.0381065791</v>
      </c>
      <c r="E42" s="296" t="n">
        <f aca="false">+IF(PlanoFinanceiro!E28&lt;0,-PlanoFinanceiro!E28,0)</f>
        <v>82108.010504304</v>
      </c>
      <c r="F42" s="296" t="n">
        <f aca="false">+IF(PlanoFinanceiro!F28&lt;0,-PlanoFinanceiro!F28,0)</f>
        <v>0</v>
      </c>
      <c r="G42" s="296" t="n">
        <f aca="false">+IF(PlanoFinanceiro!G28&lt;0,-PlanoFinanceiro!G28,0)</f>
        <v>0</v>
      </c>
      <c r="H42" s="296" t="n">
        <f aca="false">+IF(PlanoFinanceiro!H28&lt;0,-PlanoFinanceiro!H28,0)</f>
        <v>0</v>
      </c>
      <c r="I42" s="246"/>
      <c r="J42" s="246"/>
    </row>
    <row r="43" customFormat="false" ht="12.75" hidden="false" customHeight="false" outlineLevel="0" collapsed="false">
      <c r="A43" s="73" t="s">
        <v>326</v>
      </c>
      <c r="B43" s="162"/>
      <c r="C43" s="296" t="n">
        <f aca="false">+FundoManeio!C15</f>
        <v>236.398</v>
      </c>
      <c r="D43" s="296" t="n">
        <f aca="false">+FundoManeio!D15</f>
        <v>3861.1648</v>
      </c>
      <c r="E43" s="296" t="n">
        <f aca="false">+FundoManeio!E15</f>
        <v>8957.3499904</v>
      </c>
      <c r="F43" s="296" t="n">
        <f aca="false">+FundoManeio!F15</f>
        <v>16358.5663634304</v>
      </c>
      <c r="G43" s="296" t="n">
        <f aca="false">+FundoManeio!G15</f>
        <v>21109.2177304166</v>
      </c>
      <c r="H43" s="296" t="n">
        <f aca="false">+FundoManeio!H15</f>
        <v>24742.0782978916</v>
      </c>
      <c r="I43" s="246"/>
      <c r="J43" s="246"/>
    </row>
    <row r="44" customFormat="false" ht="12.75" hidden="false" customHeight="false" outlineLevel="0" collapsed="false">
      <c r="A44" s="73" t="s">
        <v>305</v>
      </c>
      <c r="B44" s="162"/>
      <c r="C44" s="296" t="n">
        <f aca="false">+FundoManeio!C16+DR!C32</f>
        <v>11106.5976666667</v>
      </c>
      <c r="D44" s="296" t="n">
        <f aca="false">+FundoManeio!D16+DR!D32</f>
        <v>25220.2722666667</v>
      </c>
      <c r="E44" s="296" t="n">
        <f aca="false">+FundoManeio!E16+DR!E32</f>
        <v>32326.0596288</v>
      </c>
      <c r="F44" s="296" t="n">
        <f aca="false">+FundoManeio!F16+DR!F32</f>
        <v>41663.9288153088</v>
      </c>
      <c r="G44" s="296" t="n">
        <f aca="false">+FundoManeio!G16+DR!G32</f>
        <v>88833.1911680739</v>
      </c>
      <c r="H44" s="296" t="n">
        <f aca="false">+FundoManeio!H16+DR!H32</f>
        <v>115299.219420552</v>
      </c>
      <c r="I44" s="246"/>
      <c r="J44" s="246"/>
    </row>
    <row r="45" customFormat="false" ht="12.75" hidden="false" customHeight="false" outlineLevel="0" collapsed="false">
      <c r="A45" s="73" t="s">
        <v>324</v>
      </c>
      <c r="B45" s="162"/>
      <c r="C45" s="205"/>
      <c r="D45" s="206"/>
      <c r="E45" s="206"/>
      <c r="F45" s="206"/>
      <c r="G45" s="206"/>
      <c r="H45" s="206"/>
      <c r="I45" s="246"/>
      <c r="J45" s="246"/>
    </row>
    <row r="46" customFormat="false" ht="12.75" hidden="false" customHeight="false" outlineLevel="0" collapsed="false">
      <c r="A46" s="71" t="s">
        <v>309</v>
      </c>
      <c r="B46" s="162"/>
      <c r="C46" s="205"/>
      <c r="D46" s="206"/>
      <c r="E46" s="206"/>
      <c r="F46" s="206"/>
      <c r="G46" s="206"/>
      <c r="H46" s="206"/>
      <c r="I46" s="246"/>
      <c r="J46" s="246"/>
    </row>
    <row r="47" customFormat="false" ht="12.75" hidden="false" customHeight="false" outlineLevel="0" collapsed="false">
      <c r="A47" s="106" t="s">
        <v>327</v>
      </c>
      <c r="B47" s="106"/>
      <c r="C47" s="81" t="n">
        <f aca="false">SUM(C35:C46)</f>
        <v>83603.5304475177</v>
      </c>
      <c r="D47" s="81" t="n">
        <f aca="false">SUM(D35:D46)</f>
        <v>132486.475173246</v>
      </c>
      <c r="E47" s="81" t="n">
        <f aca="false">SUM(E35:E46)</f>
        <v>135751.420123504</v>
      </c>
      <c r="F47" s="81" t="n">
        <f aca="false">SUM(F35:F46)</f>
        <v>66262.4951787392</v>
      </c>
      <c r="G47" s="81" t="n">
        <f aca="false">SUM(G35:G46)</f>
        <v>114062.408898491</v>
      </c>
      <c r="H47" s="81" t="n">
        <f aca="false">SUM(H35:H46)</f>
        <v>140041.297718443</v>
      </c>
      <c r="I47" s="246"/>
      <c r="J47" s="246"/>
    </row>
    <row r="48" customFormat="false" ht="12.75" hidden="false" customHeight="false" outlineLevel="0" collapsed="false">
      <c r="A48" s="171"/>
      <c r="B48" s="171"/>
      <c r="C48" s="267"/>
      <c r="D48" s="0"/>
      <c r="E48" s="0"/>
      <c r="F48" s="0"/>
      <c r="G48" s="0"/>
      <c r="H48" s="0"/>
      <c r="I48" s="246"/>
      <c r="J48" s="246"/>
    </row>
    <row r="49" customFormat="false" ht="12.75" hidden="false" customHeight="false" outlineLevel="0" collapsed="false">
      <c r="A49" s="106" t="s">
        <v>328</v>
      </c>
      <c r="B49" s="106"/>
      <c r="C49" s="81" t="n">
        <f aca="false">+C47+C32</f>
        <v>34790.4483606667</v>
      </c>
      <c r="D49" s="81" t="n">
        <f aca="false">+D47+D32</f>
        <v>24953.1468</v>
      </c>
      <c r="E49" s="81" t="n">
        <f aca="false">+E47+E32</f>
        <v>21023.84376</v>
      </c>
      <c r="F49" s="81" t="n">
        <f aca="false">+F47+F32</f>
        <v>83242.5848655081</v>
      </c>
      <c r="G49" s="81" t="n">
        <f aca="false">+G47+G32</f>
        <v>315560.139612126</v>
      </c>
      <c r="H49" s="81" t="n">
        <f aca="false">+H47+H32</f>
        <v>579732.00371874</v>
      </c>
      <c r="I49" s="246"/>
      <c r="J49" s="246"/>
    </row>
    <row r="50" customFormat="false" ht="12.75" hidden="false" customHeight="false" outlineLevel="0" collapsed="false">
      <c r="C50" s="0"/>
      <c r="D50" s="0"/>
      <c r="E50" s="297"/>
      <c r="F50" s="297"/>
      <c r="G50" s="297"/>
      <c r="H50" s="297"/>
    </row>
    <row r="51" customFormat="false" ht="12.75" hidden="false" customHeight="false" outlineLevel="0" collapsed="false">
      <c r="C51" s="298" t="n">
        <f aca="false">+C23-C49</f>
        <v>2916.50163933332</v>
      </c>
      <c r="D51" s="299" t="n">
        <f aca="false">+D23-D49</f>
        <v>15689.0732</v>
      </c>
      <c r="E51" s="300"/>
      <c r="F51" s="300"/>
      <c r="G51" s="300"/>
      <c r="H51" s="300"/>
    </row>
    <row r="52" customFormat="false" ht="12.75" hidden="false" customHeight="false" outlineLevel="0" collapsed="false">
      <c r="C52" s="301"/>
      <c r="D52" s="299" t="n">
        <f aca="false">+D51-C51</f>
        <v>12772.5715606667</v>
      </c>
      <c r="E52" s="299" t="n">
        <f aca="false">+E51-D51</f>
        <v>-15689.0732</v>
      </c>
      <c r="F52" s="299" t="n">
        <f aca="false">+F51-E51</f>
        <v>0</v>
      </c>
      <c r="G52" s="299" t="n">
        <f aca="false">+G51-F51</f>
        <v>0</v>
      </c>
      <c r="H52" s="299" t="n">
        <f aca="false">+H51-G51</f>
        <v>0</v>
      </c>
    </row>
  </sheetData>
  <mergeCells count="8">
    <mergeCell ref="A3:H3"/>
    <mergeCell ref="A7:B7"/>
    <mergeCell ref="A23:B23"/>
    <mergeCell ref="A25:B25"/>
    <mergeCell ref="A32:B32"/>
    <mergeCell ref="A34:B34"/>
    <mergeCell ref="A47:B47"/>
    <mergeCell ref="A49:B49"/>
  </mergeCells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53"/>
  <sheetViews>
    <sheetView windowProtection="false" showFormulas="false" showGridLines="false" showRowColHeaders="true" showZeros="true" rightToLeft="false" tabSelected="false" showOutlineSymbols="true" defaultGridColor="true" view="normal" topLeftCell="A34" colorId="64" zoomScale="120" zoomScaleNormal="120" zoomScalePageLayoutView="100" workbookViewId="0">
      <selection pane="topLeft" activeCell="C49" activeCellId="0" sqref="C49"/>
    </sheetView>
  </sheetViews>
  <sheetFormatPr defaultRowHeight="12.75"/>
  <cols>
    <col collapsed="false" hidden="false" max="1" min="1" style="19" width="42.40625"/>
    <col collapsed="false" hidden="false" max="11" min="2" style="19" width="11.2232142857143"/>
    <col collapsed="false" hidden="false" max="1025" min="12" style="19" width="8.74107142857143"/>
  </cols>
  <sheetData>
    <row r="1" customFormat="false" ht="13.5" hidden="false" customHeight="false" outlineLevel="0" collapsed="false">
      <c r="A1" s="20" t="str">
        <f aca="false">+VN!A1</f>
        <v>Empresa:</v>
      </c>
      <c r="B1" s="57" t="str">
        <f aca="false">+Pressupostos!B1</f>
        <v>Herbawatter</v>
      </c>
      <c r="C1" s="302"/>
      <c r="D1" s="302"/>
      <c r="E1" s="302"/>
      <c r="F1" s="302"/>
      <c r="G1" s="302"/>
      <c r="H1" s="0"/>
      <c r="I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2.75" hidden="false" customHeight="false" outlineLevel="0" collapsed="false">
      <c r="A3" s="23" t="s">
        <v>329</v>
      </c>
      <c r="B3" s="23"/>
      <c r="C3" s="23"/>
      <c r="D3" s="23"/>
      <c r="E3" s="23"/>
      <c r="F3" s="23"/>
      <c r="G3" s="23"/>
      <c r="H3" s="0"/>
      <c r="I3" s="0"/>
    </row>
    <row r="4" customFormat="false" ht="12.7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</row>
    <row r="5" customFormat="false" ht="12.75" hidden="false" customHeight="false" outlineLevel="0" collapsed="false">
      <c r="A5" s="303" t="s">
        <v>330</v>
      </c>
      <c r="B5" s="304" t="n">
        <f aca="false">+VN!C5</f>
        <v>2016</v>
      </c>
      <c r="C5" s="304" t="n">
        <f aca="false">+VN!D5</f>
        <v>2017</v>
      </c>
      <c r="D5" s="304" t="n">
        <f aca="false">+VN!E5</f>
        <v>2018</v>
      </c>
      <c r="E5" s="304" t="n">
        <f aca="false">+VN!F5</f>
        <v>2019</v>
      </c>
      <c r="F5" s="304" t="n">
        <f aca="false">+VN!G5</f>
        <v>2020</v>
      </c>
      <c r="G5" s="305" t="n">
        <f aca="false">+VN!H5</f>
        <v>2021</v>
      </c>
      <c r="H5" s="0"/>
      <c r="I5" s="0"/>
    </row>
    <row r="6" customFormat="false" ht="12.75" hidden="false" customHeight="false" outlineLevel="0" collapsed="false">
      <c r="A6" s="306" t="s">
        <v>331</v>
      </c>
      <c r="B6" s="230"/>
      <c r="C6" s="230"/>
      <c r="D6" s="230" t="n">
        <f aca="false">+(DR!E9/DR!D9)-1</f>
        <v>1.968</v>
      </c>
      <c r="E6" s="230" t="n">
        <f aca="false">+(DR!F9/DR!E9)-1</f>
        <v>0.976</v>
      </c>
      <c r="F6" s="230" t="n">
        <f aca="false">+(DR!G9/DR!F9)-1</f>
        <v>0.2875</v>
      </c>
      <c r="G6" s="307" t="n">
        <f aca="false">+(DR!H9/DR!G9)-1</f>
        <v>0.18</v>
      </c>
      <c r="H6" s="0"/>
      <c r="I6" s="0"/>
    </row>
    <row r="7" customFormat="false" ht="12.75" hidden="false" customHeight="false" outlineLevel="0" collapsed="false">
      <c r="A7" s="306" t="s">
        <v>332</v>
      </c>
      <c r="B7" s="230"/>
      <c r="C7" s="230" t="n">
        <f aca="false">(DR!D9/(DR!D10+DR!D11+DR!D12+DR!D15+DR!D17+DR!D18+DR!D20))-1</f>
        <v>-0.506996139588533</v>
      </c>
      <c r="D7" s="230" t="n">
        <f aca="false">(DR!E9/(DR!E10+DR!E11+DR!E12+DR!E15+DR!E17+DR!E18+DR!E20))-1</f>
        <v>0.0349797511201204</v>
      </c>
      <c r="E7" s="230" t="n">
        <f aca="false">(DR!F9/(DR!F10+DR!F11+DR!F12+DR!F15+DR!F17+DR!F18+DR!F20))-1</f>
        <v>0.482989486201072</v>
      </c>
      <c r="F7" s="230" t="n">
        <f aca="false">(DR!G9/(DR!G10+DR!G11+DR!G12+DR!G15+DR!G17+DR!G18+DR!G20))-1</f>
        <v>0.632300150289734</v>
      </c>
      <c r="G7" s="307" t="n">
        <f aca="false">(DR!H9/(DR!H10+DR!H11+DR!H12+DR!H15+DR!H17+DR!H18+DR!H20))-1</f>
        <v>0.725197021422783</v>
      </c>
      <c r="H7" s="0"/>
      <c r="I7" s="0"/>
    </row>
    <row r="8" customFormat="false" ht="12.75" hidden="false" customHeight="false" outlineLevel="0" collapsed="false">
      <c r="A8" s="306" t="s">
        <v>333</v>
      </c>
      <c r="B8" s="230"/>
      <c r="C8" s="230" t="n">
        <f aca="false">+DR!D25/DR!D9</f>
        <v>-1.14293375569634</v>
      </c>
      <c r="D8" s="230" t="n">
        <f aca="false">+DR!E25/DR!E9</f>
        <v>-0.00596846597862659</v>
      </c>
      <c r="E8" s="230" t="n">
        <f aca="false">+DR!F25/DR!F9</f>
        <v>0.305265775486861</v>
      </c>
      <c r="F8" s="230" t="n">
        <f aca="false">+DR!G25/DR!G9</f>
        <v>0.385076793648052</v>
      </c>
      <c r="G8" s="307" t="n">
        <f aca="false">+DR!H25/DR!H9</f>
        <v>0.419272339471592</v>
      </c>
      <c r="H8" s="0"/>
      <c r="I8" s="0"/>
    </row>
    <row r="9" customFormat="false" ht="12.75" hidden="false" customHeight="false" outlineLevel="0" collapsed="false">
      <c r="A9" s="306" t="s">
        <v>334</v>
      </c>
      <c r="B9" s="230"/>
      <c r="C9" s="230" t="n">
        <f aca="false">+DR!D33/DR!D9</f>
        <v>-1.23263652170716</v>
      </c>
      <c r="D9" s="230" t="n">
        <f aca="false">+DR!E33/DR!E9</f>
        <v>-0.0336770312619286</v>
      </c>
      <c r="E9" s="230" t="n">
        <f aca="false">+DR!F33/DR!F9</f>
        <v>0.312012870862183</v>
      </c>
      <c r="F9" s="230" t="n">
        <f aca="false">+DR!G33/DR!G9</f>
        <v>0.339509641228528</v>
      </c>
      <c r="G9" s="307" t="n">
        <f aca="false">+DR!H33/DR!H9</f>
        <v>0.371416471565591</v>
      </c>
      <c r="H9" s="0"/>
      <c r="I9" s="0"/>
    </row>
    <row r="10" customFormat="false" ht="12.75" hidden="false" customHeight="false" outlineLevel="0" collapsed="false">
      <c r="A10" s="308" t="s">
        <v>335</v>
      </c>
      <c r="B10" s="309"/>
      <c r="C10" s="309" t="n">
        <f aca="false">+DR!D18/DR!D9</f>
        <v>1.4352239635434</v>
      </c>
      <c r="D10" s="309" t="n">
        <f aca="false">+DR!E18/DR!E9</f>
        <v>0.526557924219723</v>
      </c>
      <c r="E10" s="309" t="n">
        <f aca="false">+DR!F18/DR!F9</f>
        <v>0.278627535092327</v>
      </c>
      <c r="F10" s="309" t="n">
        <f aca="false">+DR!G18/DR!G9</f>
        <v>0.225029325739275</v>
      </c>
      <c r="G10" s="310" t="n">
        <f aca="false">+DR!H18/DR!H9</f>
        <v>0.198299744978237</v>
      </c>
      <c r="H10" s="0"/>
      <c r="I10" s="0"/>
    </row>
    <row r="11" customFormat="false" ht="12.7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</row>
    <row r="12" customFormat="false" ht="12.75" hidden="false" customHeight="false" outlineLevel="0" collapsed="false">
      <c r="A12" s="303" t="s">
        <v>336</v>
      </c>
      <c r="B12" s="304" t="n">
        <f aca="false">+B5</f>
        <v>2016</v>
      </c>
      <c r="C12" s="304" t="n">
        <f aca="false">+C5</f>
        <v>2017</v>
      </c>
      <c r="D12" s="304" t="n">
        <f aca="false">+D5</f>
        <v>2018</v>
      </c>
      <c r="E12" s="304" t="n">
        <f aca="false">+E5</f>
        <v>2019</v>
      </c>
      <c r="F12" s="304" t="n">
        <f aca="false">+F5</f>
        <v>2020</v>
      </c>
      <c r="G12" s="305" t="n">
        <f aca="false">+G5</f>
        <v>2021</v>
      </c>
      <c r="H12" s="0"/>
      <c r="I12" s="0"/>
    </row>
    <row r="13" customFormat="false" ht="12.75" hidden="false" customHeight="false" outlineLevel="0" collapsed="false">
      <c r="A13" s="306" t="s">
        <v>337</v>
      </c>
      <c r="B13" s="230"/>
      <c r="C13" s="230" t="n">
        <f aca="false">+DR!D33/Balanço!D23</f>
        <v>-2.1829576801266</v>
      </c>
      <c r="D13" s="230" t="n">
        <f aca="false">+DR!E33/Balanço!E23</f>
        <v>-0.145177419318076</v>
      </c>
      <c r="E13" s="230" t="n">
        <f aca="false">+DR!F33/Balanço!F23</f>
        <v>1.04976751506849</v>
      </c>
      <c r="F13" s="230" t="n">
        <f aca="false">+DR!G33/Balanço!G23</f>
        <v>0.501725139144364</v>
      </c>
      <c r="G13" s="307" t="n">
        <f aca="false">+DR!H33/Balanço!H23</f>
        <v>0.373372676608279</v>
      </c>
      <c r="H13" s="0"/>
      <c r="I13" s="0"/>
    </row>
    <row r="14" customFormat="false" ht="12.75" hidden="false" customHeight="false" outlineLevel="0" collapsed="false">
      <c r="A14" s="306" t="s">
        <v>338</v>
      </c>
      <c r="B14" s="230"/>
      <c r="C14" s="230" t="n">
        <f aca="false">+DR!D25/Balanço!D23</f>
        <v>-2.02409710886856</v>
      </c>
      <c r="D14" s="230" t="n">
        <f aca="false">+DR!E25/Balanço!E23</f>
        <v>-0.0257293014139372</v>
      </c>
      <c r="E14" s="230" t="n">
        <f aca="false">+DR!F25/Balanço!F23</f>
        <v>1.02706690811433</v>
      </c>
      <c r="F14" s="230" t="n">
        <f aca="false">+DR!G25/Balanço!G23</f>
        <v>0.569063980555083</v>
      </c>
      <c r="G14" s="307" t="n">
        <f aca="false">+DR!H25/Balanço!H23</f>
        <v>0.421480595506326</v>
      </c>
      <c r="H14" s="0"/>
      <c r="I14" s="0"/>
    </row>
    <row r="15" customFormat="false" ht="12.75" hidden="false" customHeight="false" outlineLevel="0" collapsed="false">
      <c r="A15" s="306" t="s">
        <v>339</v>
      </c>
      <c r="B15" s="230"/>
      <c r="C15" s="230" t="n">
        <f aca="false">+DR!D9/Balanço!D23</f>
        <v>1.77096625135143</v>
      </c>
      <c r="D15" s="230" t="n">
        <f aca="false">+DR!E9/Balanço!E23</f>
        <v>4.31087343147724</v>
      </c>
      <c r="E15" s="230" t="n">
        <f aca="false">+DR!F9/Balanço!F23</f>
        <v>3.36450067642298</v>
      </c>
      <c r="F15" s="230" t="n">
        <f aca="false">+DR!G9/Balanço!G23</f>
        <v>1.47779349454953</v>
      </c>
      <c r="G15" s="307" t="n">
        <f aca="false">+DR!H9/Balanço!H23</f>
        <v>1.00526687746088</v>
      </c>
      <c r="H15" s="0"/>
      <c r="I15" s="0"/>
    </row>
    <row r="16" customFormat="false" ht="12.75" hidden="false" customHeight="false" outlineLevel="0" collapsed="false">
      <c r="A16" s="306" t="s">
        <v>340</v>
      </c>
      <c r="B16" s="230"/>
      <c r="C16" s="230" t="n">
        <f aca="false">+DR!D9/(Balanço!D9+Balanço!D10-Balanço!D11)</f>
        <v>4.15926032938457</v>
      </c>
      <c r="D16" s="230" t="n">
        <f aca="false">+DR!E9/(Balanço!E9+Balanço!E10-Balanço!E11)</f>
        <v>21.7762250764526</v>
      </c>
      <c r="E16" s="230" t="n">
        <f aca="false">+DR!F9/(Balanço!F9+Balanço!F10-Balanço!F11)</f>
        <v>249.776651815385</v>
      </c>
      <c r="F16" s="230" t="n">
        <f aca="false">+DR!G9/(Balanço!G9+Balanço!G10-Balanço!G11)</f>
        <v>575.114044728889</v>
      </c>
      <c r="G16" s="307" t="n">
        <f aca="false">+DR!H9/(Balanço!H9+Balanço!H10-Balanço!H11)</f>
        <v>855.079561702912</v>
      </c>
      <c r="H16" s="0"/>
      <c r="I16" s="0"/>
    </row>
    <row r="17" customFormat="false" ht="12.75" hidden="false" customHeight="false" outlineLevel="0" collapsed="false">
      <c r="A17" s="311" t="s">
        <v>341</v>
      </c>
      <c r="B17" s="312"/>
      <c r="C17" s="312" t="n">
        <f aca="false">+DR!D33/Balanço!D32</f>
        <v>0.825048825592459</v>
      </c>
      <c r="D17" s="312" t="n">
        <f aca="false">+DR!E33/Balanço!E32</f>
        <v>0.0627072253968297</v>
      </c>
      <c r="E17" s="312" t="n">
        <f aca="false">+DR!F33/Balanço!F32</f>
        <v>7.75659425126012</v>
      </c>
      <c r="F17" s="312" t="n">
        <f aca="false">+DR!G33/Balanço!G32</f>
        <v>0.915730615790901</v>
      </c>
      <c r="G17" s="313" t="n">
        <f aca="false">+DR!H33/Balanço!H32</f>
        <v>0.541728474211826</v>
      </c>
      <c r="H17" s="0"/>
      <c r="I17" s="0"/>
    </row>
    <row r="18" customFormat="false" ht="15.75" hidden="false" customHeight="false" outlineLevel="0" collapsed="false">
      <c r="A18" s="314" t="s">
        <v>342</v>
      </c>
      <c r="B18" s="315"/>
      <c r="C18" s="315" t="n">
        <f aca="false">+DR!D9/Balanço!D32</f>
        <v>-0.669336670675466</v>
      </c>
      <c r="D18" s="315" t="n">
        <f aca="false">+DR!E9/Balanço!E32</f>
        <v>-1.86201761399673</v>
      </c>
      <c r="E18" s="315" t="n">
        <f aca="false">+DR!F9/Balanço!F32</f>
        <v>24.8598534727954</v>
      </c>
      <c r="F18" s="315" t="n">
        <f aca="false">+DR!G9/Balanço!G32</f>
        <v>2.69721534998916</v>
      </c>
      <c r="G18" s="316" t="n">
        <f aca="false">+DR!H9/Balanço!H32</f>
        <v>1.45854725270621</v>
      </c>
      <c r="H18" s="0"/>
      <c r="I18" s="317" t="s">
        <v>343</v>
      </c>
    </row>
    <row r="19" customFormat="false" ht="12.7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</row>
    <row r="20" customFormat="false" ht="12.75" hidden="false" customHeight="false" outlineLevel="0" collapsed="false">
      <c r="A20" s="303" t="s">
        <v>344</v>
      </c>
      <c r="B20" s="304" t="n">
        <f aca="false">+B5</f>
        <v>2016</v>
      </c>
      <c r="C20" s="304" t="n">
        <f aca="false">+C5</f>
        <v>2017</v>
      </c>
      <c r="D20" s="304" t="n">
        <f aca="false">+D5</f>
        <v>2018</v>
      </c>
      <c r="E20" s="304" t="n">
        <f aca="false">+E5</f>
        <v>2019</v>
      </c>
      <c r="F20" s="304" t="n">
        <f aca="false">+F5</f>
        <v>2020</v>
      </c>
      <c r="G20" s="305" t="n">
        <f aca="false">+G5</f>
        <v>2021</v>
      </c>
      <c r="H20" s="0"/>
      <c r="I20" s="0"/>
    </row>
    <row r="21" customFormat="false" ht="12.75" hidden="false" customHeight="false" outlineLevel="0" collapsed="false">
      <c r="A21" s="306" t="s">
        <v>345</v>
      </c>
      <c r="B21" s="230"/>
      <c r="C21" s="230" t="n">
        <f aca="false">+Balanço!D32/Balanço!D23</f>
        <v>-2.64585272096962</v>
      </c>
      <c r="D21" s="230" t="n">
        <f aca="false">+Balanço!E32/Balanço!E23</f>
        <v>-2.31516254146713</v>
      </c>
      <c r="E21" s="230" t="n">
        <f aca="false">+Balanço!F32/Balanço!F23</f>
        <v>0.135338717104862</v>
      </c>
      <c r="F21" s="230" t="n">
        <f aca="false">+Balanço!G32/Balanço!G23</f>
        <v>0.547895997461035</v>
      </c>
      <c r="G21" s="307" t="n">
        <f aca="false">+Balanço!H32/Balanço!H23</f>
        <v>0.689224758125385</v>
      </c>
      <c r="H21" s="0"/>
      <c r="I21" s="0"/>
    </row>
    <row r="22" customFormat="false" ht="12.75" hidden="false" customHeight="false" outlineLevel="0" collapsed="false">
      <c r="A22" s="306" t="s">
        <v>346</v>
      </c>
      <c r="B22" s="230"/>
      <c r="C22" s="230" t="n">
        <f aca="false">+Balanço!D32/Balanço!D47</f>
        <v>-0.811655138629283</v>
      </c>
      <c r="D22" s="230" t="n">
        <f aca="false">+Balanço!E32/Balanço!E47</f>
        <v>-0.84512984290792</v>
      </c>
      <c r="E22" s="230" t="n">
        <f aca="false">+Balanço!F32/Balanço!F47</f>
        <v>0.256254909220761</v>
      </c>
      <c r="F22" s="230" t="n">
        <f aca="false">+Balanço!G32/Balanço!G47</f>
        <v>1.76655685829814</v>
      </c>
      <c r="G22" s="307" t="n">
        <f aca="false">+Balanço!H32/Balanço!H47</f>
        <v>3.13972173325832</v>
      </c>
      <c r="H22" s="0"/>
      <c r="I22" s="0"/>
    </row>
    <row r="23" customFormat="false" ht="12.75" hidden="false" customHeight="false" outlineLevel="0" collapsed="false">
      <c r="A23" s="306" t="s">
        <v>347</v>
      </c>
      <c r="B23" s="230"/>
      <c r="C23" s="230" t="n">
        <f aca="false">+Balanço!D47/Balanço!D23</f>
        <v>3.25982377865298</v>
      </c>
      <c r="D23" s="230" t="n">
        <f aca="false">+Balanço!E47/Balanço!E23</f>
        <v>2.73941638778383</v>
      </c>
      <c r="E23" s="230" t="n">
        <f aca="false">+Balanço!F47/Balanço!F23</f>
        <v>0.528140973050664</v>
      </c>
      <c r="F23" s="230" t="n">
        <f aca="false">+Balanço!G47/Balanço!G23</f>
        <v>0.310149087411127</v>
      </c>
      <c r="G23" s="307" t="n">
        <f aca="false">+Balanço!H47/Balanço!H23</f>
        <v>0.219517784275145</v>
      </c>
      <c r="H23" s="0"/>
      <c r="I23" s="0"/>
    </row>
    <row r="24" customFormat="false" ht="15.75" hidden="false" customHeight="false" outlineLevel="0" collapsed="false">
      <c r="A24" s="308" t="s">
        <v>78</v>
      </c>
      <c r="B24" s="309"/>
      <c r="C24" s="309" t="n">
        <f aca="false">+SUM(Balanço!D37:D40)/Balanço!D23</f>
        <v>0.405489660751799</v>
      </c>
      <c r="D24" s="309" t="n">
        <f aca="false">+SUM(Balanço!E37:E40)/Balanço!E23</f>
        <v>0.249420496096495</v>
      </c>
      <c r="E24" s="309" t="n">
        <f aca="false">+SUM(Balanço!F37:F40)/Balanço!F23</f>
        <v>0.0656763921460929</v>
      </c>
      <c r="F24" s="309" t="n">
        <f aca="false">+SUM(Balanço!G37:G40)/Balanço!G23</f>
        <v>0.0112027639296223</v>
      </c>
      <c r="G24" s="310" t="n">
        <f aca="false">+SUM(Balanço!H37:H40)/Balanço!H23</f>
        <v>0</v>
      </c>
      <c r="H24" s="0"/>
      <c r="I24" s="318" t="s">
        <v>348</v>
      </c>
    </row>
    <row r="25" customFormat="false" ht="12.7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</row>
    <row r="26" customFormat="false" ht="12.75" hidden="false" customHeight="false" outlineLevel="0" collapsed="false">
      <c r="A26" s="303" t="s">
        <v>349</v>
      </c>
      <c r="B26" s="304" t="n">
        <f aca="false">+B5</f>
        <v>2016</v>
      </c>
      <c r="C26" s="304" t="n">
        <f aca="false">+C5</f>
        <v>2017</v>
      </c>
      <c r="D26" s="304" t="n">
        <f aca="false">+D5</f>
        <v>2018</v>
      </c>
      <c r="E26" s="304" t="n">
        <f aca="false">+E5</f>
        <v>2019</v>
      </c>
      <c r="F26" s="304" t="n">
        <f aca="false">+F5</f>
        <v>2020</v>
      </c>
      <c r="G26" s="305" t="n">
        <f aca="false">+G5</f>
        <v>2021</v>
      </c>
      <c r="H26" s="0"/>
      <c r="I26" s="0"/>
    </row>
    <row r="27" customFormat="false" ht="12.75" hidden="false" customHeight="false" outlineLevel="0" collapsed="false">
      <c r="A27" s="306" t="s">
        <v>350</v>
      </c>
      <c r="B27" s="200"/>
      <c r="C27" s="230" t="n">
        <f aca="false">(Balanço!D15+Balanço!D17+Balanço!D18+Balanço!D20+Balanço!D21+Balanço!D22)/SUM(Balanço!D42:D46)</f>
        <v>0.201171701537762</v>
      </c>
      <c r="D27" s="230" t="n">
        <f aca="false">(Balanço!E15+Balanço!E17+Balanço!E18+Balanço!E20+Balanço!E21+Balanço!E22)/SUM(Balanço!E42:E46)</f>
        <v>0.322103991673156</v>
      </c>
      <c r="E27" s="230" t="n">
        <f aca="false">(Balanço!F15+Balanço!F17+Balanço!F18+Balanço!F20+Balanço!F21+Balanço!F22)/SUM(Balanço!F42:F46)</f>
        <v>2.13320112284419</v>
      </c>
      <c r="F27" s="230" t="n">
        <f aca="false">(Balanço!G15+Balanço!G17+Balanço!G18+Balanço!G20+Balanço!G21+Balanço!G22)/SUM(Balanço!G42:G46)</f>
        <v>3.33648670565868</v>
      </c>
      <c r="G27" s="307" t="n">
        <f aca="false">(Balanço!H15+Balanço!H17+Balanço!H18+Balanço!H20+Balanço!H21+Balanço!H22)/SUM(Balanço!H42:H46)</f>
        <v>4.55008400327627</v>
      </c>
      <c r="H27" s="0"/>
      <c r="I27" s="0"/>
    </row>
    <row r="28" customFormat="false" ht="12.75" hidden="false" customHeight="false" outlineLevel="0" collapsed="false">
      <c r="A28" s="308" t="s">
        <v>351</v>
      </c>
      <c r="B28" s="319"/>
      <c r="C28" s="309" t="n">
        <f aca="false">(Balanço!D17+Balanço!D18+Balanço!D20+Balanço!D21+Balanço!D22)/SUM(Balanço!D42:D46)</f>
        <v>0.192899059872141</v>
      </c>
      <c r="D28" s="309" t="n">
        <f aca="false">(Balanço!E17+Balanço!E18+Balanço!E20+Balanço!E21+Balanço!E22)/SUM(Balanço!E42:E46)</f>
        <v>0.299020293980487</v>
      </c>
      <c r="E28" s="309" t="n">
        <f aca="false">(Balanço!F17+Balanço!F18+Balanço!F20+Balanço!F21+Balanço!F22)/SUM(Balanço!F42:F46)</f>
        <v>2.03619908015537</v>
      </c>
      <c r="F28" s="309" t="n">
        <f aca="false">(Balanço!G17+Balanço!G18+Balanço!G20+Balanço!G21+Balanço!G22)/SUM(Balanço!G42:G46)</f>
        <v>3.27057549781645</v>
      </c>
      <c r="G28" s="310" t="n">
        <f aca="false">(Balanço!H17+Balanço!H18+Balanço!H20+Balanço!H21+Balanço!H22)/SUM(Balanço!H42:H46)</f>
        <v>4.48902490316553</v>
      </c>
      <c r="H28" s="0"/>
      <c r="I28" s="0"/>
    </row>
    <row r="29" customFormat="false" ht="12.7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</row>
    <row r="30" customFormat="false" ht="12.75" hidden="false" customHeight="false" outlineLevel="0" collapsed="false">
      <c r="A30" s="303" t="s">
        <v>352</v>
      </c>
      <c r="B30" s="304" t="n">
        <f aca="false">+B5</f>
        <v>2016</v>
      </c>
      <c r="C30" s="304" t="n">
        <f aca="false">+C5</f>
        <v>2017</v>
      </c>
      <c r="D30" s="304" t="n">
        <f aca="false">+D5</f>
        <v>2018</v>
      </c>
      <c r="E30" s="304" t="n">
        <f aca="false">+E5</f>
        <v>2019</v>
      </c>
      <c r="F30" s="304" t="n">
        <f aca="false">+F5</f>
        <v>2020</v>
      </c>
      <c r="G30" s="305" t="n">
        <f aca="false">+G5</f>
        <v>2021</v>
      </c>
      <c r="H30" s="0"/>
      <c r="I30" s="0"/>
    </row>
    <row r="31" customFormat="false" ht="12.75" hidden="false" customHeight="false" outlineLevel="0" collapsed="false">
      <c r="A31" s="320" t="s">
        <v>353</v>
      </c>
      <c r="B31" s="321"/>
      <c r="C31" s="321" t="n">
        <f aca="false">+Balanço!D32+SUM(Balanço!D37:D40)</f>
        <v>-91053.3283732458</v>
      </c>
      <c r="D31" s="321" t="n">
        <f aca="false">+Balanço!E32+SUM(Balanço!E37:E40)</f>
        <v>-102367.576363504</v>
      </c>
      <c r="E31" s="321" t="n">
        <f aca="false">+Balanço!F32+SUM(Balanço!F37:F40)</f>
        <v>25220.0896867689</v>
      </c>
      <c r="F31" s="321" t="n">
        <f aca="false">+Balanço!G32+SUM(Balanço!G37:G40)</f>
        <v>205617.730713635</v>
      </c>
      <c r="G31" s="322" t="n">
        <f aca="false">+Balanço!H32+SUM(Balanço!H37:H40)</f>
        <v>439690.706000296</v>
      </c>
      <c r="H31" s="0"/>
      <c r="I31" s="0"/>
    </row>
    <row r="32" customFormat="false" ht="12.75" hidden="false" customHeight="false" outlineLevel="0" collapsed="false">
      <c r="A32" s="323" t="s">
        <v>354</v>
      </c>
      <c r="B32" s="200"/>
      <c r="C32" s="200" t="n">
        <f aca="false">+Balanço!D9+Balanço!D10-Balanço!D11</f>
        <v>17305</v>
      </c>
      <c r="D32" s="200" t="n">
        <f aca="false">+Balanço!E9+Balanço!E10-Balanço!E11</f>
        <v>9810</v>
      </c>
      <c r="E32" s="200" t="n">
        <f aca="false">+Balanço!F9+Balanço!F10-Balanço!F11</f>
        <v>1690</v>
      </c>
      <c r="F32" s="200" t="n">
        <f aca="false">+Balanço!G9+Balanço!G10-Balanço!G11</f>
        <v>945</v>
      </c>
      <c r="G32" s="324" t="n">
        <f aca="false">+Balanço!H9+Balanço!H10-Balanço!H11</f>
        <v>750</v>
      </c>
      <c r="H32" s="0"/>
      <c r="I32" s="0"/>
    </row>
    <row r="33" customFormat="false" ht="15.75" hidden="false" customHeight="false" outlineLevel="0" collapsed="false">
      <c r="A33" s="325" t="s">
        <v>355</v>
      </c>
      <c r="B33" s="203"/>
      <c r="C33" s="203" t="n">
        <f aca="false">C31-C32</f>
        <v>-108358.328373246</v>
      </c>
      <c r="D33" s="203" t="n">
        <f aca="false">D31-D32</f>
        <v>-112177.576363504</v>
      </c>
      <c r="E33" s="203" t="n">
        <f aca="false">E31-E32</f>
        <v>23530.0896867689</v>
      </c>
      <c r="F33" s="203" t="n">
        <f aca="false">F31-F32</f>
        <v>204672.730713635</v>
      </c>
      <c r="G33" s="326" t="n">
        <f aca="false">G31-G32</f>
        <v>438940.706000296</v>
      </c>
      <c r="H33" s="0"/>
      <c r="I33" s="317" t="s">
        <v>356</v>
      </c>
    </row>
    <row r="34" customFormat="false" ht="12.75" hidden="false" customHeight="false" outlineLevel="0" collapsed="false">
      <c r="A34" s="323" t="s">
        <v>357</v>
      </c>
      <c r="B34" s="200"/>
      <c r="C34" s="200" t="n">
        <f aca="false">+Balanço!D15+Balanço!D17+Balanço!D18</f>
        <v>8337.22</v>
      </c>
      <c r="D34" s="200" t="n">
        <f aca="false">+Balanço!E15+Balanço!E17+Balanço!E18</f>
        <v>24744.86896</v>
      </c>
      <c r="E34" s="200" t="n">
        <f aca="false">+Balanço!F15+Balanço!F17+Balanço!F18</f>
        <v>48895.86106496</v>
      </c>
      <c r="F34" s="200" t="n">
        <f aca="false">+Balanço!G15+Balanço!G17+Balanço!G18</f>
        <v>62953.421121136</v>
      </c>
      <c r="G34" s="324" t="n">
        <f aca="false">+Balanço!H15+Balanço!H17+Balanço!H18</f>
        <v>74285.0369229405</v>
      </c>
      <c r="H34" s="0"/>
    </row>
    <row r="35" customFormat="false" ht="12.75" hidden="false" customHeight="false" outlineLevel="0" collapsed="false">
      <c r="A35" s="323" t="s">
        <v>358</v>
      </c>
      <c r="B35" s="200"/>
      <c r="C35" s="200" t="n">
        <f aca="false">+Balanço!D43+Balanço!D45</f>
        <v>3861.1648</v>
      </c>
      <c r="D35" s="200" t="n">
        <f aca="false">+Balanço!E43+Balanço!E45</f>
        <v>8957.3499904</v>
      </c>
      <c r="E35" s="200" t="n">
        <f aca="false">+Balanço!F43+Balanço!F45</f>
        <v>16358.5663634304</v>
      </c>
      <c r="F35" s="200" t="n">
        <f aca="false">+Balanço!G43+Balanço!G45</f>
        <v>21109.2177304166</v>
      </c>
      <c r="G35" s="324" t="n">
        <f aca="false">+Balanço!H43+Balanço!H45</f>
        <v>24742.0782978916</v>
      </c>
      <c r="H35" s="0"/>
    </row>
    <row r="36" customFormat="false" ht="12.75" hidden="false" customHeight="false" outlineLevel="0" collapsed="false">
      <c r="A36" s="325" t="s">
        <v>359</v>
      </c>
      <c r="B36" s="203"/>
      <c r="C36" s="203" t="n">
        <f aca="false">+C34-C35</f>
        <v>4476.0552</v>
      </c>
      <c r="D36" s="203" t="n">
        <f aca="false">+D34-D35</f>
        <v>15787.5189696</v>
      </c>
      <c r="E36" s="203" t="n">
        <f aca="false">+E34-E35</f>
        <v>32537.2947015296</v>
      </c>
      <c r="F36" s="203" t="n">
        <f aca="false">+F34-F35</f>
        <v>41844.2033907194</v>
      </c>
      <c r="G36" s="326" t="n">
        <f aca="false">+G34-G35</f>
        <v>49542.9586250489</v>
      </c>
      <c r="H36" s="0"/>
    </row>
    <row r="37" customFormat="false" ht="12.75" hidden="false" customHeight="false" outlineLevel="0" collapsed="false">
      <c r="A37" s="323" t="s">
        <v>360</v>
      </c>
      <c r="B37" s="200"/>
      <c r="C37" s="200" t="n">
        <f aca="false">+Balanço!D20+Balanço!D21</f>
        <v>15000</v>
      </c>
      <c r="D37" s="200" t="n">
        <f aca="false">+Balanço!E20+Balanço!E21</f>
        <v>15000</v>
      </c>
      <c r="E37" s="200" t="n">
        <f aca="false">+Balanço!F20+Balanço!F21</f>
        <v>74877.7908005482</v>
      </c>
      <c r="F37" s="200" t="n">
        <f aca="false">+Balanço!G20+Balanço!G21</f>
        <v>303867.964556768</v>
      </c>
      <c r="G37" s="324" t="n">
        <f aca="false">+Balanço!H20+Balanço!H21</f>
        <v>562914.631623799</v>
      </c>
      <c r="H37" s="0"/>
    </row>
    <row r="38" customFormat="false" ht="12.75" hidden="false" customHeight="false" outlineLevel="0" collapsed="false">
      <c r="A38" s="323" t="s">
        <v>361</v>
      </c>
      <c r="B38" s="200"/>
      <c r="C38" s="200" t="n">
        <f aca="false">+Balanço!D42+Balanço!D44</f>
        <v>112145.310373246</v>
      </c>
      <c r="D38" s="200" t="n">
        <f aca="false">+Balanço!E42+Balanço!E44</f>
        <v>114434.070133104</v>
      </c>
      <c r="E38" s="200" t="n">
        <f aca="false">+Balanço!F42+Balanço!F44</f>
        <v>41663.9288153088</v>
      </c>
      <c r="F38" s="200" t="n">
        <f aca="false">+Balanço!G42+Balanço!G44</f>
        <v>88833.1911680739</v>
      </c>
      <c r="G38" s="324" t="n">
        <f aca="false">+Balanço!H42+Balanço!H44</f>
        <v>115299.219420552</v>
      </c>
      <c r="H38" s="0"/>
    </row>
    <row r="39" customFormat="false" ht="12.75" hidden="false" customHeight="false" outlineLevel="0" collapsed="false">
      <c r="A39" s="325" t="s">
        <v>362</v>
      </c>
      <c r="B39" s="203"/>
      <c r="C39" s="203" t="n">
        <f aca="false">+C37-C38</f>
        <v>-97145.3103732458</v>
      </c>
      <c r="D39" s="203" t="n">
        <f aca="false">+D37-D38</f>
        <v>-99434.070133104</v>
      </c>
      <c r="E39" s="203" t="n">
        <f aca="false">+E37-E38</f>
        <v>33213.8619852393</v>
      </c>
      <c r="F39" s="203" t="n">
        <f aca="false">+F37-F38</f>
        <v>215034.773388694</v>
      </c>
      <c r="G39" s="326" t="n">
        <f aca="false">+G37-G38</f>
        <v>447615.412203247</v>
      </c>
      <c r="H39" s="0"/>
    </row>
    <row r="40" customFormat="false" ht="12.75" hidden="false" customHeight="false" outlineLevel="0" collapsed="false">
      <c r="A40" s="327"/>
      <c r="B40" s="218"/>
      <c r="C40" s="328"/>
      <c r="D40" s="328"/>
      <c r="E40" s="328"/>
      <c r="F40" s="328"/>
      <c r="G40" s="329"/>
      <c r="H40" s="0"/>
    </row>
    <row r="41" customFormat="false" ht="12.75" hidden="false" customHeight="false" outlineLevel="0" collapsed="false">
      <c r="A41" s="325" t="s">
        <v>363</v>
      </c>
      <c r="B41" s="200"/>
      <c r="C41" s="203" t="n">
        <f aca="false">+C33-C36</f>
        <v>-112834.383573246</v>
      </c>
      <c r="D41" s="203" t="n">
        <f aca="false">+D33-D36</f>
        <v>-127965.095333104</v>
      </c>
      <c r="E41" s="203" t="n">
        <f aca="false">+E33-E36</f>
        <v>-9007.20501476069</v>
      </c>
      <c r="F41" s="203" t="n">
        <f aca="false">+F33-F36</f>
        <v>162828.527322916</v>
      </c>
      <c r="G41" s="326" t="n">
        <f aca="false">+G33-G36</f>
        <v>389397.747375247</v>
      </c>
      <c r="H41" s="0"/>
    </row>
    <row r="42" customFormat="false" ht="12.75" hidden="false" customHeight="false" outlineLevel="0" collapsed="false">
      <c r="A42" s="327"/>
      <c r="B42" s="218"/>
      <c r="C42" s="155"/>
      <c r="D42" s="155"/>
      <c r="E42" s="155"/>
      <c r="F42" s="155"/>
      <c r="G42" s="330"/>
      <c r="H42" s="0"/>
    </row>
    <row r="43" customFormat="false" ht="12.75" hidden="false" customHeight="false" outlineLevel="0" collapsed="false">
      <c r="A43" s="325" t="s">
        <v>364</v>
      </c>
      <c r="B43" s="200"/>
      <c r="C43" s="200"/>
      <c r="D43" s="200" t="n">
        <f aca="false">D33-C33</f>
        <v>-3819.24799025824</v>
      </c>
      <c r="E43" s="200" t="n">
        <f aca="false">E33-D33</f>
        <v>135707.666050273</v>
      </c>
      <c r="F43" s="200" t="n">
        <f aca="false">F33-E33</f>
        <v>181142.641026866</v>
      </c>
      <c r="G43" s="324" t="n">
        <f aca="false">G33-F33</f>
        <v>234267.975286661</v>
      </c>
      <c r="H43" s="0"/>
    </row>
    <row r="44" customFormat="false" ht="12.75" hidden="false" customHeight="false" outlineLevel="0" collapsed="false">
      <c r="A44" s="325" t="s">
        <v>365</v>
      </c>
      <c r="B44" s="200"/>
      <c r="C44" s="200"/>
      <c r="D44" s="200" t="n">
        <f aca="false">D36-C36</f>
        <v>11311.4637696</v>
      </c>
      <c r="E44" s="200" t="n">
        <f aca="false">E36-D36</f>
        <v>16749.7757319296</v>
      </c>
      <c r="F44" s="200" t="n">
        <f aca="false">F36-E36</f>
        <v>9306.90868918977</v>
      </c>
      <c r="G44" s="324" t="n">
        <f aca="false">G36-F36</f>
        <v>7698.75523432948</v>
      </c>
      <c r="H44" s="0"/>
    </row>
    <row r="45" customFormat="false" ht="12.75" hidden="false" customHeight="false" outlineLevel="0" collapsed="false">
      <c r="A45" s="331" t="s">
        <v>366</v>
      </c>
      <c r="B45" s="319"/>
      <c r="C45" s="319"/>
      <c r="D45" s="319" t="n">
        <f aca="false">D39-C39</f>
        <v>-2288.75975985824</v>
      </c>
      <c r="E45" s="319" t="n">
        <f aca="false">E39-D39</f>
        <v>132647.932118343</v>
      </c>
      <c r="F45" s="319" t="n">
        <f aca="false">F39-E39</f>
        <v>181820.911403455</v>
      </c>
      <c r="G45" s="332" t="n">
        <f aca="false">G39-F39</f>
        <v>232580.638814553</v>
      </c>
      <c r="H45" s="0"/>
    </row>
    <row r="46" customFormat="false" ht="12.75" hidden="false" customHeight="false" outlineLevel="0" collapsed="false">
      <c r="A46" s="0"/>
      <c r="B46" s="0"/>
      <c r="C46" s="0"/>
      <c r="D46" s="0"/>
      <c r="E46" s="0"/>
      <c r="F46" s="0"/>
      <c r="G46" s="0"/>
      <c r="H46" s="0"/>
    </row>
    <row r="47" customFormat="false" ht="12.75" hidden="false" customHeight="false" outlineLevel="0" collapsed="false">
      <c r="A47" s="303" t="s">
        <v>367</v>
      </c>
      <c r="B47" s="304" t="n">
        <f aca="false">+B5</f>
        <v>2016</v>
      </c>
      <c r="C47" s="304" t="n">
        <f aca="false">+C5</f>
        <v>2017</v>
      </c>
      <c r="D47" s="304" t="n">
        <f aca="false">+D5</f>
        <v>2018</v>
      </c>
      <c r="E47" s="304" t="n">
        <f aca="false">+E5</f>
        <v>2019</v>
      </c>
      <c r="F47" s="304" t="n">
        <f aca="false">+F5</f>
        <v>2020</v>
      </c>
      <c r="G47" s="305" t="n">
        <f aca="false">+G5</f>
        <v>2021</v>
      </c>
      <c r="H47" s="0"/>
    </row>
    <row r="48" customFormat="false" ht="12.75" hidden="false" customHeight="false" outlineLevel="0" collapsed="false">
      <c r="A48" s="306" t="s">
        <v>81</v>
      </c>
      <c r="B48" s="230"/>
      <c r="C48" s="279" t="n">
        <f aca="false">+DR!D13</f>
        <v>35033.28</v>
      </c>
      <c r="D48" s="279" t="n">
        <f aca="false">+DR!E13</f>
        <v>127181.32224</v>
      </c>
      <c r="E48" s="279" t="n">
        <f aca="false">+DR!F13</f>
        <v>264438.92826624</v>
      </c>
      <c r="F48" s="279" t="n">
        <f aca="false">+DR!G13</f>
        <v>343573.225142784</v>
      </c>
      <c r="G48" s="333" t="n">
        <f aca="false">+DR!H13</f>
        <v>407496.010468485</v>
      </c>
      <c r="H48" s="0"/>
    </row>
    <row r="49" customFormat="false" ht="12.75" hidden="false" customHeight="false" outlineLevel="0" collapsed="false">
      <c r="A49" s="306" t="s">
        <v>368</v>
      </c>
      <c r="B49" s="230"/>
      <c r="C49" s="230" t="n">
        <f aca="false">+C48/DR!D25</f>
        <v>-0.425865082818931</v>
      </c>
      <c r="D49" s="230" t="n">
        <f aca="false">+D48/DR!E25</f>
        <v>-99.7491053261799</v>
      </c>
      <c r="E49" s="230" t="n">
        <f aca="false">+E48/DR!F25</f>
        <v>2.0521482302198</v>
      </c>
      <c r="F49" s="230" t="n">
        <f aca="false">+F48/DR!G25</f>
        <v>1.64167121225606</v>
      </c>
      <c r="G49" s="307" t="n">
        <f aca="false">+G48/DR!H25</f>
        <v>1.51551193219464</v>
      </c>
      <c r="H49" s="0"/>
    </row>
    <row r="50" customFormat="false" ht="12.75" hidden="false" customHeight="false" outlineLevel="0" collapsed="false">
      <c r="A50" s="306" t="s">
        <v>369</v>
      </c>
      <c r="B50" s="230"/>
      <c r="C50" s="279" t="n">
        <f aca="false">(DR!D15+DR!D18+DR!D23+DR!D24)/(Indicadores!C48/DR!D9)</f>
        <v>240987.27353191</v>
      </c>
      <c r="D50" s="279" t="n">
        <f aca="false">(DR!E15+DR!E18+DR!E23+DR!E24)/(Indicadores!D48/DR!E9)</f>
        <v>215766.388892753</v>
      </c>
      <c r="E50" s="279" t="n">
        <f aca="false">(DR!F15+DR!F18+DR!F23+DR!F24)/(Indicadores!E48/DR!F9)</f>
        <v>216424.660999798</v>
      </c>
      <c r="F50" s="279" t="n">
        <f aca="false">(DR!G15+DR!G18+DR!G23+DR!G24)/(Indicadores!F48/DR!G9)</f>
        <v>212428.193123248</v>
      </c>
      <c r="G50" s="333" t="n">
        <f aca="false">(DR!H15+DR!H18+DR!H23+DR!H24)/(Indicadores!G48/DR!H9)</f>
        <v>218145.948409959</v>
      </c>
      <c r="H50" s="19" t="s">
        <v>370</v>
      </c>
    </row>
    <row r="51" customFormat="false" ht="12.75" hidden="false" customHeight="false" outlineLevel="0" collapsed="false">
      <c r="A51" s="308" t="s">
        <v>371</v>
      </c>
      <c r="B51" s="309"/>
      <c r="C51" s="309" t="n">
        <f aca="false">+(DR!D9/Indicadores!C50)-1</f>
        <v>-0.70132862642446</v>
      </c>
      <c r="D51" s="309" t="n">
        <f aca="false">+(DR!E9/Indicadores!D50)-1</f>
        <v>-0.00992564645375726</v>
      </c>
      <c r="E51" s="309" t="n">
        <f aca="false">+(DR!F9/Indicadores!E50)-1</f>
        <v>0.950436422623735</v>
      </c>
      <c r="F51" s="309" t="n">
        <f aca="false">+(DR!G9/Indicadores!F50)-1</f>
        <v>1.55843051846456</v>
      </c>
      <c r="G51" s="310" t="n">
        <f aca="false">+(DR!H9/Indicadores!G50)-1</f>
        <v>1.93981930882336</v>
      </c>
      <c r="H51" s="19" t="s">
        <v>372</v>
      </c>
    </row>
    <row r="52" customFormat="false" ht="12.75" hidden="false" customHeight="false" outlineLevel="0" collapsed="false">
      <c r="H52" s="0"/>
    </row>
    <row r="53" customFormat="false" ht="12.75" hidden="false" customHeight="false" outlineLevel="0" collapsed="false">
      <c r="H53" s="19" t="s">
        <v>373</v>
      </c>
    </row>
  </sheetData>
  <mergeCells count="1">
    <mergeCell ref="A3:G3"/>
  </mergeCells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8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94" activeCellId="0" sqref="E94"/>
    </sheetView>
  </sheetViews>
  <sheetFormatPr defaultRowHeight="12.75"/>
  <cols>
    <col collapsed="false" hidden="false" max="1" min="1" style="19" width="30.9464285714286"/>
    <col collapsed="false" hidden="false" max="9" min="2" style="19" width="11.2232142857143"/>
    <col collapsed="false" hidden="false" max="10" min="10" style="19" width="8.74107142857143"/>
    <col collapsed="false" hidden="false" max="11" min="11" style="19" width="11.6919642857143"/>
    <col collapsed="false" hidden="false" max="13" min="12" style="19" width="8.74107142857143"/>
    <col collapsed="false" hidden="false" max="14" min="14" style="19" width="14.6473214285714"/>
    <col collapsed="false" hidden="false" max="15" min="15" style="19" width="12.875"/>
    <col collapsed="false" hidden="false" max="1025" min="16" style="19" width="8.74107142857143"/>
  </cols>
  <sheetData>
    <row r="1" customFormat="false" ht="13.5" hidden="false" customHeight="false" outlineLevel="0" collapsed="false">
      <c r="A1" s="20" t="str">
        <f aca="false">+VN!A1</f>
        <v>Empresa:</v>
      </c>
      <c r="B1" s="57" t="str">
        <f aca="false">+Pressupostos!B1</f>
        <v>Herbawatter</v>
      </c>
      <c r="C1" s="302"/>
      <c r="D1" s="302"/>
      <c r="E1" s="302"/>
      <c r="F1" s="302"/>
      <c r="G1" s="302"/>
      <c r="H1" s="302"/>
      <c r="I1" s="302"/>
      <c r="J1" s="290"/>
      <c r="K1" s="0"/>
      <c r="L1" s="0"/>
      <c r="M1" s="0"/>
      <c r="N1" s="0"/>
      <c r="O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.75" hidden="false" customHeight="false" outlineLevel="0" collapsed="false">
      <c r="A3" s="23" t="s">
        <v>374</v>
      </c>
      <c r="B3" s="23"/>
      <c r="C3" s="23"/>
      <c r="D3" s="23"/>
      <c r="E3" s="23"/>
      <c r="F3" s="23"/>
      <c r="G3" s="23"/>
      <c r="H3" s="23"/>
      <c r="I3" s="23"/>
      <c r="J3" s="0"/>
      <c r="K3" s="0"/>
      <c r="L3" s="0"/>
      <c r="M3" s="0"/>
      <c r="N3" s="0"/>
      <c r="O3" s="0"/>
    </row>
    <row r="4" customFormat="false" ht="12.7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customFormat="false" ht="12.7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30"/>
      <c r="L5" s="30"/>
      <c r="M5" s="30"/>
      <c r="N5" s="30"/>
      <c r="O5" s="30"/>
    </row>
    <row r="6" customFormat="false" ht="12.75" hidden="false" customHeight="false" outlineLevel="0" collapsed="false">
      <c r="A6" s="181" t="s">
        <v>375</v>
      </c>
      <c r="B6" s="181"/>
      <c r="C6" s="64" t="n">
        <f aca="false">+VN!C5</f>
        <v>2016</v>
      </c>
      <c r="D6" s="64" t="n">
        <f aca="false">+VN!D5</f>
        <v>2017</v>
      </c>
      <c r="E6" s="64" t="n">
        <f aca="false">+VN!E5</f>
        <v>2018</v>
      </c>
      <c r="F6" s="64" t="n">
        <f aca="false">+VN!F5</f>
        <v>2019</v>
      </c>
      <c r="G6" s="64" t="n">
        <f aca="false">+VN!G5</f>
        <v>2020</v>
      </c>
      <c r="H6" s="64" t="n">
        <f aca="false">+VN!H5</f>
        <v>2021</v>
      </c>
      <c r="I6" s="64" t="n">
        <f aca="false">+H6+1</f>
        <v>2022</v>
      </c>
      <c r="J6" s="0"/>
      <c r="K6" s="82"/>
      <c r="L6" s="82" t="s">
        <v>97</v>
      </c>
      <c r="M6" s="82" t="s">
        <v>376</v>
      </c>
      <c r="N6" s="82"/>
      <c r="O6" s="30"/>
    </row>
    <row r="7" customFormat="false" ht="12.75" hidden="false" customHeight="false" outlineLevel="0" collapsed="false">
      <c r="A7" s="218"/>
      <c r="B7" s="218"/>
      <c r="C7" s="334"/>
      <c r="D7" s="334"/>
      <c r="E7" s="334"/>
      <c r="F7" s="334"/>
      <c r="G7" s="334"/>
      <c r="H7" s="334"/>
      <c r="I7" s="334"/>
      <c r="J7" s="0"/>
      <c r="K7" s="82" t="s">
        <v>218</v>
      </c>
      <c r="L7" s="335" t="n">
        <f aca="false">+C13</f>
        <v>-74327.5798333333</v>
      </c>
      <c r="M7" s="335" t="n">
        <f aca="false">+L7</f>
        <v>-74327.5798333333</v>
      </c>
      <c r="N7" s="336" t="n">
        <f aca="false">IF(M7&gt;0,M7/L7*12)</f>
        <v>0</v>
      </c>
      <c r="O7" s="30"/>
    </row>
    <row r="8" customFormat="false" ht="12.75" hidden="false" customHeight="false" outlineLevel="0" collapsed="false">
      <c r="A8" s="91" t="s">
        <v>377</v>
      </c>
      <c r="B8" s="120"/>
      <c r="C8" s="337" t="n">
        <f aca="false">+'Cash Flow'!C20</f>
        <v>-74327.5798333333</v>
      </c>
      <c r="D8" s="337" t="n">
        <f aca="false">+'Cash Flow'!D20</f>
        <v>-50185.2306</v>
      </c>
      <c r="E8" s="337" t="n">
        <f aca="false">+'Cash Flow'!E20</f>
        <v>2282.06398613334</v>
      </c>
      <c r="F8" s="337" t="n">
        <f aca="false">+'Cash Flow'!F20</f>
        <v>102507.149806349</v>
      </c>
      <c r="G8" s="337" t="n">
        <f aca="false">+'Cash Flow'!G20</f>
        <v>162339.947713909</v>
      </c>
      <c r="H8" s="337" t="n">
        <f aca="false">+'Cash Flow'!H20</f>
        <v>209663.706499695</v>
      </c>
      <c r="I8" s="337" t="n">
        <f aca="false">(H8*(1+Pressupostos!B27))/(Avaliação!I10-Pressupostos!B27)</f>
        <v>1874883.22913779</v>
      </c>
      <c r="J8" s="0"/>
      <c r="K8" s="82" t="s">
        <v>226</v>
      </c>
      <c r="L8" s="335" t="n">
        <f aca="false">+D13</f>
        <v>-43831.80946188</v>
      </c>
      <c r="M8" s="335" t="n">
        <f aca="false">+M7+L8</f>
        <v>-118159.389295213</v>
      </c>
      <c r="N8" s="338" t="n">
        <f aca="false">IF(M8&gt;0,M8/L8*12)</f>
        <v>0</v>
      </c>
      <c r="O8" s="30"/>
    </row>
    <row r="9" customFormat="false" ht="12.75" hidden="false" customHeight="false" outlineLevel="0" collapsed="false">
      <c r="A9" s="339"/>
      <c r="B9" s="82"/>
      <c r="C9" s="340"/>
      <c r="D9" s="340"/>
      <c r="E9" s="340"/>
      <c r="F9" s="340"/>
      <c r="G9" s="340"/>
      <c r="H9" s="340"/>
      <c r="I9" s="340"/>
      <c r="J9" s="0"/>
      <c r="K9" s="82" t="s">
        <v>227</v>
      </c>
      <c r="L9" s="335" t="n">
        <f aca="false">+E13</f>
        <v>1745.33490756651</v>
      </c>
      <c r="M9" s="335" t="n">
        <f aca="false">+M8+L9</f>
        <v>-116414.054387647</v>
      </c>
      <c r="N9" s="338" t="n">
        <f aca="false">IF(M9&gt;0,M9/L9*12)</f>
        <v>0</v>
      </c>
      <c r="O9" s="30"/>
    </row>
    <row r="10" customFormat="false" ht="12.75" hidden="false" customHeight="false" outlineLevel="0" collapsed="false">
      <c r="A10" s="173" t="s">
        <v>378</v>
      </c>
      <c r="B10" s="341"/>
      <c r="C10" s="342" t="n">
        <f aca="false">+E31</f>
        <v>0.19031102857752</v>
      </c>
      <c r="D10" s="342" t="n">
        <f aca="false">+E36</f>
        <v>0.144950008136111</v>
      </c>
      <c r="E10" s="342" t="n">
        <f aca="false">+E41</f>
        <v>0.141990570462425</v>
      </c>
      <c r="F10" s="342" t="n">
        <f aca="false">+E46</f>
        <v>0.10508093062762</v>
      </c>
      <c r="G10" s="342" t="n">
        <f aca="false">+E51</f>
        <v>0.132327654407993</v>
      </c>
      <c r="H10" s="342" t="n">
        <f aca="false">+E56</f>
        <v>0.13406416</v>
      </c>
      <c r="I10" s="342" t="n">
        <f aca="false">+H10</f>
        <v>0.13406416</v>
      </c>
      <c r="J10" s="0"/>
      <c r="K10" s="82" t="s">
        <v>229</v>
      </c>
      <c r="L10" s="335" t="n">
        <f aca="false">+F13</f>
        <v>70943.2419707631</v>
      </c>
      <c r="M10" s="335" t="n">
        <f aca="false">+M9+L10</f>
        <v>-45470.8124168838</v>
      </c>
      <c r="N10" s="343" t="n">
        <f aca="false">IF(M10&gt;0,M10/L10*12)</f>
        <v>0</v>
      </c>
      <c r="O10" s="30"/>
    </row>
    <row r="11" customFormat="false" ht="12.75" hidden="false" customHeight="false" outlineLevel="0" collapsed="false">
      <c r="A11" s="344" t="s">
        <v>379</v>
      </c>
      <c r="B11" s="345"/>
      <c r="C11" s="346" t="n">
        <v>1</v>
      </c>
      <c r="D11" s="347" t="n">
        <f aca="false">+C11*(1+D10)</f>
        <v>1.14495000813611</v>
      </c>
      <c r="E11" s="347" t="n">
        <f aca="false">+D11*(1+E10)</f>
        <v>1.30752211294232</v>
      </c>
      <c r="F11" s="347" t="n">
        <f aca="false">+E11*(1+F10)</f>
        <v>1.44491775338649</v>
      </c>
      <c r="G11" s="347" t="n">
        <f aca="false">+F11*(1+G10)</f>
        <v>1.63612033050459</v>
      </c>
      <c r="H11" s="347" t="n">
        <f aca="false">+G11*(1+H10)</f>
        <v>1.85546542827261</v>
      </c>
      <c r="I11" s="347" t="n">
        <f aca="false">+H11*(1+I10)</f>
        <v>2.10421684232301</v>
      </c>
      <c r="J11" s="0"/>
      <c r="K11" s="82" t="s">
        <v>230</v>
      </c>
      <c r="L11" s="335" t="n">
        <f aca="false">+G13</f>
        <v>99222.4989123154</v>
      </c>
      <c r="M11" s="335" t="n">
        <f aca="false">+M10+L11</f>
        <v>53751.6864954316</v>
      </c>
      <c r="N11" s="343" t="n">
        <f aca="false">IF(M11&gt;0,M11/L11*12)</f>
        <v>6.50074574835285</v>
      </c>
      <c r="O11" s="30"/>
    </row>
    <row r="12" customFormat="false" ht="12.75" hidden="false" customHeight="false" outlineLevel="0" collapsed="false">
      <c r="A12" s="0"/>
      <c r="B12" s="348"/>
      <c r="C12" s="348"/>
      <c r="D12" s="348"/>
      <c r="E12" s="348"/>
      <c r="F12" s="348"/>
      <c r="G12" s="348"/>
      <c r="H12" s="348"/>
      <c r="I12" s="348"/>
      <c r="J12" s="0"/>
      <c r="K12" s="82" t="s">
        <v>231</v>
      </c>
      <c r="L12" s="335" t="n">
        <f aca="false">+H13</f>
        <v>112997.905164359</v>
      </c>
      <c r="M12" s="335" t="n">
        <f aca="false">+M11+L12</f>
        <v>166749.591659791</v>
      </c>
      <c r="N12" s="343" t="n">
        <f aca="false">IF(M12&gt;0,M12/L12*12)</f>
        <v>17.708249520263</v>
      </c>
      <c r="O12" s="30"/>
    </row>
    <row r="13" customFormat="false" ht="12.75" hidden="false" customHeight="false" outlineLevel="0" collapsed="false">
      <c r="A13" s="91" t="s">
        <v>380</v>
      </c>
      <c r="B13" s="120"/>
      <c r="C13" s="337" t="n">
        <f aca="false">+C8/C11</f>
        <v>-74327.5798333333</v>
      </c>
      <c r="D13" s="337" t="n">
        <f aca="false">+D8/D11</f>
        <v>-43831.80946188</v>
      </c>
      <c r="E13" s="337" t="n">
        <f aca="false">+E8/E11</f>
        <v>1745.33490756651</v>
      </c>
      <c r="F13" s="337" t="n">
        <f aca="false">+F8/F11</f>
        <v>70943.2419707631</v>
      </c>
      <c r="G13" s="337" t="n">
        <f aca="false">+G8/G11</f>
        <v>99222.4989123154</v>
      </c>
      <c r="H13" s="337" t="n">
        <f aca="false">+H8/H11</f>
        <v>112997.905164359</v>
      </c>
      <c r="I13" s="337" t="n">
        <f aca="false">+I8/I11</f>
        <v>891012.366894636</v>
      </c>
      <c r="J13" s="0"/>
      <c r="K13" s="30"/>
      <c r="L13" s="30"/>
      <c r="M13" s="30"/>
      <c r="N13" s="30"/>
      <c r="O13" s="30"/>
    </row>
    <row r="14" customFormat="false" ht="12.75" hidden="false" customHeight="false" outlineLevel="0" collapsed="false">
      <c r="A14" s="0"/>
      <c r="B14" s="218"/>
      <c r="C14" s="349"/>
      <c r="D14" s="0"/>
      <c r="E14" s="0"/>
      <c r="F14" s="0"/>
      <c r="G14" s="334"/>
      <c r="H14" s="334"/>
      <c r="I14" s="334"/>
      <c r="J14" s="0"/>
      <c r="K14" s="30"/>
      <c r="L14" s="30"/>
      <c r="M14" s="30"/>
      <c r="N14" s="30"/>
      <c r="O14" s="30"/>
    </row>
    <row r="15" customFormat="false" ht="12.75" hidden="false" customHeight="false" outlineLevel="0" collapsed="false">
      <c r="A15" s="91"/>
      <c r="B15" s="120"/>
      <c r="C15" s="337" t="n">
        <f aca="false">+C13</f>
        <v>-74327.5798333333</v>
      </c>
      <c r="D15" s="337" t="n">
        <f aca="false">+SUM($C$13:D13)</f>
        <v>-118159.389295213</v>
      </c>
      <c r="E15" s="337" t="n">
        <f aca="false">+SUM($C$13:E13)</f>
        <v>-116414.054387647</v>
      </c>
      <c r="F15" s="337" t="n">
        <f aca="false">+SUM($C$13:F13)</f>
        <v>-45470.8124168838</v>
      </c>
      <c r="G15" s="337" t="n">
        <f aca="false">+SUM($C$13:G13)</f>
        <v>53751.6864954317</v>
      </c>
      <c r="H15" s="337" t="n">
        <f aca="false">+SUM($C$13:H13)</f>
        <v>166749.591659791</v>
      </c>
      <c r="I15" s="337" t="n">
        <f aca="false">+SUM($C$13:I13)</f>
        <v>1057761.95855443</v>
      </c>
      <c r="J15" s="0"/>
      <c r="K15" s="30"/>
      <c r="L15" s="30"/>
      <c r="M15" s="30"/>
      <c r="N15" s="30"/>
      <c r="O15" s="30"/>
    </row>
    <row r="16" customFormat="false" ht="12.75" hidden="false" customHeight="false" outlineLevel="0" collapsed="false">
      <c r="A16" s="0"/>
      <c r="B16" s="218"/>
      <c r="C16" s="349"/>
      <c r="D16" s="0"/>
      <c r="E16" s="0"/>
      <c r="F16" s="0"/>
      <c r="G16" s="334"/>
      <c r="H16" s="334"/>
      <c r="I16" s="334"/>
      <c r="J16" s="0"/>
      <c r="K16" s="30"/>
      <c r="L16" s="30"/>
      <c r="M16" s="30"/>
      <c r="N16" s="30"/>
      <c r="O16" s="30"/>
    </row>
    <row r="17" customFormat="false" ht="12.75" hidden="false" customHeight="false" outlineLevel="0" collapsed="false">
      <c r="A17" s="91" t="s">
        <v>381</v>
      </c>
      <c r="B17" s="120"/>
      <c r="C17" s="337" t="n">
        <f aca="false">+I15</f>
        <v>1057761.95855443</v>
      </c>
      <c r="D17" s="349"/>
      <c r="E17" s="334"/>
      <c r="F17" s="350"/>
      <c r="G17" s="351"/>
      <c r="H17" s="349"/>
      <c r="I17" s="349"/>
      <c r="J17" s="0"/>
      <c r="K17" s="30"/>
      <c r="L17" s="30"/>
      <c r="M17" s="30"/>
      <c r="N17" s="30"/>
      <c r="O17" s="30"/>
    </row>
    <row r="18" customFormat="false" ht="12.75" hidden="false" customHeight="false" outlineLevel="0" collapsed="false">
      <c r="A18" s="0"/>
      <c r="B18" s="352"/>
      <c r="C18" s="334"/>
      <c r="D18" s="334"/>
      <c r="E18" s="334"/>
      <c r="F18" s="334"/>
      <c r="G18" s="334"/>
      <c r="H18" s="334"/>
      <c r="I18" s="334"/>
      <c r="J18" s="0"/>
      <c r="K18" s="30"/>
      <c r="L18" s="30"/>
      <c r="M18" s="30"/>
      <c r="N18" s="30"/>
      <c r="O18" s="30"/>
    </row>
    <row r="19" customFormat="false" ht="12.75" hidden="false" customHeight="false" outlineLevel="0" collapsed="false">
      <c r="A19" s="91"/>
      <c r="B19" s="120"/>
      <c r="C19" s="230" t="e">
        <f aca="false">+IRR(C13,0.1)</f>
        <v>#VALUE!</v>
      </c>
      <c r="D19" s="230" t="e">
        <f aca="false">+IRR($C$13:D13,0.1)</f>
        <v>#N/A</v>
      </c>
      <c r="E19" s="230" t="e">
        <f aca="false">+IRR($C$13:E13,0.1)</f>
        <v>#N/A</v>
      </c>
      <c r="F19" s="230" t="n">
        <f aca="false">+IRR($C$13:F13,0.1)</f>
        <v>-0.17135257269742</v>
      </c>
      <c r="G19" s="230" t="n">
        <f aca="false">+IRR($C$13:G13,0.1)</f>
        <v>0.12456314617222</v>
      </c>
      <c r="H19" s="230" t="n">
        <f aca="false">+IRR($C$13:H13,0.1)</f>
        <v>0.267501123584598</v>
      </c>
      <c r="I19" s="230" t="n">
        <f aca="false">+IRR($C$13:I13,0.1)</f>
        <v>0.584160539740038</v>
      </c>
      <c r="J19" s="0"/>
      <c r="K19" s="0"/>
      <c r="L19" s="0"/>
      <c r="M19" s="0"/>
      <c r="N19" s="0"/>
    </row>
    <row r="20" customFormat="false" ht="12.75" hidden="false" customHeight="false" outlineLevel="0" collapsed="false">
      <c r="A20" s="0"/>
      <c r="B20" s="352"/>
      <c r="C20" s="334"/>
      <c r="D20" s="334"/>
      <c r="E20" s="334"/>
      <c r="F20" s="334"/>
      <c r="G20" s="334"/>
      <c r="H20" s="334"/>
      <c r="I20" s="334"/>
      <c r="J20" s="0"/>
      <c r="K20" s="0"/>
      <c r="L20" s="0"/>
      <c r="M20" s="0"/>
      <c r="N20" s="0"/>
    </row>
    <row r="21" customFormat="false" ht="12.75" hidden="false" customHeight="false" outlineLevel="0" collapsed="false">
      <c r="A21" s="91" t="s">
        <v>382</v>
      </c>
      <c r="B21" s="120"/>
      <c r="C21" s="353" t="n">
        <f aca="false">+I19</f>
        <v>0.584160539740038</v>
      </c>
      <c r="D21" s="354"/>
      <c r="E21" s="354"/>
      <c r="F21" s="354"/>
      <c r="G21" s="354"/>
      <c r="H21" s="334"/>
      <c r="I21" s="334"/>
      <c r="J21" s="0"/>
      <c r="K21" s="0"/>
      <c r="L21" s="0"/>
      <c r="M21" s="0"/>
      <c r="N21" s="0"/>
    </row>
    <row r="22" customFormat="false" ht="12.7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customFormat="false" ht="12.75" hidden="false" customHeight="false" outlineLevel="0" collapsed="false">
      <c r="A23" s="91" t="s">
        <v>383</v>
      </c>
      <c r="B23" s="120"/>
      <c r="C23" s="337" t="n">
        <f aca="false">COUNTIF(N7:N12,"false")</f>
        <v>4</v>
      </c>
      <c r="D23" s="355" t="s">
        <v>384</v>
      </c>
      <c r="E23" s="0"/>
      <c r="F23" s="0"/>
      <c r="G23" s="0"/>
      <c r="H23" s="0"/>
      <c r="I23" s="0"/>
      <c r="J23" s="0"/>
      <c r="K23" s="0"/>
      <c r="L23" s="0"/>
      <c r="M23" s="0"/>
      <c r="N23" s="0"/>
    </row>
    <row r="24" customFormat="false" ht="12.7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customFormat="false" ht="12.75" hidden="false" customHeight="false" outlineLevel="0" collapsed="false">
      <c r="A25" s="0"/>
      <c r="B25" s="356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customFormat="false" ht="12.75" hidden="false" customHeight="false" outlineLevel="0" collapsed="false">
      <c r="A26" s="49" t="s">
        <v>378</v>
      </c>
      <c r="B26" s="357"/>
      <c r="C26" s="3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customFormat="false" ht="12.75" hidden="false" customHeight="false" outlineLevel="0" collapsed="false">
      <c r="A27" s="0"/>
      <c r="B27" s="82" t="s">
        <v>385</v>
      </c>
      <c r="C27" s="82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customFormat="false" ht="12.75" hidden="false" customHeight="false" outlineLevel="0" collapsed="false">
      <c r="A28" s="358" t="s">
        <v>218</v>
      </c>
      <c r="B28" s="359" t="s">
        <v>218</v>
      </c>
      <c r="C28" s="359"/>
      <c r="D28" s="358" t="s">
        <v>386</v>
      </c>
      <c r="E28" s="19" t="s">
        <v>387</v>
      </c>
      <c r="F28" s="0"/>
      <c r="G28" s="0"/>
      <c r="H28" s="0"/>
      <c r="I28" s="0"/>
      <c r="J28" s="0"/>
      <c r="K28" s="0"/>
      <c r="L28" s="0"/>
      <c r="M28" s="0"/>
      <c r="N28" s="0"/>
    </row>
    <row r="29" customFormat="false" ht="13.5" hidden="false" customHeight="true" outlineLevel="0" collapsed="false">
      <c r="A29" s="19" t="s">
        <v>388</v>
      </c>
      <c r="B29" s="360" t="n">
        <f aca="false">+SUM(Balanço!C37:C40)</f>
        <v>20600</v>
      </c>
      <c r="C29" s="25" t="n">
        <f aca="false">+B29/B31</f>
        <v>-0.730157730962715</v>
      </c>
      <c r="D29" s="361" t="n">
        <f aca="false">+Pressupostos!B22</f>
        <v>0.06</v>
      </c>
      <c r="E29" s="362" t="n">
        <f aca="false">D29*(1-Pressupostos!$B$18)*C29</f>
        <v>-0.0346094764476327</v>
      </c>
      <c r="F29" s="0"/>
      <c r="G29" s="0"/>
      <c r="H29" s="0"/>
      <c r="I29" s="0"/>
      <c r="J29" s="0"/>
      <c r="K29" s="0"/>
      <c r="L29" s="0"/>
      <c r="M29" s="0"/>
      <c r="N29" s="0"/>
    </row>
    <row r="30" customFormat="false" ht="12.75" hidden="false" customHeight="false" outlineLevel="0" collapsed="false">
      <c r="A30" s="19" t="s">
        <v>389</v>
      </c>
      <c r="B30" s="246" t="n">
        <f aca="false">+Balanço!C32</f>
        <v>-48813.0820868511</v>
      </c>
      <c r="C30" s="25" t="n">
        <f aca="false">+B30/B31</f>
        <v>1.73015773096272</v>
      </c>
      <c r="D30" s="361" t="n">
        <f aca="false">C64+(Pressupostos!$B$26*Pressupostos!$B$25)</f>
        <v>0.13</v>
      </c>
      <c r="E30" s="362" t="n">
        <f aca="false">+C30*D30</f>
        <v>0.224920505025153</v>
      </c>
      <c r="F30" s="0"/>
      <c r="G30" s="0"/>
      <c r="H30" s="0"/>
      <c r="I30" s="0"/>
      <c r="J30" s="0"/>
      <c r="K30" s="0"/>
      <c r="L30" s="0"/>
      <c r="M30" s="0"/>
      <c r="N30" s="0"/>
    </row>
    <row r="31" customFormat="false" ht="12.75" hidden="false" customHeight="false" outlineLevel="0" collapsed="false">
      <c r="A31" s="0"/>
      <c r="B31" s="363" t="n">
        <f aca="false">SUM(B29:B30)</f>
        <v>-28213.0820868511</v>
      </c>
      <c r="C31" s="364" t="n">
        <f aca="false">SUM(C29:C30)</f>
        <v>1</v>
      </c>
      <c r="D31" s="0"/>
      <c r="E31" s="365" t="n">
        <f aca="false">SUM(E29:E30)</f>
        <v>0.19031102857752</v>
      </c>
      <c r="F31" s="0"/>
      <c r="G31" s="0"/>
      <c r="H31" s="0"/>
      <c r="I31" s="0"/>
      <c r="J31" s="0"/>
      <c r="K31" s="0"/>
      <c r="L31" s="0"/>
      <c r="M31" s="0"/>
      <c r="N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customFormat="false" ht="12.75" hidden="false" customHeight="false" outlineLevel="0" collapsed="false">
      <c r="A33" s="358" t="s">
        <v>226</v>
      </c>
      <c r="B33" s="359" t="s">
        <v>226</v>
      </c>
      <c r="C33" s="359"/>
      <c r="D33" s="358" t="s">
        <v>386</v>
      </c>
      <c r="E33" s="19" t="s">
        <v>387</v>
      </c>
      <c r="F33" s="0"/>
      <c r="G33" s="0"/>
      <c r="H33" s="0"/>
      <c r="I33" s="0"/>
      <c r="J33" s="0"/>
      <c r="K33" s="0"/>
      <c r="L33" s="0"/>
      <c r="M33" s="0"/>
      <c r="N33" s="0"/>
    </row>
    <row r="34" customFormat="false" ht="12.75" hidden="false" customHeight="false" outlineLevel="0" collapsed="false">
      <c r="A34" s="19" t="s">
        <v>388</v>
      </c>
      <c r="B34" s="360" t="n">
        <f aca="false">SUM(Balanço!D37:D40)</f>
        <v>16480</v>
      </c>
      <c r="C34" s="25" t="n">
        <f aca="false">+B34/B36</f>
        <v>-0.180992834577614</v>
      </c>
      <c r="D34" s="361" t="n">
        <f aca="false">+Pressupostos!B22</f>
        <v>0.06</v>
      </c>
      <c r="E34" s="362" t="n">
        <f aca="false">D34*(1-Pressupostos!$B$18)*C34</f>
        <v>-0.00857906035897888</v>
      </c>
      <c r="F34" s="0"/>
      <c r="G34" s="0"/>
      <c r="H34" s="0"/>
      <c r="I34" s="0"/>
      <c r="J34" s="0"/>
      <c r="K34" s="0"/>
      <c r="L34" s="0"/>
      <c r="M34" s="0"/>
      <c r="N34" s="0"/>
    </row>
    <row r="35" customFormat="false" ht="12.75" hidden="false" customHeight="false" outlineLevel="0" collapsed="false">
      <c r="A35" s="19" t="s">
        <v>389</v>
      </c>
      <c r="B35" s="246" t="n">
        <f aca="false">+Balanço!D32</f>
        <v>-107533.328373246</v>
      </c>
      <c r="C35" s="25" t="n">
        <f aca="false">+B35/B36</f>
        <v>1.18099283457761</v>
      </c>
      <c r="D35" s="361" t="n">
        <f aca="false">D64+(Pressupostos!$B$26*Pressupostos!$B$25)</f>
        <v>0.13</v>
      </c>
      <c r="E35" s="362" t="n">
        <f aca="false">+C35*D35</f>
        <v>0.15352906849509</v>
      </c>
      <c r="F35" s="0"/>
      <c r="G35" s="0"/>
      <c r="H35" s="0"/>
      <c r="I35" s="0"/>
      <c r="J35" s="0"/>
      <c r="K35" s="0"/>
      <c r="L35" s="0"/>
      <c r="M35" s="0"/>
      <c r="N35" s="0"/>
    </row>
    <row r="36" customFormat="false" ht="12.75" hidden="false" customHeight="false" outlineLevel="0" collapsed="false">
      <c r="A36" s="0"/>
      <c r="B36" s="363" t="n">
        <f aca="false">SUM(B34:B35)</f>
        <v>-91053.3283732458</v>
      </c>
      <c r="C36" s="364" t="n">
        <f aca="false">SUM(C34:C35)</f>
        <v>1</v>
      </c>
      <c r="D36" s="0"/>
      <c r="E36" s="365" t="n">
        <f aca="false">SUM(E34:E35)</f>
        <v>0.144950008136111</v>
      </c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2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 customFormat="false" ht="12.75" hidden="false" customHeight="false" outlineLevel="0" collapsed="false">
      <c r="A38" s="358" t="s">
        <v>227</v>
      </c>
      <c r="B38" s="359" t="s">
        <v>226</v>
      </c>
      <c r="C38" s="359"/>
      <c r="D38" s="358" t="s">
        <v>386</v>
      </c>
      <c r="E38" s="19" t="s">
        <v>387</v>
      </c>
      <c r="F38" s="0"/>
      <c r="G38" s="0"/>
      <c r="H38" s="0"/>
      <c r="I38" s="0"/>
      <c r="J38" s="0"/>
      <c r="K38" s="0"/>
      <c r="L38" s="0"/>
      <c r="M38" s="0"/>
      <c r="N38" s="0"/>
    </row>
    <row r="39" customFormat="false" ht="12.75" hidden="false" customHeight="false" outlineLevel="0" collapsed="false">
      <c r="A39" s="19" t="s">
        <v>388</v>
      </c>
      <c r="B39" s="360" t="n">
        <f aca="false">+SUM(Balanço!E37:E40)</f>
        <v>12360</v>
      </c>
      <c r="C39" s="25" t="n">
        <f aca="false">+B39/B41</f>
        <v>-0.120741356189874</v>
      </c>
      <c r="D39" s="361" t="n">
        <f aca="false">+D34</f>
        <v>0.06</v>
      </c>
      <c r="E39" s="362" t="n">
        <f aca="false">D39*(1-Pressupostos!$B$18)*C39</f>
        <v>-0.00572314028340004</v>
      </c>
      <c r="F39" s="0"/>
      <c r="G39" s="0"/>
      <c r="H39" s="0"/>
      <c r="I39" s="0"/>
      <c r="J39" s="0"/>
      <c r="K39" s="0"/>
      <c r="L39" s="0"/>
      <c r="M39" s="0"/>
      <c r="N39" s="0"/>
    </row>
    <row r="40" customFormat="false" ht="12.75" hidden="false" customHeight="false" outlineLevel="0" collapsed="false">
      <c r="A40" s="19" t="s">
        <v>389</v>
      </c>
      <c r="B40" s="246" t="n">
        <f aca="false">+Balanço!E32</f>
        <v>-114727.576363504</v>
      </c>
      <c r="C40" s="25" t="n">
        <f aca="false">+B40/B41</f>
        <v>1.12074135618987</v>
      </c>
      <c r="D40" s="361" t="n">
        <f aca="false">E64+(Pressupostos!$B$26*Pressupostos!$B$25)</f>
        <v>0.1318</v>
      </c>
      <c r="E40" s="362" t="n">
        <f aca="false">+C40*D40</f>
        <v>0.147713710745825</v>
      </c>
      <c r="F40" s="0"/>
      <c r="G40" s="0"/>
      <c r="H40" s="0"/>
      <c r="I40" s="0"/>
      <c r="J40" s="0"/>
      <c r="K40" s="0"/>
      <c r="L40" s="0"/>
      <c r="M40" s="0"/>
      <c r="N40" s="0"/>
    </row>
    <row r="41" customFormat="false" ht="12.75" hidden="false" customHeight="false" outlineLevel="0" collapsed="false">
      <c r="A41" s="0"/>
      <c r="B41" s="363" t="n">
        <f aca="false">SUM(B39:B40)</f>
        <v>-102367.576363504</v>
      </c>
      <c r="C41" s="364" t="n">
        <f aca="false">SUM(C39:C40)</f>
        <v>1</v>
      </c>
      <c r="D41" s="0"/>
      <c r="E41" s="365" t="n">
        <f aca="false">SUM(E39:E40)</f>
        <v>0.141990570462425</v>
      </c>
      <c r="F41" s="0"/>
      <c r="G41" s="0"/>
      <c r="H41" s="0"/>
      <c r="I41" s="0"/>
      <c r="J41" s="0"/>
      <c r="K41" s="0"/>
      <c r="L41" s="0"/>
      <c r="M41" s="0"/>
      <c r="N41" s="0"/>
    </row>
    <row r="42" customFormat="false" ht="12.75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 customFormat="false" ht="12.75" hidden="false" customHeight="false" outlineLevel="0" collapsed="false">
      <c r="A43" s="358" t="s">
        <v>229</v>
      </c>
      <c r="B43" s="359" t="s">
        <v>226</v>
      </c>
      <c r="C43" s="359"/>
      <c r="D43" s="358" t="s">
        <v>386</v>
      </c>
      <c r="E43" s="19" t="s">
        <v>387</v>
      </c>
      <c r="F43" s="0"/>
      <c r="G43" s="0"/>
      <c r="H43" s="0"/>
      <c r="I43" s="0"/>
      <c r="J43" s="0"/>
      <c r="K43" s="0"/>
      <c r="L43" s="0"/>
      <c r="M43" s="0"/>
      <c r="N43" s="0"/>
    </row>
    <row r="44" customFormat="false" ht="12.75" hidden="false" customHeight="false" outlineLevel="0" collapsed="false">
      <c r="A44" s="19" t="s">
        <v>388</v>
      </c>
      <c r="B44" s="360" t="n">
        <f aca="false">+SUM(Balanço!F37:F40)</f>
        <v>8240</v>
      </c>
      <c r="C44" s="25" t="n">
        <f aca="false">+B44/B46</f>
        <v>0.326723659683213</v>
      </c>
      <c r="D44" s="361" t="n">
        <f aca="false">+D39</f>
        <v>0.06</v>
      </c>
      <c r="E44" s="362" t="n">
        <f aca="false">D44*(1-Pressupostos!$B$18)*C44</f>
        <v>0.0154867014689843</v>
      </c>
      <c r="F44" s="0"/>
      <c r="G44" s="0"/>
      <c r="H44" s="0"/>
      <c r="I44" s="0"/>
      <c r="J44" s="0"/>
      <c r="K44" s="0"/>
      <c r="L44" s="0"/>
      <c r="M44" s="0"/>
      <c r="N44" s="0"/>
    </row>
    <row r="45" customFormat="false" ht="12.75" hidden="false" customHeight="false" outlineLevel="0" collapsed="false">
      <c r="A45" s="19" t="s">
        <v>389</v>
      </c>
      <c r="B45" s="246" t="n">
        <f aca="false">+Balanço!F32</f>
        <v>16980.0896867689</v>
      </c>
      <c r="C45" s="25" t="n">
        <f aca="false">+B45/B46</f>
        <v>0.673276340316787</v>
      </c>
      <c r="D45" s="361" t="n">
        <f aca="false">F64+(Pressupostos!$B$26*Pressupostos!$B$25)</f>
        <v>0.133072</v>
      </c>
      <c r="E45" s="362" t="n">
        <f aca="false">+C45*D45</f>
        <v>0.0895942291586355</v>
      </c>
      <c r="F45" s="0"/>
      <c r="G45" s="0"/>
      <c r="H45" s="0"/>
      <c r="I45" s="0"/>
      <c r="J45" s="0"/>
      <c r="K45" s="0"/>
      <c r="L45" s="0"/>
      <c r="M45" s="0"/>
      <c r="N45" s="0"/>
    </row>
    <row r="46" customFormat="false" ht="12.75" hidden="false" customHeight="false" outlineLevel="0" collapsed="false">
      <c r="A46" s="0"/>
      <c r="B46" s="363" t="n">
        <f aca="false">SUM(B44:B45)</f>
        <v>25220.0896867689</v>
      </c>
      <c r="C46" s="364" t="n">
        <f aca="false">SUM(C44:C45)</f>
        <v>1</v>
      </c>
      <c r="D46" s="0"/>
      <c r="E46" s="365" t="n">
        <f aca="false">SUM(E44:E45)</f>
        <v>0.10508093062762</v>
      </c>
      <c r="F46" s="0"/>
      <c r="G46" s="0"/>
      <c r="H46" s="0"/>
      <c r="I46" s="0"/>
      <c r="J46" s="0"/>
      <c r="K46" s="0"/>
      <c r="L46" s="0"/>
      <c r="M46" s="0"/>
      <c r="N46" s="0"/>
    </row>
    <row r="47" customFormat="false" ht="12.7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 customFormat="false" ht="12.75" hidden="false" customHeight="false" outlineLevel="0" collapsed="false">
      <c r="A48" s="358" t="s">
        <v>230</v>
      </c>
      <c r="B48" s="359" t="s">
        <v>226</v>
      </c>
      <c r="C48" s="359"/>
      <c r="D48" s="358" t="s">
        <v>386</v>
      </c>
      <c r="E48" s="19" t="s">
        <v>387</v>
      </c>
      <c r="F48" s="0"/>
      <c r="G48" s="0"/>
      <c r="H48" s="0"/>
      <c r="I48" s="0"/>
      <c r="J48" s="0"/>
      <c r="K48" s="0"/>
      <c r="L48" s="0"/>
      <c r="M48" s="0"/>
      <c r="N48" s="0"/>
    </row>
    <row r="49" customFormat="false" ht="12.75" hidden="false" customHeight="false" outlineLevel="0" collapsed="false">
      <c r="A49" s="19" t="s">
        <v>388</v>
      </c>
      <c r="B49" s="360" t="n">
        <f aca="false">+SUM(Balanço!G37:G40)</f>
        <v>4120</v>
      </c>
      <c r="C49" s="25" t="n">
        <f aca="false">+B49/B51</f>
        <v>0.0200371825216666</v>
      </c>
      <c r="D49" s="361" t="n">
        <f aca="false">+D44</f>
        <v>0.06</v>
      </c>
      <c r="E49" s="362" t="n">
        <f aca="false">D49*(1-Pressupostos!$B$18)*C49</f>
        <v>0.000949762451526996</v>
      </c>
      <c r="F49" s="0"/>
      <c r="G49" s="0"/>
      <c r="H49" s="0"/>
      <c r="I49" s="0"/>
      <c r="J49" s="0"/>
      <c r="K49" s="0"/>
      <c r="L49" s="0"/>
      <c r="M49" s="0"/>
      <c r="N49" s="0"/>
    </row>
    <row r="50" customFormat="false" ht="12.75" hidden="false" customHeight="false" outlineLevel="0" collapsed="false">
      <c r="A50" s="19" t="s">
        <v>389</v>
      </c>
      <c r="B50" s="246" t="n">
        <f aca="false">+Balanço!G32</f>
        <v>201497.730713635</v>
      </c>
      <c r="C50" s="25" t="n">
        <f aca="false">+B50/B51</f>
        <v>0.979962817478333</v>
      </c>
      <c r="D50" s="361" t="n">
        <f aca="false">G64+(Pressupostos!$B$26*Pressupostos!$B$25)</f>
        <v>0.13406416</v>
      </c>
      <c r="E50" s="362" t="n">
        <f aca="false">+C50*D50</f>
        <v>0.131377891956466</v>
      </c>
      <c r="F50" s="0"/>
      <c r="G50" s="0"/>
      <c r="H50" s="0"/>
      <c r="I50" s="0"/>
      <c r="J50" s="0"/>
      <c r="K50" s="0"/>
      <c r="L50" s="0"/>
      <c r="M50" s="0"/>
      <c r="N50" s="0"/>
    </row>
    <row r="51" customFormat="false" ht="12.75" hidden="false" customHeight="false" outlineLevel="0" collapsed="false">
      <c r="A51" s="0"/>
      <c r="B51" s="363" t="n">
        <f aca="false">SUM(B49:B50)</f>
        <v>205617.730713635</v>
      </c>
      <c r="C51" s="364" t="n">
        <f aca="false">SUM(C49:C50)</f>
        <v>1</v>
      </c>
      <c r="D51" s="0"/>
      <c r="E51" s="365" t="n">
        <f aca="false">SUM(E49:E50)</f>
        <v>0.132327654407993</v>
      </c>
      <c r="F51" s="0"/>
      <c r="G51" s="0"/>
      <c r="H51" s="0"/>
      <c r="I51" s="0"/>
      <c r="J51" s="0"/>
      <c r="K51" s="0"/>
      <c r="L51" s="0"/>
      <c r="M51" s="0"/>
      <c r="N51" s="0"/>
    </row>
    <row r="52" customFormat="false" ht="12.75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customFormat="false" ht="12.75" hidden="false" customHeight="false" outlineLevel="0" collapsed="false">
      <c r="A53" s="358" t="s">
        <v>231</v>
      </c>
      <c r="B53" s="359" t="s">
        <v>226</v>
      </c>
      <c r="C53" s="359"/>
      <c r="D53" s="358" t="s">
        <v>386</v>
      </c>
      <c r="E53" s="19" t="s">
        <v>387</v>
      </c>
      <c r="F53" s="0"/>
      <c r="G53" s="0"/>
      <c r="H53" s="0"/>
      <c r="I53" s="0"/>
      <c r="J53" s="0"/>
      <c r="K53" s="0"/>
      <c r="L53" s="0"/>
      <c r="M53" s="0"/>
      <c r="N53" s="0"/>
    </row>
    <row r="54" customFormat="false" ht="12.75" hidden="false" customHeight="false" outlineLevel="0" collapsed="false">
      <c r="A54" s="19" t="s">
        <v>388</v>
      </c>
      <c r="B54" s="360" t="n">
        <f aca="false">+SUM(Balanço!H37:H40)</f>
        <v>0</v>
      </c>
      <c r="C54" s="25" t="n">
        <f aca="false">+B54/B56</f>
        <v>0</v>
      </c>
      <c r="D54" s="361" t="n">
        <f aca="false">+D49</f>
        <v>0.06</v>
      </c>
      <c r="E54" s="362" t="n">
        <f aca="false">D54*(1-Pressupostos!$B$18)*C54</f>
        <v>0</v>
      </c>
      <c r="F54" s="0"/>
      <c r="G54" s="0"/>
      <c r="H54" s="0"/>
      <c r="I54" s="0"/>
      <c r="J54" s="0"/>
      <c r="K54" s="0"/>
      <c r="L54" s="0"/>
      <c r="M54" s="0"/>
      <c r="N54" s="0"/>
    </row>
    <row r="55" customFormat="false" ht="12.75" hidden="false" customHeight="false" outlineLevel="0" collapsed="false">
      <c r="A55" s="19" t="s">
        <v>389</v>
      </c>
      <c r="B55" s="246" t="n">
        <f aca="false">+Balanço!H32</f>
        <v>439690.706000296</v>
      </c>
      <c r="C55" s="25" t="n">
        <f aca="false">+B55/B56</f>
        <v>1</v>
      </c>
      <c r="D55" s="361" t="n">
        <f aca="false">G64+(Pressupostos!$B$26*Pressupostos!$B$25)</f>
        <v>0.13406416</v>
      </c>
      <c r="E55" s="362" t="n">
        <f aca="false">+C55*D55</f>
        <v>0.13406416</v>
      </c>
      <c r="F55" s="0"/>
      <c r="G55" s="0"/>
      <c r="H55" s="0"/>
      <c r="I55" s="0"/>
      <c r="J55" s="0"/>
      <c r="K55" s="0"/>
      <c r="L55" s="0"/>
      <c r="M55" s="0"/>
      <c r="N55" s="0"/>
    </row>
    <row r="56" customFormat="false" ht="12.75" hidden="false" customHeight="false" outlineLevel="0" collapsed="false">
      <c r="A56" s="0"/>
      <c r="B56" s="363" t="n">
        <f aca="false">SUM(B54:B55)</f>
        <v>439690.706000296</v>
      </c>
      <c r="C56" s="364" t="n">
        <f aca="false">SUM(C54:C55)</f>
        <v>1</v>
      </c>
      <c r="D56" s="0"/>
      <c r="E56" s="365" t="n">
        <f aca="false">SUM(E54:E55)</f>
        <v>0.13406416</v>
      </c>
      <c r="F56" s="0"/>
      <c r="G56" s="0"/>
      <c r="H56" s="0"/>
      <c r="I56" s="0"/>
      <c r="J56" s="0"/>
      <c r="K56" s="0"/>
      <c r="L56" s="0"/>
      <c r="M56" s="0"/>
      <c r="N56" s="0"/>
    </row>
    <row r="57" customFormat="false" ht="12.7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</row>
    <row r="58" customFormat="false" ht="12.75" hidden="false" customHeight="false" outlineLevel="0" collapsed="false">
      <c r="A58" s="366"/>
      <c r="B58" s="359"/>
      <c r="C58" s="359"/>
      <c r="D58" s="366"/>
      <c r="E58" s="218"/>
      <c r="F58" s="0"/>
      <c r="G58" s="0"/>
      <c r="H58" s="0"/>
      <c r="I58" s="0"/>
      <c r="J58" s="0"/>
      <c r="K58" s="0"/>
      <c r="L58" s="0"/>
      <c r="M58" s="0"/>
      <c r="N58" s="0"/>
    </row>
    <row r="59" customFormat="false" ht="12.7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</row>
    <row r="60" customFormat="false" ht="12.75" hidden="false" customHeight="false" outlineLevel="0" collapsed="false">
      <c r="A60" s="181" t="s">
        <v>390</v>
      </c>
      <c r="B60" s="181"/>
      <c r="C60" s="64" t="n">
        <f aca="false">+C6</f>
        <v>2016</v>
      </c>
      <c r="D60" s="64" t="n">
        <f aca="false">+D6</f>
        <v>2017</v>
      </c>
      <c r="E60" s="64" t="n">
        <f aca="false">+E6</f>
        <v>2018</v>
      </c>
      <c r="F60" s="64" t="n">
        <f aca="false">+F6</f>
        <v>2019</v>
      </c>
      <c r="G60" s="64" t="n">
        <f aca="false">+G6</f>
        <v>2020</v>
      </c>
      <c r="H60" s="64" t="n">
        <f aca="false">+H6</f>
        <v>2021</v>
      </c>
      <c r="I60" s="64" t="n">
        <f aca="false">+I6</f>
        <v>2022</v>
      </c>
      <c r="J60" s="0"/>
      <c r="K60" s="0"/>
      <c r="L60" s="0"/>
      <c r="M60" s="0"/>
      <c r="N60" s="0"/>
    </row>
    <row r="61" customFormat="false" ht="12.75" hidden="false" customHeight="false" outlineLevel="0" collapsed="false">
      <c r="A61" s="0"/>
      <c r="B61" s="218"/>
      <c r="C61" s="334"/>
      <c r="D61" s="334"/>
      <c r="E61" s="334"/>
      <c r="F61" s="334"/>
      <c r="G61" s="334"/>
      <c r="H61" s="334"/>
      <c r="I61" s="334"/>
      <c r="J61" s="0"/>
      <c r="K61" s="0"/>
      <c r="L61" s="0"/>
      <c r="M61" s="0"/>
      <c r="N61" s="0"/>
    </row>
    <row r="62" customFormat="false" ht="12.75" hidden="false" customHeight="false" outlineLevel="0" collapsed="false">
      <c r="A62" s="91" t="s">
        <v>391</v>
      </c>
      <c r="B62" s="120"/>
      <c r="C62" s="337" t="n">
        <f aca="false">+'Cash Flow'!C20+PlanoFinanceiro!C10-PlanoFinanceiro!C22-DR!C26</f>
        <v>-56827.2119201844</v>
      </c>
      <c r="D62" s="337" t="n">
        <f aca="false">+'Cash Flow'!D20+PlanoFinanceiro!D10-PlanoFinanceiro!D22-DR!D26</f>
        <v>-60761.6768863947</v>
      </c>
      <c r="E62" s="337" t="n">
        <f aca="false">+'Cash Flow'!E20+PlanoFinanceiro!E10-PlanoFinanceiro!E22-DR!E26</f>
        <v>-7757.1718441249</v>
      </c>
      <c r="F62" s="337" t="n">
        <f aca="false">+'Cash Flow'!F20+PlanoFinanceiro!F10-PlanoFinanceiro!F22-DR!F26</f>
        <v>97642.5834063489</v>
      </c>
      <c r="G62" s="337" t="n">
        <f aca="false">+'Cash Flow'!G20+PlanoFinanceiro!G10-PlanoFinanceiro!G22-DR!G26</f>
        <v>157723.570113909</v>
      </c>
      <c r="H62" s="337" t="n">
        <f aca="false">+'Cash Flow'!H20+PlanoFinanceiro!H10-PlanoFinanceiro!H22-DR!H26</f>
        <v>205295.517699695</v>
      </c>
      <c r="I62" s="337" t="n">
        <f aca="false">+(H62*(1+Pressupostos!B27))/(I66-Pressupostos!B27)</f>
        <v>1782586.20315005</v>
      </c>
      <c r="J62" s="0"/>
      <c r="K62" s="30"/>
      <c r="L62" s="30"/>
      <c r="M62" s="30"/>
      <c r="N62" s="30"/>
    </row>
    <row r="63" customFormat="false" ht="12.75" hidden="false" customHeight="false" outlineLevel="0" collapsed="false">
      <c r="A63" s="0"/>
      <c r="B63" s="348"/>
      <c r="C63" s="348"/>
      <c r="D63" s="348"/>
      <c r="E63" s="348"/>
      <c r="F63" s="348"/>
      <c r="G63" s="348"/>
      <c r="H63" s="348"/>
      <c r="I63" s="348"/>
      <c r="J63" s="0"/>
      <c r="K63" s="82"/>
      <c r="L63" s="82" t="s">
        <v>97</v>
      </c>
      <c r="M63" s="82" t="s">
        <v>376</v>
      </c>
      <c r="N63" s="82"/>
    </row>
    <row r="64" customFormat="false" ht="12.75" hidden="false" customHeight="false" outlineLevel="0" collapsed="false">
      <c r="A64" s="173" t="s">
        <v>392</v>
      </c>
      <c r="B64" s="341"/>
      <c r="C64" s="342" t="n">
        <f aca="false">+Pressupostos!B24</f>
        <v>0.03</v>
      </c>
      <c r="D64" s="342" t="n">
        <f aca="false">+C64*(1+VN!D6)</f>
        <v>0.03</v>
      </c>
      <c r="E64" s="342" t="n">
        <f aca="false">+D64*(1+VN!E6)</f>
        <v>0.0318</v>
      </c>
      <c r="F64" s="342" t="n">
        <f aca="false">+E64*(1+VN!F6)</f>
        <v>0.033072</v>
      </c>
      <c r="G64" s="342" t="n">
        <f aca="false">+F64*(1+VN!G6)</f>
        <v>0.03406416</v>
      </c>
      <c r="H64" s="342" t="n">
        <f aca="false">+G64*(1+VN!H6)</f>
        <v>0.03406416</v>
      </c>
      <c r="I64" s="342" t="n">
        <f aca="false">+H64*(1+VN!H6)</f>
        <v>0.03406416</v>
      </c>
      <c r="J64" s="0"/>
      <c r="K64" s="82" t="s">
        <v>218</v>
      </c>
      <c r="L64" s="335" t="n">
        <f aca="false">+C69</f>
        <v>-56827.2119201844</v>
      </c>
      <c r="M64" s="335" t="n">
        <f aca="false">+L64</f>
        <v>-56827.2119201844</v>
      </c>
      <c r="N64" s="336" t="n">
        <f aca="false">IF(M64&gt;0,M64/L64*12)</f>
        <v>0</v>
      </c>
    </row>
    <row r="65" customFormat="false" ht="12.75" hidden="false" customHeight="false" outlineLevel="0" collapsed="false">
      <c r="A65" s="173" t="s">
        <v>393</v>
      </c>
      <c r="B65" s="341"/>
      <c r="C65" s="342" t="n">
        <f aca="false">+Pressupostos!B25</f>
        <v>0.1</v>
      </c>
      <c r="D65" s="342" t="n">
        <f aca="false">+C65</f>
        <v>0.1</v>
      </c>
      <c r="E65" s="342" t="n">
        <f aca="false">+D65</f>
        <v>0.1</v>
      </c>
      <c r="F65" s="342" t="n">
        <f aca="false">+E65</f>
        <v>0.1</v>
      </c>
      <c r="G65" s="342" t="n">
        <f aca="false">+F65</f>
        <v>0.1</v>
      </c>
      <c r="H65" s="342" t="n">
        <f aca="false">+G65</f>
        <v>0.1</v>
      </c>
      <c r="I65" s="342" t="n">
        <f aca="false">+H65</f>
        <v>0.1</v>
      </c>
      <c r="J65" s="0"/>
      <c r="K65" s="82" t="s">
        <v>226</v>
      </c>
      <c r="L65" s="335" t="n">
        <f aca="false">+D69</f>
        <v>-53629.0175519812</v>
      </c>
      <c r="M65" s="335" t="n">
        <f aca="false">+M64+L65</f>
        <v>-110456.229472166</v>
      </c>
      <c r="N65" s="367" t="n">
        <f aca="false">IF(M65&gt;0,M65/L65*12)</f>
        <v>0</v>
      </c>
    </row>
    <row r="66" customFormat="false" ht="12.75" hidden="false" customHeight="false" outlineLevel="0" collapsed="false">
      <c r="A66" s="173" t="s">
        <v>394</v>
      </c>
      <c r="B66" s="341"/>
      <c r="C66" s="342" t="n">
        <f aca="false">+(1+C64)*(1+C65)-1</f>
        <v>0.133</v>
      </c>
      <c r="D66" s="342" t="n">
        <f aca="false">+(1+D64)*(1+D65)-1</f>
        <v>0.133</v>
      </c>
      <c r="E66" s="342" t="n">
        <f aca="false">+(1+E64)*(1+E65)-1</f>
        <v>0.13498</v>
      </c>
      <c r="F66" s="342" t="n">
        <f aca="false">+(1+F64)*(1+F65)-1</f>
        <v>0.1363792</v>
      </c>
      <c r="G66" s="342" t="n">
        <f aca="false">+(1+G64)*(1+G65)-1</f>
        <v>0.137470576</v>
      </c>
      <c r="H66" s="342" t="n">
        <f aca="false">+(1+H64)*(1+H65)-1</f>
        <v>0.137470576</v>
      </c>
      <c r="I66" s="342" t="n">
        <f aca="false">+(1+I64)*(1+I65)-1</f>
        <v>0.137470576</v>
      </c>
      <c r="J66" s="0"/>
      <c r="K66" s="82" t="s">
        <v>227</v>
      </c>
      <c r="L66" s="335" t="n">
        <f aca="false">+E69</f>
        <v>-6032.33280852467</v>
      </c>
      <c r="M66" s="335" t="n">
        <f aca="false">+M65+L66</f>
        <v>-116488.56228069</v>
      </c>
      <c r="N66" s="367" t="n">
        <f aca="false">IF(M66&gt;0,M66/L66*12)</f>
        <v>0</v>
      </c>
    </row>
    <row r="67" customFormat="false" ht="12.75" hidden="false" customHeight="false" outlineLevel="0" collapsed="false">
      <c r="A67" s="173" t="s">
        <v>395</v>
      </c>
      <c r="B67" s="341"/>
      <c r="C67" s="346" t="n">
        <v>1</v>
      </c>
      <c r="D67" s="347" t="n">
        <f aca="false">+C67*(1+D66)</f>
        <v>1.133</v>
      </c>
      <c r="E67" s="347" t="n">
        <f aca="false">+D67*(1+E66)</f>
        <v>1.28593234</v>
      </c>
      <c r="F67" s="347" t="n">
        <f aca="false">+E67*(1+F66)</f>
        <v>1.46130676378333</v>
      </c>
      <c r="G67" s="347" t="n">
        <f aca="false">+F67*(1+G66)</f>
        <v>1.66219344631332</v>
      </c>
      <c r="H67" s="347" t="n">
        <f aca="false">+G67*(1+H66)</f>
        <v>1.89069613680144</v>
      </c>
      <c r="I67" s="347" t="n">
        <f aca="false">+H67*(1+I66)</f>
        <v>2.1506112237685</v>
      </c>
      <c r="J67" s="0"/>
      <c r="K67" s="82" t="s">
        <v>229</v>
      </c>
      <c r="L67" s="335" t="n">
        <f aca="false">+F69</f>
        <v>66818.6761508938</v>
      </c>
      <c r="M67" s="335" t="n">
        <f aca="false">+M66+L67</f>
        <v>-49669.8861297965</v>
      </c>
      <c r="N67" s="343" t="n">
        <f aca="false">IF(M67&gt;0,M67/L67*12)</f>
        <v>0</v>
      </c>
    </row>
    <row r="68" customFormat="false" ht="12.75" hidden="false" customHeight="false" outlineLevel="0" collapsed="false">
      <c r="A68" s="0"/>
      <c r="B68" s="348"/>
      <c r="C68" s="368"/>
      <c r="D68" s="369"/>
      <c r="E68" s="369"/>
      <c r="F68" s="369"/>
      <c r="G68" s="369"/>
      <c r="H68" s="369"/>
      <c r="I68" s="369"/>
      <c r="J68" s="0"/>
      <c r="K68" s="82" t="s">
        <v>230</v>
      </c>
      <c r="L68" s="335" t="n">
        <f aca="false">+G69</f>
        <v>94888.8172214451</v>
      </c>
      <c r="M68" s="335" t="n">
        <f aca="false">+M67+L68</f>
        <v>45218.9310916486</v>
      </c>
      <c r="N68" s="343" t="n">
        <f aca="false">IF(M68&gt;0,M68/L68*12)</f>
        <v>5.71855766558283</v>
      </c>
    </row>
    <row r="69" customFormat="false" ht="12.75" hidden="false" customHeight="false" outlineLevel="0" collapsed="false">
      <c r="A69" s="91" t="s">
        <v>396</v>
      </c>
      <c r="B69" s="120"/>
      <c r="C69" s="337" t="n">
        <f aca="false">+C62/C67</f>
        <v>-56827.2119201844</v>
      </c>
      <c r="D69" s="337" t="n">
        <f aca="false">+D62/D67</f>
        <v>-53629.0175519812</v>
      </c>
      <c r="E69" s="337" t="n">
        <f aca="false">+E62/E67</f>
        <v>-6032.33280852467</v>
      </c>
      <c r="F69" s="337" t="n">
        <f aca="false">+F62/F67</f>
        <v>66818.6761508938</v>
      </c>
      <c r="G69" s="337" t="n">
        <f aca="false">+G62/G67</f>
        <v>94888.8172214451</v>
      </c>
      <c r="H69" s="337" t="n">
        <f aca="false">+H62/H67</f>
        <v>108581.973434928</v>
      </c>
      <c r="I69" s="337" t="n">
        <f aca="false">+I62/I67</f>
        <v>828874.221174401</v>
      </c>
      <c r="J69" s="0"/>
      <c r="K69" s="82" t="s">
        <v>231</v>
      </c>
      <c r="L69" s="335" t="n">
        <f aca="false">+H69</f>
        <v>108581.973434928</v>
      </c>
      <c r="M69" s="335" t="n">
        <f aca="false">+M68+L69</f>
        <v>153800.904526577</v>
      </c>
      <c r="N69" s="343" t="n">
        <f aca="false">IF(M69&gt;0,M69/L69*12)</f>
        <v>16.9973964916467</v>
      </c>
    </row>
    <row r="70" customFormat="false" ht="12.75" hidden="false" customHeight="false" outlineLevel="0" collapsed="false">
      <c r="A70" s="339"/>
      <c r="B70" s="82"/>
      <c r="C70" s="340"/>
      <c r="D70" s="340"/>
      <c r="E70" s="340"/>
      <c r="F70" s="340"/>
      <c r="G70" s="340"/>
      <c r="H70" s="340"/>
      <c r="I70" s="340"/>
      <c r="J70" s="0"/>
      <c r="K70" s="82" t="s">
        <v>397</v>
      </c>
      <c r="L70" s="335" t="n">
        <f aca="false">+I69</f>
        <v>828874.221174401</v>
      </c>
      <c r="M70" s="335" t="n">
        <f aca="false">+M69+L70</f>
        <v>982675.125700978</v>
      </c>
      <c r="N70" s="343" t="n">
        <f aca="false">IF(M70&gt;0,M70/L70*12)</f>
        <v>14.226647671228</v>
      </c>
    </row>
    <row r="71" customFormat="false" ht="12.75" hidden="false" customHeight="false" outlineLevel="0" collapsed="false">
      <c r="A71" s="91"/>
      <c r="B71" s="120"/>
      <c r="C71" s="337" t="n">
        <f aca="false">+C69</f>
        <v>-56827.2119201844</v>
      </c>
      <c r="D71" s="337" t="n">
        <f aca="false">+SUM($C$69:D69)</f>
        <v>-110456.229472166</v>
      </c>
      <c r="E71" s="337" t="n">
        <f aca="false">+SUM($C$69:E69)</f>
        <v>-116488.56228069</v>
      </c>
      <c r="F71" s="337" t="n">
        <f aca="false">+SUM($C$69:F69)</f>
        <v>-49669.8861297965</v>
      </c>
      <c r="G71" s="337" t="n">
        <f aca="false">+SUM($C$69:G69)</f>
        <v>45218.9310916486</v>
      </c>
      <c r="H71" s="337" t="n">
        <f aca="false">+SUM($C$69:H69)</f>
        <v>153800.904526577</v>
      </c>
      <c r="I71" s="337" t="n">
        <f aca="false">+SUM($C$69:I69)</f>
        <v>982675.125700978</v>
      </c>
      <c r="J71" s="0"/>
      <c r="K71" s="30"/>
      <c r="L71" s="30"/>
      <c r="M71" s="30"/>
      <c r="N71" s="30"/>
    </row>
    <row r="72" customFormat="false" ht="12.75" hidden="false" customHeight="false" outlineLevel="0" collapsed="false">
      <c r="A72" s="0"/>
      <c r="B72" s="218"/>
      <c r="C72" s="349"/>
      <c r="D72" s="0"/>
      <c r="E72" s="0"/>
      <c r="F72" s="0"/>
      <c r="G72" s="334"/>
      <c r="H72" s="334"/>
      <c r="I72" s="334"/>
      <c r="J72" s="0"/>
      <c r="K72" s="30"/>
      <c r="L72" s="30"/>
      <c r="M72" s="30"/>
      <c r="N72" s="30"/>
    </row>
    <row r="73" customFormat="false" ht="12.75" hidden="false" customHeight="false" outlineLevel="0" collapsed="false">
      <c r="A73" s="91" t="s">
        <v>381</v>
      </c>
      <c r="B73" s="120"/>
      <c r="C73" s="337" t="n">
        <f aca="false">I71</f>
        <v>982675.125700978</v>
      </c>
      <c r="D73" s="349"/>
      <c r="E73" s="334"/>
      <c r="F73" s="350"/>
      <c r="G73" s="351"/>
      <c r="H73" s="349"/>
      <c r="I73" s="349"/>
      <c r="J73" s="0"/>
      <c r="K73" s="30"/>
      <c r="L73" s="30"/>
      <c r="M73" s="30"/>
      <c r="N73" s="30"/>
    </row>
    <row r="74" customFormat="false" ht="12.75" hidden="false" customHeight="false" outlineLevel="0" collapsed="false">
      <c r="A74" s="0"/>
      <c r="B74" s="352"/>
      <c r="C74" s="334"/>
      <c r="D74" s="334"/>
      <c r="E74" s="334"/>
      <c r="F74" s="334"/>
      <c r="G74" s="334"/>
      <c r="H74" s="334"/>
      <c r="I74" s="334"/>
      <c r="J74" s="334"/>
      <c r="K74" s="30"/>
      <c r="L74" s="30"/>
      <c r="M74" s="30"/>
      <c r="N74" s="370"/>
    </row>
    <row r="75" customFormat="false" ht="12.75" hidden="false" customHeight="false" outlineLevel="0" collapsed="false">
      <c r="A75" s="91"/>
      <c r="B75" s="120"/>
      <c r="C75" s="230" t="e">
        <f aca="false">+IRR(C69,0.1)</f>
        <v>#VALUE!</v>
      </c>
      <c r="D75" s="230" t="e">
        <f aca="false">+IRR($C$69:D69,0.1)</f>
        <v>#N/A</v>
      </c>
      <c r="E75" s="230" t="e">
        <f aca="false">+IRR($C$69:E69,0.1)</f>
        <v>#N/A</v>
      </c>
      <c r="F75" s="230" t="n">
        <f aca="false">+IRR($C$69:F69,0.1)</f>
        <v>-0.207141000626724</v>
      </c>
      <c r="G75" s="230" t="n">
        <f aca="false">+IRR($C$69:G69,0.1)</f>
        <v>0.114391288572998</v>
      </c>
      <c r="H75" s="230" t="n">
        <f aca="false">+IRR($C$69:H69,0.1)</f>
        <v>0.267064252520389</v>
      </c>
      <c r="I75" s="230" t="n">
        <f aca="false">+IRR($C$69:I69,0.1)</f>
        <v>0.591887593234757</v>
      </c>
      <c r="J75" s="334"/>
      <c r="K75" s="30"/>
      <c r="L75" s="30"/>
      <c r="M75" s="30"/>
      <c r="N75" s="370"/>
    </row>
    <row r="76" customFormat="false" ht="12.75" hidden="false" customHeight="false" outlineLevel="0" collapsed="false">
      <c r="A76" s="0"/>
      <c r="B76" s="352"/>
      <c r="C76" s="334"/>
      <c r="D76" s="334"/>
      <c r="E76" s="334"/>
      <c r="F76" s="334"/>
      <c r="G76" s="334"/>
      <c r="H76" s="334"/>
      <c r="I76" s="334"/>
      <c r="J76" s="334"/>
      <c r="K76" s="30"/>
      <c r="L76" s="30"/>
      <c r="M76" s="30"/>
      <c r="N76" s="370"/>
    </row>
    <row r="77" customFormat="false" ht="12.75" hidden="false" customHeight="false" outlineLevel="0" collapsed="false">
      <c r="A77" s="91" t="s">
        <v>382</v>
      </c>
      <c r="B77" s="120"/>
      <c r="C77" s="353" t="n">
        <f aca="false">+I75</f>
        <v>0.591887593234757</v>
      </c>
      <c r="D77" s="354"/>
      <c r="E77" s="354"/>
      <c r="F77" s="354"/>
      <c r="G77" s="354"/>
      <c r="H77" s="334"/>
      <c r="I77" s="334"/>
      <c r="J77" s="334"/>
      <c r="K77" s="30"/>
      <c r="L77" s="30"/>
      <c r="M77" s="30"/>
      <c r="N77" s="370"/>
    </row>
    <row r="78" customFormat="false" ht="12.75" hidden="false" customHeight="false" outlineLevel="0" collapsed="false">
      <c r="A78" s="0"/>
      <c r="B78" s="218"/>
      <c r="C78" s="354"/>
      <c r="D78" s="354"/>
      <c r="E78" s="354"/>
      <c r="F78" s="354"/>
      <c r="G78" s="354"/>
      <c r="H78" s="334"/>
      <c r="I78" s="334"/>
      <c r="J78" s="334"/>
      <c r="K78" s="30"/>
      <c r="L78" s="30"/>
      <c r="M78" s="30"/>
      <c r="N78" s="370"/>
    </row>
    <row r="79" customFormat="false" ht="12.75" hidden="false" customHeight="false" outlineLevel="0" collapsed="false">
      <c r="A79" s="91" t="s">
        <v>383</v>
      </c>
      <c r="B79" s="120"/>
      <c r="C79" s="337" t="n">
        <f aca="false">COUNTIF(N64:N69,"false")</f>
        <v>4</v>
      </c>
      <c r="D79" s="355" t="s">
        <v>384</v>
      </c>
      <c r="E79" s="354"/>
      <c r="F79" s="354"/>
      <c r="G79" s="354"/>
      <c r="H79" s="334"/>
      <c r="I79" s="334"/>
      <c r="J79" s="334"/>
      <c r="K79" s="30"/>
      <c r="L79" s="30"/>
      <c r="M79" s="30"/>
      <c r="N79" s="370"/>
    </row>
    <row r="80" customFormat="false" ht="12.75" hidden="false" customHeight="false" outlineLevel="0" collapsed="false">
      <c r="A80" s="371"/>
      <c r="B80" s="107"/>
      <c r="C80" s="107"/>
      <c r="D80" s="107"/>
      <c r="E80" s="107"/>
      <c r="F80" s="107"/>
      <c r="G80" s="107"/>
      <c r="H80" s="334"/>
      <c r="I80" s="334"/>
      <c r="J80" s="334"/>
      <c r="K80" s="370"/>
      <c r="L80" s="370"/>
      <c r="M80" s="370"/>
      <c r="N80" s="370"/>
    </row>
  </sheetData>
  <mergeCells count="3">
    <mergeCell ref="A3:I3"/>
    <mergeCell ref="A6:B6"/>
    <mergeCell ref="A60:B60"/>
  </mergeCells>
  <printOptions headings="false" gridLines="false" gridLinesSet="true" horizontalCentered="true" verticalCentered="false"/>
  <pageMargins left="0.75" right="0.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59" activeCellId="0" sqref="N59"/>
    </sheetView>
  </sheetViews>
  <sheetFormatPr defaultRowHeight="12.75"/>
  <cols>
    <col collapsed="false" hidden="false" max="1025" min="1" style="372" width="8.74107142857143"/>
  </cols>
  <sheetData/>
  <printOptions headings="false" gridLines="false" gridLinesSet="true" horizontalCentered="true" verticalCentered="false"/>
  <pageMargins left="0.75" right="0.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90"/>
  <sheetViews>
    <sheetView windowProtection="false" showFormulas="false" showGridLines="fals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L100" activeCellId="0" sqref="L100"/>
    </sheetView>
  </sheetViews>
  <sheetFormatPr defaultRowHeight="12.75"/>
  <cols>
    <col collapsed="false" hidden="false" max="1" min="1" style="19" width="41.5758928571429"/>
    <col collapsed="false" hidden="false" max="2" min="2" style="19" width="13.7008928571429"/>
    <col collapsed="false" hidden="false" max="10" min="3" style="19" width="11.2232142857143"/>
    <col collapsed="false" hidden="false" max="1025" min="11" style="19" width="8.74107142857143"/>
  </cols>
  <sheetData>
    <row r="1" customFormat="false" ht="12.75" hidden="false" customHeight="false" outlineLevel="0" collapsed="false">
      <c r="A1" s="288" t="s">
        <v>16</v>
      </c>
      <c r="B1" s="196" t="str">
        <f aca="false">+Pressupostos!B1</f>
        <v>Herbawatter</v>
      </c>
      <c r="C1" s="289"/>
      <c r="D1" s="289"/>
      <c r="E1" s="289"/>
      <c r="F1" s="289"/>
      <c r="G1" s="289"/>
      <c r="H1" s="289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92" customFormat="true" ht="12.75" hidden="false" customHeight="false" outlineLevel="0" collapsed="false">
      <c r="A2" s="290"/>
      <c r="B2" s="290"/>
      <c r="C2" s="290"/>
      <c r="D2" s="290"/>
      <c r="H2" s="291"/>
    </row>
    <row r="3" customFormat="false" ht="12.75" hidden="false" customHeight="false" outlineLevel="0" collapsed="false">
      <c r="A3" s="23" t="s">
        <v>398</v>
      </c>
      <c r="B3" s="23"/>
      <c r="C3" s="23"/>
      <c r="D3" s="23"/>
      <c r="E3" s="23"/>
      <c r="F3" s="23"/>
      <c r="G3" s="23"/>
      <c r="H3" s="23"/>
    </row>
    <row r="4" customFormat="false" ht="12.75" hidden="false" customHeight="false" outlineLevel="0" collapsed="false">
      <c r="A4" s="0"/>
      <c r="B4" s="191"/>
      <c r="C4" s="0"/>
      <c r="D4" s="0"/>
      <c r="E4" s="0"/>
      <c r="F4" s="0"/>
      <c r="G4" s="0"/>
      <c r="H4" s="0"/>
    </row>
    <row r="5" customFormat="false" ht="12.75" hidden="false" customHeight="false" outlineLevel="0" collapsed="false">
      <c r="A5" s="373" t="s">
        <v>399</v>
      </c>
      <c r="B5" s="191"/>
      <c r="C5" s="0"/>
      <c r="D5" s="0"/>
      <c r="E5" s="0"/>
      <c r="F5" s="0"/>
      <c r="G5" s="0"/>
      <c r="H5" s="0"/>
    </row>
    <row r="6" customFormat="false" ht="12.75" hidden="false" customHeight="false" outlineLevel="0" collapsed="false">
      <c r="A6" s="66" t="s">
        <v>400</v>
      </c>
      <c r="B6" s="64" t="s">
        <v>401</v>
      </c>
      <c r="C6" s="64" t="s">
        <v>82</v>
      </c>
      <c r="D6" s="64" t="s">
        <v>83</v>
      </c>
      <c r="E6" s="64" t="s">
        <v>84</v>
      </c>
      <c r="F6" s="64" t="s">
        <v>85</v>
      </c>
      <c r="G6" s="0"/>
      <c r="H6" s="0"/>
    </row>
    <row r="7" customFormat="false" ht="12.75" hidden="false" customHeight="false" outlineLevel="0" collapsed="false">
      <c r="A7" s="374"/>
      <c r="B7" s="375"/>
      <c r="C7" s="375"/>
      <c r="D7" s="375"/>
      <c r="E7" s="375"/>
      <c r="F7" s="375"/>
      <c r="G7" s="0"/>
      <c r="H7" s="0"/>
    </row>
    <row r="8" customFormat="false" ht="12.75" hidden="false" customHeight="false" outlineLevel="0" collapsed="false">
      <c r="A8" s="376"/>
      <c r="B8" s="375"/>
      <c r="C8" s="375"/>
      <c r="D8" s="375"/>
      <c r="E8" s="375"/>
      <c r="F8" s="375"/>
      <c r="G8" s="0"/>
      <c r="H8" s="0"/>
    </row>
    <row r="9" customFormat="false" ht="12.75" hidden="false" customHeight="false" outlineLevel="0" collapsed="false">
      <c r="A9" s="377"/>
      <c r="B9" s="202"/>
      <c r="C9" s="202"/>
      <c r="D9" s="202"/>
      <c r="E9" s="202"/>
      <c r="F9" s="202"/>
      <c r="G9" s="0"/>
      <c r="H9" s="0"/>
    </row>
    <row r="10" customFormat="false" ht="12.75" hidden="false" customHeight="false" outlineLevel="0" collapsed="false">
      <c r="A10" s="377"/>
      <c r="B10" s="202"/>
      <c r="C10" s="202"/>
      <c r="D10" s="202"/>
      <c r="E10" s="202"/>
      <c r="F10" s="202"/>
      <c r="G10" s="246"/>
      <c r="H10" s="246"/>
    </row>
    <row r="11" customFormat="false" ht="12.75" hidden="false" customHeight="false" outlineLevel="0" collapsed="false">
      <c r="A11" s="377"/>
      <c r="B11" s="202"/>
      <c r="C11" s="202"/>
      <c r="D11" s="202"/>
      <c r="E11" s="202"/>
      <c r="F11" s="202"/>
      <c r="G11" s="246"/>
      <c r="H11" s="246"/>
    </row>
    <row r="12" customFormat="false" ht="12.75" hidden="false" customHeight="false" outlineLevel="0" collapsed="false">
      <c r="A12" s="376"/>
      <c r="B12" s="202"/>
      <c r="C12" s="202"/>
      <c r="D12" s="202"/>
      <c r="E12" s="202"/>
      <c r="F12" s="202"/>
      <c r="G12" s="246"/>
      <c r="H12" s="246"/>
    </row>
    <row r="13" customFormat="false" ht="12.75" hidden="false" customHeight="false" outlineLevel="0" collapsed="false">
      <c r="A13" s="376"/>
      <c r="B13" s="202"/>
      <c r="C13" s="202"/>
      <c r="D13" s="202"/>
      <c r="E13" s="202"/>
      <c r="F13" s="202"/>
      <c r="G13" s="246"/>
      <c r="H13" s="246"/>
    </row>
    <row r="14" customFormat="false" ht="12.75" hidden="false" customHeight="false" outlineLevel="0" collapsed="false">
      <c r="A14" s="377"/>
      <c r="B14" s="202"/>
      <c r="C14" s="202"/>
      <c r="D14" s="202"/>
      <c r="E14" s="202"/>
      <c r="F14" s="202"/>
      <c r="G14" s="246"/>
      <c r="H14" s="246"/>
    </row>
    <row r="15" customFormat="false" ht="12.75" hidden="false" customHeight="false" outlineLevel="0" collapsed="false">
      <c r="A15" s="377"/>
      <c r="B15" s="202"/>
      <c r="C15" s="202"/>
      <c r="D15" s="202"/>
      <c r="E15" s="202"/>
      <c r="F15" s="202"/>
      <c r="G15" s="246"/>
      <c r="H15" s="246"/>
    </row>
    <row r="16" customFormat="false" ht="12.75" hidden="false" customHeight="false" outlineLevel="0" collapsed="false">
      <c r="A16" s="376"/>
      <c r="B16" s="202"/>
      <c r="C16" s="202"/>
      <c r="D16" s="202"/>
      <c r="E16" s="202"/>
      <c r="F16" s="202"/>
      <c r="G16" s="246"/>
      <c r="H16" s="246"/>
    </row>
    <row r="17" customFormat="false" ht="12.75" hidden="false" customHeight="false" outlineLevel="0" collapsed="false">
      <c r="A17" s="376"/>
      <c r="B17" s="202"/>
      <c r="C17" s="202"/>
      <c r="D17" s="202"/>
      <c r="E17" s="202"/>
      <c r="F17" s="202"/>
      <c r="G17" s="246"/>
      <c r="H17" s="246"/>
    </row>
    <row r="18" customFormat="false" ht="12.75" hidden="false" customHeight="false" outlineLevel="0" collapsed="false">
      <c r="A18" s="376"/>
      <c r="B18" s="202"/>
      <c r="C18" s="202"/>
      <c r="D18" s="202"/>
      <c r="E18" s="202"/>
      <c r="F18" s="202"/>
      <c r="G18" s="246"/>
      <c r="H18" s="246"/>
    </row>
    <row r="19" customFormat="false" ht="12.75" hidden="false" customHeight="false" outlineLevel="0" collapsed="false">
      <c r="A19" s="374"/>
      <c r="B19" s="378"/>
      <c r="C19" s="378"/>
      <c r="D19" s="378"/>
      <c r="E19" s="378"/>
      <c r="F19" s="378"/>
      <c r="G19" s="246"/>
      <c r="H19" s="246"/>
    </row>
    <row r="20" customFormat="false" ht="12.75" hidden="false" customHeight="false" outlineLevel="0" collapsed="false">
      <c r="A20" s="376"/>
      <c r="B20" s="379"/>
      <c r="C20" s="380"/>
      <c r="D20" s="380"/>
      <c r="E20" s="380"/>
      <c r="F20" s="381"/>
      <c r="G20" s="246"/>
      <c r="H20" s="246"/>
    </row>
    <row r="21" customFormat="false" ht="12.75" hidden="false" customHeight="false" outlineLevel="0" collapsed="false">
      <c r="A21" s="30"/>
      <c r="B21" s="382"/>
      <c r="C21" s="382"/>
      <c r="D21" s="382"/>
      <c r="E21" s="382"/>
      <c r="F21" s="382"/>
      <c r="G21" s="246"/>
      <c r="H21" s="246"/>
    </row>
    <row r="22" customFormat="false" ht="12.75" hidden="false" customHeight="false" outlineLevel="0" collapsed="false">
      <c r="A22" s="30"/>
      <c r="B22" s="382"/>
      <c r="C22" s="382"/>
      <c r="D22" s="382"/>
      <c r="E22" s="382"/>
      <c r="F22" s="382"/>
      <c r="G22" s="246"/>
      <c r="H22" s="246"/>
    </row>
    <row r="23" customFormat="false" ht="12.75" hidden="false" customHeight="false" outlineLevel="0" collapsed="false">
      <c r="A23" s="373" t="s">
        <v>402</v>
      </c>
      <c r="B23" s="191"/>
      <c r="C23" s="0"/>
      <c r="D23" s="0"/>
      <c r="E23" s="0"/>
      <c r="F23" s="0"/>
      <c r="G23" s="246"/>
      <c r="H23" s="246" t="s">
        <v>403</v>
      </c>
    </row>
    <row r="24" customFormat="false" ht="12.75" hidden="false" customHeight="false" outlineLevel="0" collapsed="false">
      <c r="A24" s="66" t="s">
        <v>404</v>
      </c>
      <c r="B24" s="120"/>
      <c r="C24" s="64" t="n">
        <f aca="false">+VN!C5</f>
        <v>2016</v>
      </c>
      <c r="D24" s="64" t="n">
        <f aca="false">+VN!D5</f>
        <v>2017</v>
      </c>
      <c r="E24" s="64" t="n">
        <f aca="false">+VN!E5</f>
        <v>2018</v>
      </c>
      <c r="F24" s="64" t="n">
        <f aca="false">+VN!F5</f>
        <v>2019</v>
      </c>
      <c r="G24" s="64" t="n">
        <f aca="false">+VN!G5</f>
        <v>2020</v>
      </c>
      <c r="H24" s="64" t="n">
        <f aca="false">+VN!H5</f>
        <v>2021</v>
      </c>
    </row>
    <row r="25" customFormat="false" ht="12.75" hidden="false" customHeight="false" outlineLevel="0" collapsed="false">
      <c r="A25" s="91" t="s">
        <v>82</v>
      </c>
      <c r="B25" s="383"/>
      <c r="C25" s="375"/>
      <c r="D25" s="375"/>
      <c r="E25" s="375"/>
      <c r="F25" s="375"/>
      <c r="G25" s="375"/>
      <c r="H25" s="375"/>
    </row>
    <row r="26" customFormat="false" ht="12.75" hidden="false" customHeight="false" outlineLevel="0" collapsed="false">
      <c r="A26" s="91" t="s">
        <v>83</v>
      </c>
      <c r="B26" s="384"/>
      <c r="C26" s="202"/>
      <c r="D26" s="202"/>
      <c r="E26" s="202"/>
      <c r="F26" s="202"/>
      <c r="G26" s="202"/>
      <c r="H26" s="202"/>
    </row>
    <row r="27" customFormat="false" ht="12.75" hidden="false" customHeight="false" outlineLevel="0" collapsed="false">
      <c r="A27" s="91" t="s">
        <v>84</v>
      </c>
      <c r="B27" s="384"/>
      <c r="C27" s="202"/>
      <c r="D27" s="202"/>
      <c r="E27" s="202"/>
      <c r="F27" s="202"/>
      <c r="G27" s="202"/>
      <c r="H27" s="202"/>
    </row>
    <row r="28" customFormat="false" ht="12.75" hidden="false" customHeight="false" outlineLevel="0" collapsed="false">
      <c r="A28" s="91" t="s">
        <v>85</v>
      </c>
      <c r="B28" s="384"/>
      <c r="C28" s="202"/>
      <c r="D28" s="202"/>
      <c r="E28" s="202"/>
      <c r="F28" s="202"/>
      <c r="G28" s="202"/>
      <c r="H28" s="202"/>
    </row>
    <row r="29" customFormat="false" ht="12.75" hidden="false" customHeight="false" outlineLevel="0" collapsed="false">
      <c r="A29" s="71"/>
      <c r="B29" s="384"/>
      <c r="C29" s="202"/>
      <c r="D29" s="202"/>
      <c r="E29" s="202"/>
      <c r="F29" s="202"/>
      <c r="G29" s="202"/>
      <c r="H29" s="202"/>
    </row>
    <row r="30" customFormat="false" ht="12.75" hidden="false" customHeight="false" outlineLevel="0" collapsed="false">
      <c r="A30" s="71"/>
      <c r="B30" s="384"/>
      <c r="C30" s="202"/>
      <c r="D30" s="202"/>
      <c r="E30" s="202"/>
      <c r="F30" s="202"/>
      <c r="G30" s="202"/>
      <c r="H30" s="202"/>
    </row>
    <row r="31" customFormat="false" ht="12.75" hidden="false" customHeight="false" outlineLevel="0" collapsed="false">
      <c r="A31" s="73"/>
      <c r="B31" s="384"/>
      <c r="C31" s="202"/>
      <c r="D31" s="202"/>
      <c r="E31" s="202"/>
      <c r="F31" s="202"/>
      <c r="G31" s="202"/>
      <c r="H31" s="202"/>
    </row>
    <row r="32" customFormat="false" ht="12.75" hidden="false" customHeight="false" outlineLevel="0" collapsed="false">
      <c r="A32" s="64" t="s">
        <v>200</v>
      </c>
      <c r="B32" s="64"/>
      <c r="C32" s="385" t="n">
        <f aca="false">+SUM(C25:C31)</f>
        <v>0</v>
      </c>
      <c r="D32" s="385" t="n">
        <f aca="false">+SUM(D25:D31)</f>
        <v>0</v>
      </c>
      <c r="E32" s="385" t="n">
        <f aca="false">+SUM(E25:E31)</f>
        <v>0</v>
      </c>
      <c r="F32" s="385" t="n">
        <f aca="false">+SUM(F25:F31)</f>
        <v>0</v>
      </c>
      <c r="G32" s="385" t="n">
        <f aca="false">+SUM(G25:G31)</f>
        <v>0</v>
      </c>
      <c r="H32" s="385" t="n">
        <f aca="false">+SUM(H25:H31)</f>
        <v>0</v>
      </c>
    </row>
    <row r="33" customFormat="false" ht="12.75" hidden="false" customHeight="false" outlineLevel="0" collapsed="false">
      <c r="A33" s="180"/>
      <c r="B33" s="335"/>
      <c r="C33" s="360"/>
      <c r="D33" s="360"/>
      <c r="E33" s="360"/>
      <c r="F33" s="360"/>
      <c r="G33" s="246"/>
      <c r="H33" s="246"/>
    </row>
    <row r="34" customFormat="false" ht="12.75" hidden="false" customHeight="false" outlineLevel="0" collapsed="false">
      <c r="A34" s="373" t="s">
        <v>405</v>
      </c>
      <c r="B34" s="191"/>
      <c r="C34" s="0"/>
      <c r="D34" s="0"/>
      <c r="E34" s="0"/>
      <c r="F34" s="0"/>
      <c r="G34" s="246"/>
      <c r="H34" s="246" t="s">
        <v>403</v>
      </c>
    </row>
    <row r="35" customFormat="false" ht="12.75" hidden="false" customHeight="false" outlineLevel="0" collapsed="false">
      <c r="A35" s="64" t="s">
        <v>300</v>
      </c>
      <c r="B35" s="64"/>
      <c r="C35" s="64" t="n">
        <f aca="false">+C24</f>
        <v>2016</v>
      </c>
      <c r="D35" s="64" t="n">
        <f aca="false">+D24</f>
        <v>2017</v>
      </c>
      <c r="E35" s="64" t="n">
        <f aca="false">+E24</f>
        <v>2018</v>
      </c>
      <c r="F35" s="64" t="n">
        <f aca="false">+F24</f>
        <v>2019</v>
      </c>
      <c r="G35" s="64" t="n">
        <f aca="false">+G24</f>
        <v>2020</v>
      </c>
      <c r="H35" s="64" t="n">
        <f aca="false">+H24</f>
        <v>2021</v>
      </c>
    </row>
    <row r="36" customFormat="false" ht="12.75" hidden="false" customHeight="false" outlineLevel="0" collapsed="false">
      <c r="A36" s="374"/>
      <c r="B36" s="386"/>
      <c r="C36" s="375"/>
      <c r="D36" s="375"/>
      <c r="E36" s="375"/>
      <c r="F36" s="375"/>
      <c r="G36" s="375"/>
      <c r="H36" s="375"/>
    </row>
    <row r="37" customFormat="false" ht="12.75" hidden="false" customHeight="false" outlineLevel="0" collapsed="false">
      <c r="A37" s="387"/>
      <c r="B37" s="386"/>
      <c r="C37" s="375" t="n">
        <f aca="false">+C8*C25</f>
        <v>0</v>
      </c>
      <c r="D37" s="375" t="n">
        <f aca="false">+D8*D25</f>
        <v>0</v>
      </c>
      <c r="E37" s="375" t="n">
        <f aca="false">+E8*E25</f>
        <v>0</v>
      </c>
      <c r="F37" s="375" t="n">
        <f aca="false">+F8*F25</f>
        <v>0</v>
      </c>
      <c r="G37" s="375" t="n">
        <f aca="false">+G8*G25</f>
        <v>0</v>
      </c>
      <c r="H37" s="375" t="n">
        <f aca="false">+H8*H25</f>
        <v>0</v>
      </c>
    </row>
    <row r="38" customFormat="false" ht="12.75" hidden="false" customHeight="false" outlineLevel="0" collapsed="false">
      <c r="A38" s="387"/>
      <c r="B38" s="386"/>
      <c r="C38" s="375"/>
      <c r="D38" s="375"/>
      <c r="E38" s="375"/>
      <c r="F38" s="375"/>
      <c r="G38" s="375"/>
      <c r="H38" s="375"/>
    </row>
    <row r="39" customFormat="false" ht="12.75" hidden="false" customHeight="false" outlineLevel="0" collapsed="false">
      <c r="A39" s="387"/>
      <c r="B39" s="386"/>
      <c r="C39" s="375"/>
      <c r="D39" s="375"/>
      <c r="E39" s="375"/>
      <c r="F39" s="375"/>
      <c r="G39" s="375"/>
      <c r="H39" s="375"/>
    </row>
    <row r="40" customFormat="false" ht="12.75" hidden="false" customHeight="false" outlineLevel="0" collapsed="false">
      <c r="A40" s="387"/>
      <c r="B40" s="386"/>
      <c r="C40" s="375"/>
      <c r="D40" s="375"/>
      <c r="E40" s="375"/>
      <c r="F40" s="375"/>
      <c r="G40" s="375"/>
      <c r="H40" s="375"/>
    </row>
    <row r="41" customFormat="false" ht="12.75" hidden="false" customHeight="false" outlineLevel="0" collapsed="false">
      <c r="A41" s="387"/>
      <c r="B41" s="386"/>
      <c r="C41" s="375"/>
      <c r="D41" s="375"/>
      <c r="E41" s="375"/>
      <c r="F41" s="375"/>
      <c r="G41" s="375"/>
      <c r="H41" s="375"/>
    </row>
    <row r="42" customFormat="false" ht="12.75" hidden="false" customHeight="false" outlineLevel="0" collapsed="false">
      <c r="A42" s="387"/>
      <c r="B42" s="386"/>
      <c r="C42" s="375"/>
      <c r="D42" s="375"/>
      <c r="E42" s="375"/>
      <c r="F42" s="375"/>
      <c r="G42" s="375"/>
      <c r="H42" s="375"/>
    </row>
    <row r="43" customFormat="false" ht="12.75" hidden="false" customHeight="false" outlineLevel="0" collapsed="false">
      <c r="A43" s="387"/>
      <c r="B43" s="388"/>
      <c r="C43" s="375"/>
      <c r="D43" s="375"/>
      <c r="E43" s="375"/>
      <c r="F43" s="375"/>
      <c r="G43" s="375"/>
      <c r="H43" s="375"/>
    </row>
    <row r="44" customFormat="false" ht="12.75" hidden="false" customHeight="false" outlineLevel="0" collapsed="false">
      <c r="A44" s="387"/>
      <c r="B44" s="388"/>
      <c r="C44" s="375"/>
      <c r="D44" s="375"/>
      <c r="E44" s="375"/>
      <c r="F44" s="375"/>
      <c r="G44" s="375"/>
      <c r="H44" s="375"/>
    </row>
    <row r="45" customFormat="false" ht="12.75" hidden="false" customHeight="false" outlineLevel="0" collapsed="false">
      <c r="A45" s="387"/>
      <c r="B45" s="388"/>
      <c r="C45" s="375"/>
      <c r="D45" s="375"/>
      <c r="E45" s="375"/>
      <c r="F45" s="375"/>
      <c r="G45" s="375"/>
      <c r="H45" s="375"/>
    </row>
    <row r="46" customFormat="false" ht="12.75" hidden="false" customHeight="false" outlineLevel="0" collapsed="false">
      <c r="A46" s="376"/>
      <c r="B46" s="388"/>
      <c r="C46" s="375"/>
      <c r="D46" s="375"/>
      <c r="E46" s="375"/>
      <c r="F46" s="375"/>
      <c r="G46" s="375"/>
      <c r="H46" s="375"/>
    </row>
    <row r="47" customFormat="false" ht="12.75" hidden="false" customHeight="false" outlineLevel="0" collapsed="false">
      <c r="A47" s="376"/>
      <c r="B47" s="388"/>
      <c r="C47" s="375"/>
      <c r="D47" s="375"/>
      <c r="E47" s="375"/>
      <c r="F47" s="375"/>
      <c r="G47" s="375"/>
      <c r="H47" s="375"/>
    </row>
    <row r="48" customFormat="false" ht="12.75" hidden="false" customHeight="false" outlineLevel="0" collapsed="false">
      <c r="A48" s="376"/>
      <c r="B48" s="388"/>
      <c r="C48" s="375" t="n">
        <f aca="false">+C19*C36</f>
        <v>0</v>
      </c>
      <c r="D48" s="375" t="n">
        <f aca="false">+D19*D36</f>
        <v>0</v>
      </c>
      <c r="E48" s="375" t="n">
        <f aca="false">+E19*E36</f>
        <v>0</v>
      </c>
      <c r="F48" s="375" t="n">
        <f aca="false">+F19*F36</f>
        <v>0</v>
      </c>
      <c r="G48" s="375" t="n">
        <f aca="false">+G19*G36</f>
        <v>0</v>
      </c>
      <c r="H48" s="375" t="n">
        <f aca="false">+H19*H36</f>
        <v>0</v>
      </c>
    </row>
    <row r="49" customFormat="false" ht="12.75" hidden="false" customHeight="false" outlineLevel="0" collapsed="false">
      <c r="A49" s="377"/>
      <c r="B49" s="388"/>
      <c r="C49" s="202"/>
      <c r="D49" s="202"/>
      <c r="E49" s="202"/>
      <c r="F49" s="202"/>
      <c r="G49" s="202"/>
      <c r="H49" s="202"/>
    </row>
    <row r="50" customFormat="false" ht="12.75" hidden="false" customHeight="false" outlineLevel="0" collapsed="false">
      <c r="A50" s="30"/>
      <c r="B50" s="30"/>
      <c r="C50" s="30"/>
      <c r="D50" s="30"/>
      <c r="E50" s="30"/>
      <c r="F50" s="30"/>
      <c r="G50" s="0"/>
      <c r="H50" s="0"/>
    </row>
    <row r="51" customFormat="false" ht="12.75" hidden="false" customHeight="false" outlineLevel="0" collapsed="false">
      <c r="A51" s="30"/>
      <c r="B51" s="30"/>
      <c r="C51" s="30"/>
      <c r="D51" s="30"/>
      <c r="E51" s="30"/>
      <c r="F51" s="30"/>
      <c r="G51" s="0"/>
      <c r="H51" s="0"/>
    </row>
    <row r="52" customFormat="false" ht="12.75" hidden="false" customHeight="false" outlineLevel="0" collapsed="false">
      <c r="A52" s="373" t="s">
        <v>406</v>
      </c>
      <c r="B52" s="191"/>
      <c r="C52" s="0"/>
      <c r="D52" s="0"/>
      <c r="E52" s="0"/>
      <c r="F52" s="0"/>
      <c r="G52" s="246"/>
      <c r="H52" s="246"/>
    </row>
    <row r="53" customFormat="false" ht="12.75" hidden="false" customHeight="false" outlineLevel="0" collapsed="false">
      <c r="A53" s="64" t="s">
        <v>407</v>
      </c>
      <c r="B53" s="64"/>
      <c r="C53" s="64" t="n">
        <f aca="false">+C35</f>
        <v>2016</v>
      </c>
      <c r="D53" s="64" t="n">
        <f aca="false">+D35</f>
        <v>2017</v>
      </c>
      <c r="E53" s="64" t="n">
        <f aca="false">+E35</f>
        <v>2018</v>
      </c>
      <c r="F53" s="64" t="n">
        <f aca="false">+F35</f>
        <v>2019</v>
      </c>
      <c r="G53" s="64" t="n">
        <f aca="false">+G35</f>
        <v>2020</v>
      </c>
      <c r="H53" s="64" t="n">
        <f aca="false">+H35</f>
        <v>2021</v>
      </c>
    </row>
    <row r="54" customFormat="false" ht="12.75" hidden="false" customHeight="false" outlineLevel="0" collapsed="false">
      <c r="A54" s="374"/>
      <c r="B54" s="386"/>
      <c r="C54" s="375"/>
      <c r="D54" s="375"/>
      <c r="E54" s="375"/>
      <c r="F54" s="375"/>
      <c r="G54" s="375"/>
      <c r="H54" s="375"/>
    </row>
    <row r="55" customFormat="false" ht="12.75" hidden="false" customHeight="false" outlineLevel="0" collapsed="false">
      <c r="A55" s="387"/>
      <c r="B55" s="386"/>
      <c r="C55" s="375"/>
      <c r="D55" s="375"/>
      <c r="E55" s="375"/>
      <c r="F55" s="375"/>
      <c r="G55" s="375"/>
      <c r="H55" s="375"/>
    </row>
    <row r="56" customFormat="false" ht="12.75" hidden="false" customHeight="false" outlineLevel="0" collapsed="false">
      <c r="A56" s="387"/>
      <c r="B56" s="386"/>
      <c r="C56" s="375"/>
      <c r="D56" s="375"/>
      <c r="E56" s="375"/>
      <c r="F56" s="375"/>
      <c r="G56" s="375"/>
      <c r="H56" s="375"/>
    </row>
    <row r="57" customFormat="false" ht="12.75" hidden="false" customHeight="false" outlineLevel="0" collapsed="false">
      <c r="A57" s="387"/>
      <c r="B57" s="386"/>
      <c r="C57" s="375"/>
      <c r="D57" s="375"/>
      <c r="E57" s="375"/>
      <c r="F57" s="375"/>
      <c r="G57" s="375"/>
      <c r="H57" s="375"/>
    </row>
    <row r="58" customFormat="false" ht="12.75" hidden="false" customHeight="false" outlineLevel="0" collapsed="false">
      <c r="A58" s="387"/>
      <c r="B58" s="386"/>
      <c r="C58" s="375"/>
      <c r="D58" s="375"/>
      <c r="E58" s="375"/>
      <c r="F58" s="375"/>
      <c r="G58" s="375"/>
      <c r="H58" s="375"/>
    </row>
    <row r="59" customFormat="false" ht="12.75" hidden="false" customHeight="false" outlineLevel="0" collapsed="false">
      <c r="A59" s="387"/>
      <c r="B59" s="386"/>
      <c r="C59" s="375"/>
      <c r="D59" s="375"/>
      <c r="E59" s="375"/>
      <c r="F59" s="375"/>
      <c r="G59" s="375"/>
      <c r="H59" s="375"/>
    </row>
    <row r="60" customFormat="false" ht="12.75" hidden="false" customHeight="false" outlineLevel="0" collapsed="false">
      <c r="A60" s="387"/>
      <c r="B60" s="386"/>
      <c r="C60" s="375"/>
      <c r="D60" s="375"/>
      <c r="E60" s="375"/>
      <c r="F60" s="375"/>
      <c r="G60" s="375"/>
      <c r="H60" s="375"/>
    </row>
    <row r="61" customFormat="false" ht="12.75" hidden="false" customHeight="false" outlineLevel="0" collapsed="false">
      <c r="A61" s="387"/>
      <c r="B61" s="388"/>
      <c r="C61" s="202"/>
      <c r="D61" s="202"/>
      <c r="E61" s="202"/>
      <c r="F61" s="202"/>
      <c r="G61" s="202"/>
      <c r="H61" s="202"/>
    </row>
    <row r="62" customFormat="false" ht="12.75" hidden="false" customHeight="false" outlineLevel="0" collapsed="false">
      <c r="A62" s="387"/>
      <c r="B62" s="388"/>
      <c r="C62" s="202"/>
      <c r="D62" s="202"/>
      <c r="E62" s="202"/>
      <c r="F62" s="202"/>
      <c r="G62" s="202"/>
      <c r="H62" s="202"/>
    </row>
    <row r="63" customFormat="false" ht="12.75" hidden="false" customHeight="false" outlineLevel="0" collapsed="false">
      <c r="A63" s="387"/>
      <c r="B63" s="388"/>
      <c r="C63" s="202"/>
      <c r="D63" s="202"/>
      <c r="E63" s="202"/>
      <c r="F63" s="202"/>
      <c r="G63" s="202"/>
      <c r="H63" s="202"/>
    </row>
    <row r="64" customFormat="false" ht="12.75" hidden="false" customHeight="false" outlineLevel="0" collapsed="false">
      <c r="A64" s="376"/>
      <c r="B64" s="388"/>
      <c r="C64" s="202"/>
      <c r="D64" s="202"/>
      <c r="E64" s="202"/>
      <c r="F64" s="202"/>
      <c r="G64" s="202"/>
      <c r="H64" s="202"/>
    </row>
    <row r="65" customFormat="false" ht="12.75" hidden="false" customHeight="false" outlineLevel="0" collapsed="false">
      <c r="A65" s="376"/>
      <c r="B65" s="388"/>
      <c r="C65" s="202"/>
      <c r="D65" s="202"/>
      <c r="E65" s="202"/>
      <c r="F65" s="202"/>
      <c r="G65" s="202"/>
      <c r="H65" s="202"/>
    </row>
    <row r="66" customFormat="false" ht="12.75" hidden="false" customHeight="false" outlineLevel="0" collapsed="false">
      <c r="A66" s="376"/>
      <c r="B66" s="388"/>
      <c r="C66" s="202"/>
      <c r="D66" s="202"/>
      <c r="E66" s="202"/>
      <c r="F66" s="202"/>
      <c r="G66" s="202"/>
      <c r="H66" s="202"/>
    </row>
    <row r="67" customFormat="false" ht="12.75" hidden="false" customHeight="false" outlineLevel="0" collapsed="false">
      <c r="A67" s="377"/>
      <c r="B67" s="388"/>
      <c r="C67" s="202"/>
      <c r="D67" s="202"/>
      <c r="E67" s="202"/>
      <c r="F67" s="202"/>
      <c r="G67" s="202"/>
      <c r="H67" s="202"/>
    </row>
    <row r="68" customFormat="false" ht="12.75" hidden="false" customHeight="false" outlineLevel="0" collapsed="false">
      <c r="A68" s="30"/>
      <c r="B68" s="30"/>
      <c r="C68" s="30"/>
      <c r="D68" s="30"/>
      <c r="E68" s="30"/>
      <c r="F68" s="30"/>
      <c r="G68" s="0"/>
      <c r="H68" s="0"/>
    </row>
    <row r="69" customFormat="false" ht="12.75" hidden="false" customHeight="false" outlineLevel="0" collapsed="false">
      <c r="A69" s="30"/>
      <c r="B69" s="30"/>
      <c r="C69" s="30"/>
      <c r="D69" s="30"/>
      <c r="E69" s="30"/>
      <c r="F69" s="30"/>
      <c r="G69" s="0"/>
      <c r="H69" s="0"/>
    </row>
    <row r="70" customFormat="false" ht="12.75" hidden="false" customHeight="false" outlineLevel="0" collapsed="false">
      <c r="A70" s="373" t="s">
        <v>408</v>
      </c>
      <c r="B70" s="191"/>
      <c r="C70" s="0"/>
      <c r="D70" s="0"/>
      <c r="E70" s="0"/>
      <c r="F70" s="0"/>
      <c r="G70" s="246"/>
      <c r="H70" s="246"/>
    </row>
    <row r="71" customFormat="false" ht="12.75" hidden="false" customHeight="false" outlineLevel="0" collapsed="false">
      <c r="A71" s="64" t="s">
        <v>407</v>
      </c>
      <c r="B71" s="64"/>
      <c r="C71" s="64" t="n">
        <f aca="false">+C24</f>
        <v>2016</v>
      </c>
      <c r="D71" s="64" t="n">
        <f aca="false">+D24</f>
        <v>2017</v>
      </c>
      <c r="E71" s="64" t="n">
        <f aca="false">+E24</f>
        <v>2018</v>
      </c>
      <c r="F71" s="64" t="n">
        <f aca="false">+F24</f>
        <v>2019</v>
      </c>
      <c r="G71" s="64" t="n">
        <f aca="false">+G24</f>
        <v>2020</v>
      </c>
      <c r="H71" s="64" t="n">
        <f aca="false">+H24</f>
        <v>2021</v>
      </c>
    </row>
    <row r="72" customFormat="false" ht="12.75" hidden="false" customHeight="false" outlineLevel="0" collapsed="false">
      <c r="A72" s="374"/>
      <c r="B72" s="386"/>
      <c r="C72" s="375" t="n">
        <f aca="false">+C36*C54</f>
        <v>0</v>
      </c>
      <c r="D72" s="375" t="n">
        <f aca="false">+D36*D54</f>
        <v>0</v>
      </c>
      <c r="E72" s="375" t="n">
        <f aca="false">+E36*E54</f>
        <v>0</v>
      </c>
      <c r="F72" s="375" t="n">
        <f aca="false">+F36*F54</f>
        <v>0</v>
      </c>
      <c r="G72" s="375" t="n">
        <f aca="false">+G36*G54</f>
        <v>0</v>
      </c>
      <c r="H72" s="375" t="n">
        <f aca="false">+H36*H54</f>
        <v>0</v>
      </c>
    </row>
    <row r="73" customFormat="false" ht="12.75" hidden="false" customHeight="false" outlineLevel="0" collapsed="false">
      <c r="A73" s="387"/>
      <c r="B73" s="386"/>
      <c r="C73" s="375" t="n">
        <f aca="false">+C37*C55</f>
        <v>0</v>
      </c>
      <c r="D73" s="375" t="n">
        <f aca="false">+D37*D55</f>
        <v>0</v>
      </c>
      <c r="E73" s="375" t="n">
        <f aca="false">+E37*E55</f>
        <v>0</v>
      </c>
      <c r="F73" s="375" t="n">
        <f aca="false">+F37*F55</f>
        <v>0</v>
      </c>
      <c r="G73" s="375" t="n">
        <f aca="false">+G37*G55</f>
        <v>0</v>
      </c>
      <c r="H73" s="375" t="n">
        <f aca="false">+H37*H55</f>
        <v>0</v>
      </c>
    </row>
    <row r="74" customFormat="false" ht="12.75" hidden="false" customHeight="false" outlineLevel="0" collapsed="false">
      <c r="A74" s="387"/>
      <c r="B74" s="386"/>
      <c r="C74" s="375" t="n">
        <f aca="false">+C38*C56</f>
        <v>0</v>
      </c>
      <c r="D74" s="375" t="n">
        <f aca="false">+D38*D56</f>
        <v>0</v>
      </c>
      <c r="E74" s="375" t="n">
        <f aca="false">+E38*E56</f>
        <v>0</v>
      </c>
      <c r="F74" s="375" t="n">
        <f aca="false">+F38*F56</f>
        <v>0</v>
      </c>
      <c r="G74" s="375" t="n">
        <f aca="false">+G38*G56</f>
        <v>0</v>
      </c>
      <c r="H74" s="375" t="n">
        <f aca="false">+H38*H56</f>
        <v>0</v>
      </c>
    </row>
    <row r="75" customFormat="false" ht="12.75" hidden="false" customHeight="false" outlineLevel="0" collapsed="false">
      <c r="A75" s="387"/>
      <c r="B75" s="386"/>
      <c r="C75" s="375" t="n">
        <f aca="false">+C39*C57</f>
        <v>0</v>
      </c>
      <c r="D75" s="375" t="n">
        <f aca="false">+D39*D57</f>
        <v>0</v>
      </c>
      <c r="E75" s="375" t="n">
        <f aca="false">+E39*E57</f>
        <v>0</v>
      </c>
      <c r="F75" s="375" t="n">
        <f aca="false">+F39*F57</f>
        <v>0</v>
      </c>
      <c r="G75" s="375" t="n">
        <f aca="false">+G39*G57</f>
        <v>0</v>
      </c>
      <c r="H75" s="375" t="n">
        <f aca="false">+H39*H57</f>
        <v>0</v>
      </c>
    </row>
    <row r="76" customFormat="false" ht="12.75" hidden="false" customHeight="false" outlineLevel="0" collapsed="false">
      <c r="A76" s="387"/>
      <c r="B76" s="386"/>
      <c r="C76" s="375" t="n">
        <f aca="false">+C40*C58</f>
        <v>0</v>
      </c>
      <c r="D76" s="375" t="n">
        <f aca="false">+D40*D58</f>
        <v>0</v>
      </c>
      <c r="E76" s="375" t="n">
        <f aca="false">+E40*E58</f>
        <v>0</v>
      </c>
      <c r="F76" s="375" t="n">
        <f aca="false">+F40*F58</f>
        <v>0</v>
      </c>
      <c r="G76" s="375" t="n">
        <f aca="false">+G40*G58</f>
        <v>0</v>
      </c>
      <c r="H76" s="375" t="n">
        <f aca="false">+H40*H58</f>
        <v>0</v>
      </c>
    </row>
    <row r="77" customFormat="false" ht="12.75" hidden="false" customHeight="false" outlineLevel="0" collapsed="false">
      <c r="A77" s="387"/>
      <c r="B77" s="386"/>
      <c r="C77" s="375" t="n">
        <f aca="false">+C41*C59</f>
        <v>0</v>
      </c>
      <c r="D77" s="375" t="n">
        <f aca="false">+D41*D59</f>
        <v>0</v>
      </c>
      <c r="E77" s="375" t="n">
        <f aca="false">+E41*E59</f>
        <v>0</v>
      </c>
      <c r="F77" s="375" t="n">
        <f aca="false">+F41*F59</f>
        <v>0</v>
      </c>
      <c r="G77" s="375" t="n">
        <f aca="false">+G41*G59</f>
        <v>0</v>
      </c>
      <c r="H77" s="375" t="n">
        <f aca="false">+H41*H59</f>
        <v>0</v>
      </c>
    </row>
    <row r="78" customFormat="false" ht="12.75" hidden="false" customHeight="false" outlineLevel="0" collapsed="false">
      <c r="A78" s="387"/>
      <c r="B78" s="386"/>
      <c r="C78" s="375" t="n">
        <f aca="false">+C42*C60</f>
        <v>0</v>
      </c>
      <c r="D78" s="375" t="n">
        <f aca="false">+D42*D60</f>
        <v>0</v>
      </c>
      <c r="E78" s="375" t="n">
        <f aca="false">+E42*E60</f>
        <v>0</v>
      </c>
      <c r="F78" s="375" t="n">
        <f aca="false">+F42*F60</f>
        <v>0</v>
      </c>
      <c r="G78" s="375" t="n">
        <f aca="false">+G42*G60</f>
        <v>0</v>
      </c>
      <c r="H78" s="375" t="n">
        <f aca="false">+H42*H60</f>
        <v>0</v>
      </c>
    </row>
    <row r="79" customFormat="false" ht="12.75" hidden="false" customHeight="false" outlineLevel="0" collapsed="false">
      <c r="A79" s="387"/>
      <c r="B79" s="388"/>
      <c r="C79" s="375" t="n">
        <f aca="false">+C43*C61</f>
        <v>0</v>
      </c>
      <c r="D79" s="375" t="n">
        <f aca="false">+D43*D61</f>
        <v>0</v>
      </c>
      <c r="E79" s="375" t="n">
        <f aca="false">+E43*E61</f>
        <v>0</v>
      </c>
      <c r="F79" s="375" t="n">
        <f aca="false">+F43*F61</f>
        <v>0</v>
      </c>
      <c r="G79" s="375" t="n">
        <f aca="false">+G43*G61</f>
        <v>0</v>
      </c>
      <c r="H79" s="375" t="n">
        <f aca="false">+H43*H61</f>
        <v>0</v>
      </c>
    </row>
    <row r="80" customFormat="false" ht="12.75" hidden="false" customHeight="false" outlineLevel="0" collapsed="false">
      <c r="A80" s="387"/>
      <c r="B80" s="388"/>
      <c r="C80" s="375" t="n">
        <f aca="false">+C44*C62</f>
        <v>0</v>
      </c>
      <c r="D80" s="375" t="n">
        <f aca="false">+D44*D62</f>
        <v>0</v>
      </c>
      <c r="E80" s="375" t="n">
        <f aca="false">+E44*E62</f>
        <v>0</v>
      </c>
      <c r="F80" s="375" t="n">
        <f aca="false">+F44*F62</f>
        <v>0</v>
      </c>
      <c r="G80" s="375" t="n">
        <f aca="false">+G44*G62</f>
        <v>0</v>
      </c>
      <c r="H80" s="375" t="n">
        <f aca="false">+H44*H62</f>
        <v>0</v>
      </c>
    </row>
    <row r="81" customFormat="false" ht="12.75" hidden="false" customHeight="false" outlineLevel="0" collapsed="false">
      <c r="A81" s="387"/>
      <c r="B81" s="388"/>
      <c r="C81" s="375" t="n">
        <f aca="false">+C45*C63</f>
        <v>0</v>
      </c>
      <c r="D81" s="375" t="n">
        <f aca="false">+D45*D63</f>
        <v>0</v>
      </c>
      <c r="E81" s="375" t="n">
        <f aca="false">+E45*E63</f>
        <v>0</v>
      </c>
      <c r="F81" s="375" t="n">
        <f aca="false">+F45*F63</f>
        <v>0</v>
      </c>
      <c r="G81" s="375" t="n">
        <f aca="false">+G45*G63</f>
        <v>0</v>
      </c>
      <c r="H81" s="375" t="n">
        <f aca="false">+H45*H63</f>
        <v>0</v>
      </c>
    </row>
    <row r="82" customFormat="false" ht="12.75" hidden="false" customHeight="false" outlineLevel="0" collapsed="false">
      <c r="A82" s="376"/>
      <c r="B82" s="388"/>
      <c r="C82" s="375" t="n">
        <f aca="false">+C46*C64</f>
        <v>0</v>
      </c>
      <c r="D82" s="375" t="n">
        <f aca="false">+D46*D64</f>
        <v>0</v>
      </c>
      <c r="E82" s="375" t="n">
        <f aca="false">+E46*E64</f>
        <v>0</v>
      </c>
      <c r="F82" s="375" t="n">
        <f aca="false">+F46*F64</f>
        <v>0</v>
      </c>
      <c r="G82" s="375" t="n">
        <f aca="false">+G46*G64</f>
        <v>0</v>
      </c>
      <c r="H82" s="375" t="n">
        <f aca="false">+H46*H64</f>
        <v>0</v>
      </c>
    </row>
    <row r="83" customFormat="false" ht="12.75" hidden="false" customHeight="false" outlineLevel="0" collapsed="false">
      <c r="A83" s="376"/>
      <c r="B83" s="388"/>
      <c r="C83" s="375" t="n">
        <f aca="false">+C47*C65</f>
        <v>0</v>
      </c>
      <c r="D83" s="375" t="n">
        <f aca="false">+D47*D65</f>
        <v>0</v>
      </c>
      <c r="E83" s="375" t="n">
        <f aca="false">+E47*E65</f>
        <v>0</v>
      </c>
      <c r="F83" s="375" t="n">
        <f aca="false">+F47*F65</f>
        <v>0</v>
      </c>
      <c r="G83" s="375" t="n">
        <f aca="false">+G47*G65</f>
        <v>0</v>
      </c>
      <c r="H83" s="375" t="n">
        <f aca="false">+H47*H65</f>
        <v>0</v>
      </c>
    </row>
    <row r="84" customFormat="false" ht="12.75" hidden="false" customHeight="false" outlineLevel="0" collapsed="false">
      <c r="A84" s="376"/>
      <c r="B84" s="388"/>
      <c r="C84" s="375" t="n">
        <f aca="false">+C48*C66</f>
        <v>0</v>
      </c>
      <c r="D84" s="375" t="n">
        <f aca="false">+D48*D66</f>
        <v>0</v>
      </c>
      <c r="E84" s="375" t="n">
        <f aca="false">+E48*E66</f>
        <v>0</v>
      </c>
      <c r="F84" s="375" t="n">
        <f aca="false">+F48*F66</f>
        <v>0</v>
      </c>
      <c r="G84" s="375" t="n">
        <f aca="false">+G48*G66</f>
        <v>0</v>
      </c>
      <c r="H84" s="375" t="n">
        <f aca="false">+H48*H66</f>
        <v>0</v>
      </c>
    </row>
    <row r="85" customFormat="false" ht="12.75" hidden="false" customHeight="false" outlineLevel="0" collapsed="false">
      <c r="A85" s="377"/>
      <c r="B85" s="388"/>
      <c r="C85" s="375" t="n">
        <f aca="false">+C49*C67</f>
        <v>0</v>
      </c>
      <c r="D85" s="375" t="n">
        <f aca="false">+D49*D67</f>
        <v>0</v>
      </c>
      <c r="E85" s="375" t="n">
        <f aca="false">+E49*E67</f>
        <v>0</v>
      </c>
      <c r="F85" s="375" t="n">
        <f aca="false">+F49*F67</f>
        <v>0</v>
      </c>
      <c r="G85" s="375" t="n">
        <f aca="false">+G49*G67</f>
        <v>0</v>
      </c>
      <c r="H85" s="375" t="n">
        <f aca="false">+H49*H67</f>
        <v>0</v>
      </c>
    </row>
    <row r="86" customFormat="false" ht="12.75" hidden="false" customHeight="false" outlineLevel="0" collapsed="false">
      <c r="A86" s="64" t="s">
        <v>200</v>
      </c>
      <c r="B86" s="64"/>
      <c r="C86" s="385" t="n">
        <f aca="false">+SUM(C72:C85)</f>
        <v>0</v>
      </c>
      <c r="D86" s="385" t="n">
        <f aca="false">+SUM(D72:D85)</f>
        <v>0</v>
      </c>
      <c r="E86" s="385" t="n">
        <f aca="false">+SUM(E72:E85)</f>
        <v>0</v>
      </c>
      <c r="F86" s="385" t="n">
        <f aca="false">+SUM(F72:F85)</f>
        <v>0</v>
      </c>
      <c r="G86" s="385" t="n">
        <f aca="false">+SUM(G72:G85)</f>
        <v>0</v>
      </c>
      <c r="H86" s="385" t="n">
        <f aca="false">+SUM(H72:H85)</f>
        <v>0</v>
      </c>
    </row>
    <row r="87" customFormat="false" ht="12.75" hidden="false" customHeight="false" outlineLevel="0" collapsed="false">
      <c r="A87" s="0"/>
    </row>
    <row r="88" customFormat="false" ht="12.75" hidden="false" customHeight="false" outlineLevel="0" collapsed="false">
      <c r="A88" s="0"/>
    </row>
    <row r="89" customFormat="false" ht="12.75" hidden="false" customHeight="false" outlineLevel="0" collapsed="false">
      <c r="A89" s="373" t="s">
        <v>409</v>
      </c>
    </row>
    <row r="90" customFormat="false" ht="12.75" hidden="false" customHeight="false" outlineLevel="0" collapsed="false">
      <c r="A90" s="373" t="s">
        <v>410</v>
      </c>
    </row>
  </sheetData>
  <mergeCells count="6">
    <mergeCell ref="A3:H3"/>
    <mergeCell ref="A32:B32"/>
    <mergeCell ref="A35:B35"/>
    <mergeCell ref="A53:B53"/>
    <mergeCell ref="A71:B71"/>
    <mergeCell ref="A86:B86"/>
  </mergeCells>
  <printOptions headings="false" gridLines="false" gridLinesSet="true" horizontalCentered="true" verticalCentered="false"/>
  <pageMargins left="0.75" right="0.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2016-12-16T03:29:37Z</dcterms:created>
  <dc:creator>David Gonçalves</dc:creator>
  <dc:description/>
  <dc:language>en-GB</dc:language>
  <cp:lastModifiedBy/>
  <dcterms:modified xsi:type="dcterms:W3CDTF">2016-12-21T02:22:03Z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