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b86dfb3fd0029/"/>
    </mc:Choice>
  </mc:AlternateContent>
  <xr:revisionPtr revIDLastSave="4" documentId="8_{FAF23E22-769D-42ED-BC13-5F1AD5848719}" xr6:coauthVersionLast="47" xr6:coauthVersionMax="47" xr10:uidLastSave="{9A001B29-0479-4D39-8968-792758A9DA21}"/>
  <workbookProtection workbookAlgorithmName="SHA-512" workbookHashValue="iGNQo5+jOW8ctxEReX4+8tsNCESUNDRbpDghdl8CBinQnU8pJGh2NqKb/yGY+6QQN2LHWhCibmaD8q5WDqeBfw==" workbookSaltValue="sYT4Rqib7EP3vnKSBKmU9w==" workbookSpinCount="100000" lockStructure="1"/>
  <bookViews>
    <workbookView xWindow="-120" yWindow="-120" windowWidth="20730" windowHeight="11160" xr2:uid="{489F9443-DEEC-4FD9-A24A-E1361780893D}"/>
  </bookViews>
  <sheets>
    <sheet name="PORTADA" sheetId="23" r:id="rId1"/>
    <sheet name="Tabla de Vehiculos Comprados" sheetId="15" r:id="rId2"/>
    <sheet name="Graficas de Vehiculos Comprados" sheetId="16" r:id="rId3"/>
    <sheet name="Preferencias-autos inteligentes" sheetId="22" r:id="rId4"/>
    <sheet name="Accidentes - Autos Inteligentes" sheetId="4" r:id="rId5"/>
    <sheet name="Accidentes - Autos normales" sheetId="14" r:id="rId6"/>
    <sheet name="Marcas y precios de autos intel" sheetId="17" r:id="rId7"/>
    <sheet name="Años en ventas y uso" sheetId="21" r:id="rId8"/>
    <sheet name="Proyeccion a futuro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5" l="1"/>
  <c r="I32" i="15"/>
  <c r="I31" i="15"/>
  <c r="I30" i="15"/>
  <c r="I29" i="15"/>
  <c r="I28" i="15"/>
  <c r="I27" i="15"/>
  <c r="I26" i="15"/>
  <c r="I25" i="15"/>
  <c r="I24" i="15"/>
  <c r="I23" i="15"/>
  <c r="I22" i="15"/>
  <c r="I15" i="15"/>
  <c r="I14" i="15"/>
  <c r="I13" i="15"/>
  <c r="I12" i="15"/>
  <c r="I11" i="15"/>
  <c r="I10" i="15"/>
  <c r="I9" i="15"/>
  <c r="I8" i="15"/>
  <c r="I7" i="15"/>
  <c r="I6" i="15"/>
  <c r="I5" i="15"/>
  <c r="I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I21" i="15"/>
  <c r="H21" i="15"/>
  <c r="I3" i="15"/>
  <c r="D32" i="15"/>
  <c r="D31" i="15"/>
  <c r="D30" i="15"/>
  <c r="D29" i="15"/>
  <c r="D28" i="15"/>
  <c r="D27" i="15"/>
  <c r="D26" i="15"/>
  <c r="D25" i="15"/>
  <c r="D24" i="15"/>
  <c r="D23" i="15"/>
  <c r="D22" i="15"/>
  <c r="C32" i="15"/>
  <c r="C31" i="15"/>
  <c r="C30" i="15"/>
  <c r="C29" i="15"/>
  <c r="C28" i="15"/>
  <c r="C27" i="15"/>
  <c r="C26" i="15"/>
  <c r="C25" i="15"/>
  <c r="C24" i="15"/>
  <c r="C23" i="15"/>
  <c r="C22" i="15"/>
  <c r="D21" i="15"/>
  <c r="C21" i="15"/>
  <c r="D13" i="15"/>
  <c r="D12" i="15"/>
  <c r="D11" i="15"/>
  <c r="D10" i="15"/>
  <c r="D9" i="15"/>
  <c r="D8" i="15"/>
  <c r="D7" i="15"/>
  <c r="D6" i="15"/>
  <c r="D5" i="15"/>
  <c r="D4" i="15"/>
  <c r="C13" i="15"/>
  <c r="C12" i="15"/>
  <c r="C11" i="15"/>
  <c r="C10" i="15"/>
  <c r="C9" i="15"/>
  <c r="C7" i="15"/>
  <c r="C8" i="15"/>
  <c r="C6" i="15"/>
  <c r="C5" i="15"/>
  <c r="C4" i="15"/>
  <c r="D3" i="15"/>
  <c r="C3" i="15"/>
  <c r="J6" i="14"/>
  <c r="J5" i="14"/>
  <c r="J4" i="14"/>
  <c r="H6" i="14"/>
  <c r="H5" i="14"/>
  <c r="H4" i="14"/>
  <c r="F6" i="14"/>
  <c r="F5" i="14"/>
  <c r="F4" i="14"/>
  <c r="D6" i="14"/>
  <c r="D5" i="14"/>
  <c r="D4" i="14"/>
  <c r="B6" i="14"/>
  <c r="B5" i="14"/>
  <c r="B4" i="14"/>
  <c r="A6" i="14"/>
  <c r="A5" i="14"/>
  <c r="A4" i="14"/>
  <c r="J3" i="14"/>
  <c r="H3" i="14"/>
  <c r="F3" i="14"/>
  <c r="D3" i="14"/>
  <c r="B3" i="14"/>
  <c r="A3" i="14"/>
  <c r="A2" i="14"/>
  <c r="H9" i="17"/>
  <c r="H8" i="17"/>
  <c r="H7" i="17"/>
  <c r="H6" i="17"/>
  <c r="H5" i="17"/>
  <c r="H4" i="17"/>
  <c r="H3" i="17"/>
  <c r="H2" i="17"/>
  <c r="H1" i="17"/>
  <c r="E8" i="17"/>
  <c r="E6" i="17"/>
  <c r="A9" i="22"/>
  <c r="B4" i="22"/>
  <c r="B3" i="22"/>
  <c r="A4" i="22"/>
  <c r="A3" i="22"/>
  <c r="E4" i="17"/>
  <c r="E3" i="17"/>
  <c r="E2" i="17"/>
  <c r="E1" i="17"/>
  <c r="A9" i="17"/>
  <c r="A8" i="17"/>
  <c r="A7" i="17"/>
  <c r="A6" i="17"/>
  <c r="A5" i="17"/>
  <c r="A4" i="17"/>
  <c r="A3" i="17"/>
  <c r="A2" i="17"/>
  <c r="A1" i="17"/>
  <c r="J8" i="21"/>
  <c r="J7" i="21"/>
  <c r="J6" i="21"/>
  <c r="J5" i="21"/>
  <c r="I8" i="21"/>
  <c r="I7" i="21"/>
  <c r="I6" i="21"/>
  <c r="I5" i="21"/>
  <c r="H8" i="21"/>
  <c r="H7" i="21"/>
  <c r="H6" i="21"/>
  <c r="H5" i="21"/>
  <c r="F8" i="21"/>
  <c r="F7" i="21"/>
  <c r="F6" i="21"/>
  <c r="F5" i="21"/>
  <c r="B2" i="21"/>
  <c r="B3" i="21"/>
  <c r="J4" i="21"/>
  <c r="I4" i="21"/>
  <c r="H4" i="21"/>
  <c r="F4" i="21"/>
  <c r="D4" i="21"/>
  <c r="C4" i="21"/>
  <c r="D8" i="21"/>
  <c r="D7" i="21"/>
  <c r="D6" i="21"/>
  <c r="D5" i="21"/>
  <c r="C7" i="21"/>
  <c r="C8" i="21"/>
  <c r="C6" i="21"/>
  <c r="C5" i="21"/>
  <c r="B8" i="21"/>
  <c r="B7" i="21"/>
  <c r="B6" i="21"/>
  <c r="B5" i="21"/>
  <c r="H3" i="21"/>
  <c r="C3" i="21"/>
  <c r="E8" i="19"/>
  <c r="E7" i="19"/>
  <c r="E6" i="19"/>
  <c r="E5" i="19"/>
  <c r="D8" i="19"/>
  <c r="D7" i="19"/>
  <c r="D6" i="19"/>
  <c r="D5" i="19"/>
  <c r="C8" i="19"/>
  <c r="C7" i="19"/>
  <c r="C6" i="19"/>
  <c r="C5" i="19"/>
  <c r="B8" i="19"/>
  <c r="B7" i="19"/>
  <c r="B6" i="19"/>
  <c r="B5" i="19"/>
  <c r="A8" i="19"/>
  <c r="A7" i="19"/>
  <c r="A6" i="19"/>
  <c r="A5" i="19"/>
  <c r="B3" i="19"/>
  <c r="E4" i="19"/>
  <c r="D4" i="19"/>
  <c r="C4" i="19"/>
  <c r="B4" i="19"/>
  <c r="A4" i="19"/>
  <c r="A1" i="4"/>
  <c r="A2" i="4"/>
  <c r="B2" i="4"/>
  <c r="C2" i="4"/>
  <c r="A3" i="4"/>
  <c r="B3" i="4"/>
  <c r="B14" i="4" s="1"/>
  <c r="C5" i="4" s="1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C8" i="4" l="1"/>
  <c r="C6" i="4"/>
  <c r="C12" i="4"/>
  <c r="C11" i="4"/>
  <c r="C7" i="4"/>
  <c r="C3" i="4"/>
  <c r="C10" i="4"/>
  <c r="C13" i="4"/>
  <c r="C14" i="4"/>
  <c r="C4" i="4"/>
  <c r="C9" i="4"/>
</calcChain>
</file>

<file path=xl/sharedStrings.xml><?xml version="1.0" encoding="utf-8"?>
<sst xmlns="http://schemas.openxmlformats.org/spreadsheetml/2006/main" count="40" uniqueCount="36">
  <si>
    <t>https://www.inegi.org.mx/sistemas/olap/consulta/general_ver4/MDXQueryDatos.asp?#Regreso&amp;c=</t>
  </si>
  <si>
    <t>Fuente de consulta:</t>
  </si>
  <si>
    <t>Unidades de Mil Millones</t>
  </si>
  <si>
    <t xml:space="preserve">                                                                                  Encuestas de Personas que han Comprado un Vehiculo Inteligente</t>
  </si>
  <si>
    <t>Unidades en Mil Millones</t>
  </si>
  <si>
    <t>Encuesta de Personas que han comprado un Vehiculo Inteligente</t>
  </si>
  <si>
    <t>Encuesta de Personas que han Comprado un Vehiculo Inteligente</t>
  </si>
  <si>
    <t>https://es.statista.com/estadisticas/499701/matriculaciones-de-automoviles-audi-en-espana/</t>
  </si>
  <si>
    <t>https://es.statista.com/estadisticas/499964/matriculaciones-de-automoviles-renault-en-espana/</t>
  </si>
  <si>
    <t>https://es.statista.com/grafico/25940/numero-de-vehiculos-entregados-por-tesla/</t>
  </si>
  <si>
    <t>https://es.statista.com/estadisticas/499894/matriculaciones-de-automoviles-lexus-en-espana/</t>
  </si>
  <si>
    <t>Links:</t>
  </si>
  <si>
    <t>2010-2021</t>
  </si>
  <si>
    <t>Audi</t>
  </si>
  <si>
    <t>Renault</t>
  </si>
  <si>
    <t>2011-2021</t>
  </si>
  <si>
    <t>Lexus</t>
  </si>
  <si>
    <t>2012-2021</t>
  </si>
  <si>
    <t>Tesla</t>
  </si>
  <si>
    <t>https://www.genesis.com/us/en/2021/genesis-gv80.html</t>
  </si>
  <si>
    <t>GV80</t>
  </si>
  <si>
    <t>https://www.porsche.com/mexico/models/panamera/panamera-models/panamera/</t>
  </si>
  <si>
    <t>https://toyota.mx/modelo/rav4</t>
  </si>
  <si>
    <t>RAV4</t>
  </si>
  <si>
    <t>https://www.mercedes-benz.com.mx/es/vehicles/class/s-class/sedan#modelos</t>
  </si>
  <si>
    <t>https://www.volvocars.com/mx/v/cars/xc90</t>
  </si>
  <si>
    <t>XC90</t>
  </si>
  <si>
    <t>https://www.caranddriver.com/volkswagen/id4</t>
  </si>
  <si>
    <t xml:space="preserve">https://www.bmwusa.com/vehicles/7-series/sedan/core-models.html </t>
  </si>
  <si>
    <t>https://www.tesla.com/es_mx/models</t>
  </si>
  <si>
    <t>https://es.statista.com/estadisticas/1114981/volumen-ventas-vehiculos-electricos-hibridos-mexico/</t>
  </si>
  <si>
    <t>https://www.jato.com/mexico/venta-de-vehiculos-hibridos-incrementa-6-5-en-mexico/</t>
  </si>
  <si>
    <t>https://www.amia.com.mx/2022/02/04/reporte-de-venta-de-vehiculos-hibridos-y-electricos-a-noviembre-2021/</t>
  </si>
  <si>
    <t xml:space="preserve">Fuente: </t>
  </si>
  <si>
    <t># de Personas</t>
  </si>
  <si>
    <t>Preferencias sobre los autos autonomos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</si>
</sst>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18"/>
    </font>
    <font>
      <sz val="11"/>
      <color theme="1"/>
      <name val="Arial"/>
      <family val="2"/>
    </font>
    <font>
      <u/>
      <sz val="12"/>
      <color theme="10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3"/>
      <name val="Arial"/>
      <family val="2"/>
    </font>
    <font>
      <b/>
      <sz val="14"/>
      <color theme="3"/>
      <name val="Calibri"/>
      <family val="2"/>
      <scheme val="minor"/>
    </font>
    <font>
      <sz val="12"/>
      <color theme="1"/>
      <name val="Aharon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medium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medium">
        <color theme="3" tint="0.79998168889431442"/>
      </top>
      <bottom style="thin">
        <color theme="3" tint="0.79998168889431442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164" fontId="1" fillId="0" borderId="1" xfId="1" applyNumberFormat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3" fontId="0" fillId="0" borderId="0" xfId="0" applyNumberFormat="1"/>
    <xf numFmtId="3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7" xfId="0" applyFont="1" applyFill="1" applyBorder="1"/>
    <xf numFmtId="0" fontId="6" fillId="3" borderId="8" xfId="0" applyFont="1" applyFill="1" applyBorder="1"/>
    <xf numFmtId="0" fontId="0" fillId="3" borderId="0" xfId="0" applyFill="1"/>
    <xf numFmtId="0" fontId="5" fillId="3" borderId="7" xfId="0" applyFont="1" applyFill="1" applyBorder="1"/>
    <xf numFmtId="0" fontId="3" fillId="0" borderId="0" xfId="2"/>
    <xf numFmtId="0" fontId="6" fillId="0" borderId="0" xfId="0" applyFont="1"/>
    <xf numFmtId="0" fontId="7" fillId="5" borderId="14" xfId="0" applyFont="1" applyFill="1" applyBorder="1"/>
    <xf numFmtId="0" fontId="8" fillId="6" borderId="20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vertical="center"/>
    </xf>
    <xf numFmtId="0" fontId="8" fillId="6" borderId="19" xfId="0" applyFont="1" applyFill="1" applyBorder="1"/>
    <xf numFmtId="0" fontId="8" fillId="6" borderId="17" xfId="0" applyFont="1" applyFill="1" applyBorder="1"/>
    <xf numFmtId="0" fontId="8" fillId="6" borderId="18" xfId="0" applyFont="1" applyFill="1" applyBorder="1"/>
    <xf numFmtId="3" fontId="8" fillId="6" borderId="17" xfId="0" applyNumberFormat="1" applyFont="1" applyFill="1" applyBorder="1"/>
    <xf numFmtId="0" fontId="5" fillId="0" borderId="0" xfId="0" applyFont="1"/>
    <xf numFmtId="0" fontId="9" fillId="0" borderId="0" xfId="2" applyFont="1"/>
    <xf numFmtId="0" fontId="11" fillId="6" borderId="2" xfId="0" applyFont="1" applyFill="1" applyBorder="1"/>
    <xf numFmtId="0" fontId="11" fillId="6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12" fillId="9" borderId="1" xfId="1" applyFont="1" applyFill="1" applyAlignment="1">
      <alignment horizontal="center"/>
    </xf>
    <xf numFmtId="0" fontId="13" fillId="9" borderId="1" xfId="1" applyFont="1" applyFill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2" applyAlignment="1">
      <alignment horizontal="left"/>
    </xf>
    <xf numFmtId="164" fontId="1" fillId="0" borderId="1" xfId="1" applyNumberFormat="1" applyAlignment="1" applyProtection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</cellXfs>
  <cellStyles count="3">
    <cellStyle name="Heading 3" xfId="1" builtinId="18"/>
    <cellStyle name="Hyperlink" xfId="2" builtinId="8"/>
    <cellStyle name="Normal" xfId="0" builtinId="0"/>
  </cellStyles>
  <dxfs count="35"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Preferencias sobre los autos Autonomos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0E-4BFD-961E-FD7B83C271D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0E-4BFD-961E-FD7B83C271DE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'Preferencias-autos inteligentes'!$A$3:$A$4</c:f>
              <c:strCache>
                <c:ptCount val="2"/>
                <c:pt idx="0">
                  <c:v>Personas Que Si Confian</c:v>
                </c:pt>
                <c:pt idx="1">
                  <c:v>Personas Que No Confian</c:v>
                </c:pt>
              </c:strCache>
            </c:strRef>
          </c:cat>
          <c:val>
            <c:numRef>
              <c:f>'Preferencias-autos inteligentes'!$B$3:$B$4</c:f>
              <c:numCache>
                <c:formatCode>General</c:formatCode>
                <c:ptCount val="2"/>
                <c:pt idx="0">
                  <c:v>72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0E-4BFD-961E-FD7B83C271D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Accidentes de automóviles inteligentes</a:t>
            </a:r>
            <a:r>
              <a:rPr lang="en-US" baseline="0"/>
              <a:t> </a:t>
            </a:r>
            <a:r>
              <a:rPr lang="en-US"/>
              <a:t>en México</a:t>
            </a:r>
            <a:r>
              <a:rPr lang="en-US" baseline="0"/>
              <a:t> en</a:t>
            </a:r>
            <a:r>
              <a:rPr lang="en-US"/>
              <a:t> los últimos 3 años</a:t>
            </a:r>
          </a:p>
        </c:rich>
      </c:tx>
      <c:layout>
        <c:manualLayout>
          <c:xMode val="edge"/>
          <c:yMode val="edge"/>
          <c:x val="0.11854998427935273"/>
          <c:y val="2.0524611217535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341381357912702E-2"/>
          <c:y val="0.22540399936851205"/>
          <c:w val="0.95110231064311146"/>
          <c:h val="0.48991589252912843"/>
        </c:manualLayout>
      </c:layout>
      <c:pie3D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9E6-41E5-ADC0-15C6229D27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9E6-41E5-ADC0-15C6229D27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69E6-41E5-ADC0-15C6229D27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69E6-41E5-ADC0-15C6229D27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69E6-41E5-ADC0-15C6229D27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69E6-41E5-ADC0-15C6229D27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69E6-41E5-ADC0-15C6229D27E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69E6-41E5-ADC0-15C6229D27E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69E6-41E5-ADC0-15C6229D27E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69E6-41E5-ADC0-15C6229D27E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69E6-41E5-ADC0-15C6229D27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'Accidentes - Autos Inteligentes'!$A$3:$A$13</c:f>
              <c:strCache>
                <c:ptCount val="11"/>
                <c:pt idx="0">
                  <c:v> Perdida Del Control </c:v>
                </c:pt>
                <c:pt idx="1">
                  <c:v> Choque </c:v>
                </c:pt>
                <c:pt idx="2">
                  <c:v> Daños Cuando Se Encontraba Aparcado </c:v>
                </c:pt>
                <c:pt idx="3">
                  <c:v> Colisiones </c:v>
                </c:pt>
                <c:pt idx="4">
                  <c:v> Daños Durante La Carga </c:v>
                </c:pt>
                <c:pt idx="5">
                  <c:v> Incendio Accidental </c:v>
                </c:pt>
                <c:pt idx="6">
                  <c:v> Desconocido </c:v>
                </c:pt>
                <c:pt idx="7">
                  <c:v> Daños Durante El Viaje </c:v>
                </c:pt>
                <c:pt idx="8">
                  <c:v> Inundación Del Vehículo </c:v>
                </c:pt>
                <c:pt idx="9">
                  <c:v> Piloto Automático </c:v>
                </c:pt>
                <c:pt idx="10">
                  <c:v> Incendio Provocado </c:v>
                </c:pt>
              </c:strCache>
            </c:strRef>
          </c:cat>
          <c:val>
            <c:numRef>
              <c:f>'Accidentes - Autos Inteligentes'!$B$3:$B$13</c:f>
              <c:numCache>
                <c:formatCode>_(* #,##0.00_);_(* \(#,##0.00\);_(* "-"??_);_(@_)</c:formatCode>
                <c:ptCount val="11"/>
                <c:pt idx="0">
                  <c:v>76</c:v>
                </c:pt>
                <c:pt idx="1">
                  <c:v>39</c:v>
                </c:pt>
                <c:pt idx="2">
                  <c:v>28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11</c:v>
                </c:pt>
                <c:pt idx="7">
                  <c:v>9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9E6-41E5-ADC0-15C6229D2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Accidentes</a:t>
            </a:r>
            <a:r>
              <a:rPr lang="es-MX" baseline="0"/>
              <a:t> Automovilisticos en Mexico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'Accidentes - Autos normales'!$A$4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'Accidentes - Autos normales'!$B$3:$J$3</c:f>
              <c:strCache>
                <c:ptCount val="9"/>
                <c:pt idx="0">
                  <c:v>Causa Por Conductor</c:v>
                </c:pt>
                <c:pt idx="2">
                  <c:v>Causa Por Pasajero O Peaton</c:v>
                </c:pt>
                <c:pt idx="4">
                  <c:v>Falla Del Vehículo</c:v>
                </c:pt>
                <c:pt idx="6">
                  <c:v>Malas Condiciones De La Carretera</c:v>
                </c:pt>
                <c:pt idx="8">
                  <c:v>Otro</c:v>
                </c:pt>
              </c:strCache>
            </c:strRef>
          </c:cat>
          <c:val>
            <c:numRef>
              <c:f>'Accidentes - Autos normales'!$B$4:$J$4</c:f>
              <c:numCache>
                <c:formatCode>General</c:formatCode>
                <c:ptCount val="9"/>
                <c:pt idx="0" formatCode="#,##0">
                  <c:v>299358</c:v>
                </c:pt>
                <c:pt idx="2">
                  <c:v>2673</c:v>
                </c:pt>
                <c:pt idx="4">
                  <c:v>3153</c:v>
                </c:pt>
                <c:pt idx="6">
                  <c:v>8132</c:v>
                </c:pt>
                <c:pt idx="8" formatCode="#,##0">
                  <c:v>10788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E-4A51-8AEB-5422B7059E87}"/>
            </c:ext>
          </c:extLst>
        </c:ser>
        <c:ser>
          <c:idx val="1"/>
          <c:order val="1"/>
          <c:tx>
            <c:strRef>
              <c:f>'Accidentes - Autos normales'!$A$5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'Accidentes - Autos normales'!$B$3:$J$3</c:f>
              <c:strCache>
                <c:ptCount val="9"/>
                <c:pt idx="0">
                  <c:v>Causa Por Conductor</c:v>
                </c:pt>
                <c:pt idx="2">
                  <c:v>Causa Por Pasajero O Peaton</c:v>
                </c:pt>
                <c:pt idx="4">
                  <c:v>Falla Del Vehículo</c:v>
                </c:pt>
                <c:pt idx="6">
                  <c:v>Malas Condiciones De La Carretera</c:v>
                </c:pt>
                <c:pt idx="8">
                  <c:v>Otro</c:v>
                </c:pt>
              </c:strCache>
            </c:strRef>
          </c:cat>
          <c:val>
            <c:numRef>
              <c:f>'Accidentes - Autos normales'!$B$5:$J$5</c:f>
              <c:numCache>
                <c:formatCode>General</c:formatCode>
                <c:ptCount val="9"/>
                <c:pt idx="0" formatCode="#,##0">
                  <c:v>299132</c:v>
                </c:pt>
                <c:pt idx="2">
                  <c:v>2716</c:v>
                </c:pt>
                <c:pt idx="4">
                  <c:v>3104</c:v>
                </c:pt>
                <c:pt idx="6">
                  <c:v>8026</c:v>
                </c:pt>
                <c:pt idx="8" formatCode="#,##0">
                  <c:v>10782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E-4A51-8AEB-5422B7059E87}"/>
            </c:ext>
          </c:extLst>
        </c:ser>
        <c:ser>
          <c:idx val="2"/>
          <c:order val="2"/>
          <c:tx>
            <c:strRef>
              <c:f>'Accidentes - Autos normales'!$A$6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'Accidentes - Autos normales'!$B$3:$J$3</c:f>
              <c:strCache>
                <c:ptCount val="9"/>
                <c:pt idx="0">
                  <c:v>Causa Por Conductor</c:v>
                </c:pt>
                <c:pt idx="2">
                  <c:v>Causa Por Pasajero O Peaton</c:v>
                </c:pt>
                <c:pt idx="4">
                  <c:v>Falla Del Vehículo</c:v>
                </c:pt>
                <c:pt idx="6">
                  <c:v>Malas Condiciones De La Carretera</c:v>
                </c:pt>
                <c:pt idx="8">
                  <c:v>Otro</c:v>
                </c:pt>
              </c:strCache>
            </c:strRef>
          </c:cat>
          <c:val>
            <c:numRef>
              <c:f>'Accidentes - Autos normales'!$B$6:$J$6</c:f>
              <c:numCache>
                <c:formatCode>General</c:formatCode>
                <c:ptCount val="9"/>
                <c:pt idx="0" formatCode="#,##0">
                  <c:v>255482</c:v>
                </c:pt>
                <c:pt idx="2">
                  <c:v>1771</c:v>
                </c:pt>
                <c:pt idx="4">
                  <c:v>2856</c:v>
                </c:pt>
                <c:pt idx="6">
                  <c:v>4272</c:v>
                </c:pt>
                <c:pt idx="8">
                  <c:v>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4E-4A51-8AEB-5422B7059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089168"/>
        <c:axId val="1088087504"/>
      </c:barChart>
      <c:catAx>
        <c:axId val="1088089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087504"/>
        <c:crosses val="autoZero"/>
        <c:auto val="1"/>
        <c:lblAlgn val="ctr"/>
        <c:lblOffset val="100"/>
        <c:noMultiLvlLbl val="0"/>
      </c:catAx>
      <c:valAx>
        <c:axId val="10880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Numero</a:t>
                </a:r>
                <a:r>
                  <a:rPr lang="es-MX" baseline="0"/>
                  <a:t> de accidentes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089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'Marcas y precios de autos intel'!$H$1</c:f>
              <c:strCache>
                <c:ptCount val="1"/>
                <c:pt idx="0">
                  <c:v>Precio (Millones De Mxn)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'Marcas y precios de autos intel'!$E$2:$E$9</c:f>
              <c:strCache>
                <c:ptCount val="8"/>
                <c:pt idx="0">
                  <c:v>Model S</c:v>
                </c:pt>
                <c:pt idx="1">
                  <c:v>740I Xdrive Sedan</c:v>
                </c:pt>
                <c:pt idx="2">
                  <c:v>2023 Id. 4</c:v>
                </c:pt>
                <c:pt idx="3">
                  <c:v>XC90</c:v>
                </c:pt>
                <c:pt idx="4">
                  <c:v>S-Class Sedan</c:v>
                </c:pt>
                <c:pt idx="5">
                  <c:v>RAV4</c:v>
                </c:pt>
                <c:pt idx="6">
                  <c:v>Panamera</c:v>
                </c:pt>
                <c:pt idx="7">
                  <c:v>GV80</c:v>
                </c:pt>
              </c:strCache>
            </c:strRef>
          </c:cat>
          <c:val>
            <c:numRef>
              <c:f>'Marcas y precios de autos intel'!$H$2:$H$9</c:f>
              <c:numCache>
                <c:formatCode>General</c:formatCode>
                <c:ptCount val="8"/>
                <c:pt idx="0">
                  <c:v>3.2149999999999999</c:v>
                </c:pt>
                <c:pt idx="1">
                  <c:v>1.8089999999999999</c:v>
                </c:pt>
                <c:pt idx="2">
                  <c:v>0.70499999999999996</c:v>
                </c:pt>
                <c:pt idx="3">
                  <c:v>1.468</c:v>
                </c:pt>
                <c:pt idx="4">
                  <c:v>2.5750000000000002</c:v>
                </c:pt>
                <c:pt idx="5">
                  <c:v>0.50900000000000001</c:v>
                </c:pt>
                <c:pt idx="6">
                  <c:v>1.8879999999999999</c:v>
                </c:pt>
                <c:pt idx="7">
                  <c:v>0.98499999999999999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2-44D7-AA81-81206EA68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7516912"/>
        <c:axId val="457514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'Marcas y precios de autos intel'!$F$1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'Marcas y precios de autos intel'!$F$2:$F$9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452-44D7-AA81-81206EA681E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52-44D7-AA81-81206EA681E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52-44D7-AA81-81206EA681E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52-44D7-AA81-81206EA681E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52-44D7-AA81-81206EA681E6}"/>
                  </c:ext>
                </c:extLst>
              </c15:ser>
            </c15:filteredBarSeries>
          </c:ext>
        </c:extLst>
      </c:barChart>
      <c:catAx>
        <c:axId val="45751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14944"/>
        <c:crosses val="autoZero"/>
        <c:auto val="1"/>
        <c:lblAlgn val="ctr"/>
        <c:lblOffset val="100"/>
        <c:noMultiLvlLbl val="0"/>
      </c:catAx>
      <c:valAx>
        <c:axId val="45751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1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'Años en ventas y uso'!$C$4</c:f>
              <c:strCache>
                <c:ptCount val="1"/>
                <c:pt idx="0">
                  <c:v>Electricos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'Años en ventas y uso'!$B$5:$B$8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'Años en ventas y uso'!$C$5:$C$8</c:f>
              <c:numCache>
                <c:formatCode>General</c:formatCode>
                <c:ptCount val="4"/>
                <c:pt idx="0">
                  <c:v>201</c:v>
                </c:pt>
                <c:pt idx="1">
                  <c:v>305</c:v>
                </c:pt>
                <c:pt idx="2">
                  <c:v>449</c:v>
                </c:pt>
                <c:pt idx="3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2F9-8DA2-31D76D60C264}"/>
            </c:ext>
          </c:extLst>
        </c:ser>
        <c:ser>
          <c:idx val="1"/>
          <c:order val="1"/>
          <c:tx>
            <c:strRef>
              <c:f>'Años en ventas y uso'!$D$4</c:f>
              <c:strCache>
                <c:ptCount val="1"/>
                <c:pt idx="0">
                  <c:v>Hibridos Enchufables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'Años en ventas y uso'!$B$5:$B$8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'Años en ventas y uso'!$W$2:$W$5</c:f>
              <c:numCache>
                <c:formatCode>General</c:formatCode>
                <c:ptCount val="4"/>
                <c:pt idx="0">
                  <c:v>1584</c:v>
                </c:pt>
                <c:pt idx="1">
                  <c:v>1339</c:v>
                </c:pt>
                <c:pt idx="2">
                  <c:v>1817</c:v>
                </c:pt>
                <c:pt idx="3">
                  <c:v>2515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9-42F9-8DA2-31D76D60C264}"/>
            </c:ext>
          </c:extLst>
        </c:ser>
        <c:ser>
          <c:idx val="2"/>
          <c:order val="2"/>
          <c:tx>
            <c:strRef>
              <c:f>'Años en ventas y uso'!$F$4</c:f>
              <c:strCache>
                <c:ptCount val="1"/>
                <c:pt idx="0">
                  <c:v>Hibridos Regulares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'Años en ventas y uso'!$B$5:$B$8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'Años en ventas y uso'!$X$2:$X$5</c:f>
              <c:numCache>
                <c:formatCode>General</c:formatCode>
                <c:ptCount val="4"/>
                <c:pt idx="0">
                  <c:v>16022</c:v>
                </c:pt>
                <c:pt idx="1">
                  <c:v>23964</c:v>
                </c:pt>
                <c:pt idx="2">
                  <c:v>22139</c:v>
                </c:pt>
                <c:pt idx="3">
                  <c:v>35911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9-42F9-8DA2-31D76D60C264}"/>
            </c:ext>
          </c:extLst>
        </c:ser>
        <c:ser>
          <c:idx val="3"/>
          <c:order val="3"/>
          <c:tx>
            <c:strRef>
              <c:f>'Años en ventas y uso'!$H$4</c:f>
              <c:strCache>
                <c:ptCount val="1"/>
                <c:pt idx="0">
                  <c:v>TESLA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'Años en ventas y uso'!$H$5:$H$8</c:f>
              <c:numCache>
                <c:formatCode>#,##0</c:formatCode>
                <c:ptCount val="4"/>
                <c:pt idx="0">
                  <c:v>11122</c:v>
                </c:pt>
                <c:pt idx="1">
                  <c:v>14652</c:v>
                </c:pt>
                <c:pt idx="2">
                  <c:v>16223</c:v>
                </c:pt>
                <c:pt idx="3">
                  <c:v>18472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A9-42F9-8DA2-31D76D60C264}"/>
            </c:ext>
          </c:extLst>
        </c:ser>
        <c:ser>
          <c:idx val="4"/>
          <c:order val="4"/>
          <c:tx>
            <c:strRef>
              <c:f>'Años en ventas y uso'!$I$4</c:f>
              <c:strCache>
                <c:ptCount val="1"/>
                <c:pt idx="0">
                  <c:v>NISSAN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'Años en ventas y uso'!$I$5:$I$8</c:f>
              <c:numCache>
                <c:formatCode>#,##0</c:formatCode>
                <c:ptCount val="4"/>
                <c:pt idx="0">
                  <c:v>1223</c:v>
                </c:pt>
                <c:pt idx="1">
                  <c:v>5156</c:v>
                </c:pt>
                <c:pt idx="2">
                  <c:v>7746</c:v>
                </c:pt>
                <c:pt idx="3">
                  <c:v>11990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A9-42F9-8DA2-31D76D60C264}"/>
            </c:ext>
          </c:extLst>
        </c:ser>
        <c:ser>
          <c:idx val="5"/>
          <c:order val="5"/>
          <c:tx>
            <c:strRef>
              <c:f>'Años en ventas y uso'!$J$4</c:f>
              <c:strCache>
                <c:ptCount val="1"/>
                <c:pt idx="0">
                  <c:v>TOYOTA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'Años en ventas y uso'!$J$5:$J$8</c:f>
              <c:numCache>
                <c:formatCode>#,##0</c:formatCode>
                <c:ptCount val="4"/>
                <c:pt idx="0">
                  <c:v>9478</c:v>
                </c:pt>
                <c:pt idx="1">
                  <c:v>12652</c:v>
                </c:pt>
                <c:pt idx="2">
                  <c:v>15068</c:v>
                </c:pt>
                <c:pt idx="3">
                  <c:v>18886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A9-42F9-8DA2-31D76D60C2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34060928"/>
        <c:axId val="634065192"/>
      </c:barChart>
      <c:catAx>
        <c:axId val="6340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65192"/>
        <c:crosses val="autoZero"/>
        <c:auto val="1"/>
        <c:lblAlgn val="ctr"/>
        <c:lblOffset val="100"/>
        <c:noMultiLvlLbl val="0"/>
      </c:catAx>
      <c:valAx>
        <c:axId val="634065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6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'Proyeccion a futuro'!$A$5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futuro'!$B$5:$E$5</c:f>
              <c:numCache>
                <c:formatCode>General</c:formatCode>
                <c:ptCount val="4"/>
                <c:pt idx="0">
                  <c:v>2213</c:v>
                </c:pt>
                <c:pt idx="1">
                  <c:v>3245</c:v>
                </c:pt>
                <c:pt idx="2">
                  <c:v>449</c:v>
                </c:pt>
                <c:pt idx="3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0-4E25-8827-13974B755EDC}"/>
            </c:ext>
          </c:extLst>
        </c:ser>
        <c:ser>
          <c:idx val="1"/>
          <c:order val="1"/>
          <c:tx>
            <c:strRef>
              <c:f>'Proyeccion a futuro'!$A$6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futuro'!$B$6:$E$6</c:f>
              <c:numCache>
                <c:formatCode>#,##0</c:formatCode>
                <c:ptCount val="4"/>
                <c:pt idx="0" formatCode="General">
                  <c:v>3595</c:v>
                </c:pt>
                <c:pt idx="1">
                  <c:v>3456</c:v>
                </c:pt>
                <c:pt idx="2" formatCode="General">
                  <c:v>768</c:v>
                </c:pt>
                <c:pt idx="3" formatCode="General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0-4E25-8827-13974B755EDC}"/>
            </c:ext>
          </c:extLst>
        </c:ser>
        <c:ser>
          <c:idx val="2"/>
          <c:order val="2"/>
          <c:tx>
            <c:strRef>
              <c:f>'Proyeccion a futuro'!$A$7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futuro'!$B$7:$E$7</c:f>
              <c:numCache>
                <c:formatCode>General</c:formatCode>
                <c:ptCount val="4"/>
                <c:pt idx="0">
                  <c:v>3815</c:v>
                </c:pt>
                <c:pt idx="1">
                  <c:v>3495</c:v>
                </c:pt>
                <c:pt idx="2">
                  <c:v>825</c:v>
                </c:pt>
                <c:pt idx="3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40-4E25-8827-13974B755EDC}"/>
            </c:ext>
          </c:extLst>
        </c:ser>
        <c:ser>
          <c:idx val="3"/>
          <c:order val="3"/>
          <c:tx>
            <c:strRef>
              <c:f>'Proyeccion a futuro'!$A$8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futuro'!$B$8:$E$8</c:f>
              <c:numCache>
                <c:formatCode>General</c:formatCode>
                <c:ptCount val="4"/>
                <c:pt idx="0">
                  <c:v>4285</c:v>
                </c:pt>
                <c:pt idx="1">
                  <c:v>4312</c:v>
                </c:pt>
                <c:pt idx="2">
                  <c:v>985</c:v>
                </c:pt>
                <c:pt idx="3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40-4E25-8827-13974B755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19424"/>
        <c:axId val="99738368"/>
      </c:barChart>
      <c:catAx>
        <c:axId val="99719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738368"/>
        <c:crosses val="autoZero"/>
        <c:auto val="1"/>
        <c:lblAlgn val="ctr"/>
        <c:lblOffset val="100"/>
        <c:noMultiLvlLbl val="0"/>
      </c:catAx>
      <c:valAx>
        <c:axId val="9973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19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9526</xdr:rowOff>
    </xdr:from>
    <xdr:to>
      <xdr:col>8</xdr:col>
      <xdr:colOff>647700</xdr:colOff>
      <xdr:row>47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635471-B223-4B7A-9CC6-72327ED294EC}"/>
            </a:ext>
          </a:extLst>
        </xdr:cNvPr>
        <xdr:cNvSpPr txBox="1"/>
      </xdr:nvSpPr>
      <xdr:spPr>
        <a:xfrm>
          <a:off x="9524" y="9526"/>
          <a:ext cx="5895976" cy="894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Universidad Autónoma de Nuevo León</a:t>
          </a:r>
        </a:p>
        <a:p>
          <a:pPr algn="ctr"/>
          <a:r>
            <a:rPr lang="es-419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Facultad de Ingeniería Mecánica y Eléctrica</a:t>
          </a:r>
          <a:endParaRPr lang="en-US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s-419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Aplicación de las Tecnologías de la Información</a:t>
          </a:r>
          <a:endParaRPr lang="en-US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s-419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Formación General Universitaria </a:t>
          </a:r>
        </a:p>
        <a:p>
          <a:pPr algn="ctr"/>
          <a:endParaRPr lang="es-419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 b="1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A2. </a:t>
          </a:r>
          <a:r>
            <a:rPr lang="en-US" sz="1100" b="0" i="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Modelo matemático en hoja de cálculo relacionado con su disciplina de estudio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Maestro: Ing. Jorge Alejandro Lozano González 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Semestre: Enero - Junio 2022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Grupo: 037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Equipo 1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1724118 	Hernández Feliciano Leydi Rubi 	                              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1950489 	Hernandez Toscano Uriel Antonio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1975181 	Rangel Herrera Juan Alberto         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1997171 	Ortiz Cruz Reynaldo Emanuel        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2017760 	Miranda Atilano Luis David           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2017937 	Emilio Santiago Lara Solis 	                             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2018376 	Duran Solorio Justin Daniel 	                             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2018437 	Vidal Gloria Diego 	                             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2018532 	Guerrero Martínez Isela Esmeralda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2128045 	Méndez Méndez Iván Benigno   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2128047 	González Juárez José Antonio 	                            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2128053 	López Rodríguez Laura Ivonne          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2128056 	Hernández Gutiérrez Jeyson Everardo 		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2128068 	Vázquez Hernandez Emiliano             		</a:t>
          </a: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Ciudad Universitaria, a 08 de Abril de 2022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161926</xdr:rowOff>
    </xdr:from>
    <xdr:to>
      <xdr:col>2</xdr:col>
      <xdr:colOff>24765</xdr:colOff>
      <xdr:row>7</xdr:row>
      <xdr:rowOff>26671</xdr:rowOff>
    </xdr:to>
    <xdr:pic>
      <xdr:nvPicPr>
        <xdr:cNvPr id="3" name="image3.png" descr="Logo&#10;&#10;Description automatically generated">
          <a:extLst>
            <a:ext uri="{FF2B5EF4-FFF2-40B4-BE49-F238E27FC236}">
              <a16:creationId xmlns:a16="http://schemas.microsoft.com/office/drawing/2014/main" id="{E58B60B3-6117-49A4-B35F-11A8C0A407D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61926"/>
          <a:ext cx="1339215" cy="1198245"/>
        </a:xfrm>
        <a:prstGeom prst="rect">
          <a:avLst/>
        </a:prstGeom>
        <a:ln/>
      </xdr:spPr>
    </xdr:pic>
    <xdr:clientData/>
  </xdr:twoCellAnchor>
  <xdr:twoCellAnchor editAs="oneCell">
    <xdr:from>
      <xdr:col>7</xdr:col>
      <xdr:colOff>66674</xdr:colOff>
      <xdr:row>0</xdr:row>
      <xdr:rowOff>85726</xdr:rowOff>
    </xdr:from>
    <xdr:to>
      <xdr:col>8</xdr:col>
      <xdr:colOff>466724</xdr:colOff>
      <xdr:row>6</xdr:row>
      <xdr:rowOff>100966</xdr:rowOff>
    </xdr:to>
    <xdr:pic>
      <xdr:nvPicPr>
        <xdr:cNvPr id="4" name="image2.jpg" descr="Diagram&#10;&#10;Description automatically generated with medium confidence">
          <a:extLst>
            <a:ext uri="{FF2B5EF4-FFF2-40B4-BE49-F238E27FC236}">
              <a16:creationId xmlns:a16="http://schemas.microsoft.com/office/drawing/2014/main" id="{47EFCED7-036F-4722-A23D-9C2955FC953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67249" y="85726"/>
          <a:ext cx="1057275" cy="1158240"/>
        </a:xfrm>
        <a:prstGeom prst="rect">
          <a:avLst/>
        </a:prstGeom>
        <a:ln/>
      </xdr:spPr>
    </xdr:pic>
    <xdr:clientData/>
  </xdr:twoCellAnchor>
  <xdr:twoCellAnchor>
    <xdr:from>
      <xdr:col>10</xdr:col>
      <xdr:colOff>1</xdr:colOff>
      <xdr:row>43</xdr:row>
      <xdr:rowOff>180975</xdr:rowOff>
    </xdr:from>
    <xdr:to>
      <xdr:col>13</xdr:col>
      <xdr:colOff>9525</xdr:colOff>
      <xdr:row>46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4A584C-96F1-416A-B672-1C1E2C272FA4}"/>
            </a:ext>
          </a:extLst>
        </xdr:cNvPr>
        <xdr:cNvSpPr txBox="1"/>
      </xdr:nvSpPr>
      <xdr:spPr>
        <a:xfrm>
          <a:off x="6096001" y="8372475"/>
          <a:ext cx="1838324" cy="5619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Contraseña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de libro protegido: azul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13</xdr:col>
      <xdr:colOff>9524</xdr:colOff>
      <xdr:row>42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50D4BB-1B18-4A7C-9987-FEDBB5F6490F}"/>
            </a:ext>
          </a:extLst>
        </xdr:cNvPr>
        <xdr:cNvSpPr txBox="1"/>
      </xdr:nvSpPr>
      <xdr:spPr>
        <a:xfrm>
          <a:off x="6096000" y="7620000"/>
          <a:ext cx="1838324" cy="5619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Contraseña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de hojas protegidas: azul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7621</xdr:colOff>
      <xdr:row>2</xdr:row>
      <xdr:rowOff>15240</xdr:rowOff>
    </xdr:from>
    <xdr:ext cx="5446122" cy="3985260"/>
    <xdr:pic>
      <xdr:nvPicPr>
        <xdr:cNvPr id="2" name="Imagen 2">
          <a:extLst>
            <a:ext uri="{FF2B5EF4-FFF2-40B4-BE49-F238E27FC236}">
              <a16:creationId xmlns:a16="http://schemas.microsoft.com/office/drawing/2014/main" id="{D38934BA-243A-4906-98A8-8F08C5E96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1" y="396240"/>
          <a:ext cx="5446122" cy="398526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5382986" cy="4011386"/>
    <xdr:pic>
      <xdr:nvPicPr>
        <xdr:cNvPr id="3" name="Imagen 4">
          <a:extLst>
            <a:ext uri="{FF2B5EF4-FFF2-40B4-BE49-F238E27FC236}">
              <a16:creationId xmlns:a16="http://schemas.microsoft.com/office/drawing/2014/main" id="{99A380AA-3C9E-4081-90A5-FDAFACF9D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81000"/>
          <a:ext cx="5382986" cy="4011386"/>
        </a:xfrm>
        <a:prstGeom prst="rect">
          <a:avLst/>
        </a:prstGeom>
      </xdr:spPr>
    </xdr:pic>
    <xdr:clientData/>
  </xdr:oneCellAnchor>
  <xdr:oneCellAnchor>
    <xdr:from>
      <xdr:col>16</xdr:col>
      <xdr:colOff>777240</xdr:colOff>
      <xdr:row>3</xdr:row>
      <xdr:rowOff>30481</xdr:rowOff>
    </xdr:from>
    <xdr:ext cx="7001147" cy="3931919"/>
    <xdr:pic>
      <xdr:nvPicPr>
        <xdr:cNvPr id="4" name="Imagen 6">
          <a:extLst>
            <a:ext uri="{FF2B5EF4-FFF2-40B4-BE49-F238E27FC236}">
              <a16:creationId xmlns:a16="http://schemas.microsoft.com/office/drawing/2014/main" id="{4FCA75E9-3B4D-4EF0-A75C-1ED007CCF3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7917" b="16344"/>
        <a:stretch/>
      </xdr:blipFill>
      <xdr:spPr>
        <a:xfrm>
          <a:off x="12950190" y="601981"/>
          <a:ext cx="7001147" cy="393191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3</xdr:row>
      <xdr:rowOff>38101</xdr:rowOff>
    </xdr:from>
    <xdr:ext cx="7035437" cy="3886199"/>
    <xdr:pic>
      <xdr:nvPicPr>
        <xdr:cNvPr id="5" name="Imagen 10">
          <a:extLst>
            <a:ext uri="{FF2B5EF4-FFF2-40B4-BE49-F238E27FC236}">
              <a16:creationId xmlns:a16="http://schemas.microsoft.com/office/drawing/2014/main" id="{039029A7-FCDC-4CE9-A5A2-CECA127E28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7" t="7625" b="13898"/>
        <a:stretch/>
      </xdr:blipFill>
      <xdr:spPr>
        <a:xfrm>
          <a:off x="20574000" y="609601"/>
          <a:ext cx="7035437" cy="38861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23812</xdr:rowOff>
    </xdr:from>
    <xdr:to>
      <xdr:col>9</xdr:col>
      <xdr:colOff>104775</xdr:colOff>
      <xdr:row>15</xdr:row>
      <xdr:rowOff>100012</xdr:rowOff>
    </xdr:to>
    <xdr:graphicFrame macro="">
      <xdr:nvGraphicFramePr>
        <xdr:cNvPr id="2" name="Gráfico 6">
          <a:extLst>
            <a:ext uri="{FF2B5EF4-FFF2-40B4-BE49-F238E27FC236}">
              <a16:creationId xmlns:a16="http://schemas.microsoft.com/office/drawing/2014/main" id="{3AF2F7EB-2276-48E8-A429-7514FAC45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742949</xdr:colOff>
      <xdr:row>0</xdr:row>
      <xdr:rowOff>195262</xdr:rowOff>
    </xdr:from>
    <xdr:to>
      <xdr:col>13</xdr:col>
      <xdr:colOff>247650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EAA57C-A835-4A00-A5C5-E31EE00A1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561973</xdr:colOff>
      <xdr:row>6</xdr:row>
      <xdr:rowOff>161925</xdr:rowOff>
    </xdr:from>
    <xdr:to>
      <xdr:col>8</xdr:col>
      <xdr:colOff>1085850</xdr:colOff>
      <xdr:row>25</xdr:row>
      <xdr:rowOff>133351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71F67A40-4DB4-40F1-AC49-A33DB9A57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10</xdr:row>
      <xdr:rowOff>3810</xdr:rowOff>
    </xdr:from>
    <xdr:to>
      <xdr:col>11</xdr:col>
      <xdr:colOff>7620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C5709-8253-4717-BFF1-3D7F5B4AF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520424</xdr:colOff>
      <xdr:row>10</xdr:row>
      <xdr:rowOff>129471</xdr:rowOff>
    </xdr:from>
    <xdr:to>
      <xdr:col>12</xdr:col>
      <xdr:colOff>103533</xdr:colOff>
      <xdr:row>29</xdr:row>
      <xdr:rowOff>186354</xdr:rowOff>
    </xdr:to>
    <xdr:graphicFrame macro="">
      <xdr:nvGraphicFramePr>
        <xdr:cNvPr id="2" name="Gráfico 5">
          <a:extLst>
            <a:ext uri="{FF2B5EF4-FFF2-40B4-BE49-F238E27FC236}">
              <a16:creationId xmlns:a16="http://schemas.microsoft.com/office/drawing/2014/main" id="{54D0470C-F515-471A-AF4A-8A848548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843915</xdr:colOff>
      <xdr:row>9</xdr:row>
      <xdr:rowOff>19050</xdr:rowOff>
    </xdr:from>
    <xdr:to>
      <xdr:col>10</xdr:col>
      <xdr:colOff>253365</xdr:colOff>
      <xdr:row>25</xdr:row>
      <xdr:rowOff>135255</xdr:rowOff>
    </xdr:to>
    <xdr:graphicFrame macro="">
      <xdr:nvGraphicFramePr>
        <xdr:cNvPr id="2" name="6 Gráfico">
          <a:extLst>
            <a:ext uri="{FF2B5EF4-FFF2-40B4-BE49-F238E27FC236}">
              <a16:creationId xmlns:a16="http://schemas.microsoft.com/office/drawing/2014/main" id="{1D70B747-118E-4F1F-8856-212312C49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D8648C-55DD-4ABE-81BD-B85608B258D0}" name="Tabla1" displayName="Tabla1" ref="C2:D13" totalsRowShown="0" headerRowBorderDxfId="34" tableBorderDxfId="33" totalsRowBorderDxfId="32">
  <autoFilter ref="C2:D13" xr:uid="{181E6E98-C322-4432-B914-AAD9D58F6162}"/>
  <tableColumns count="2">
    <tableColumn id="1" xr3:uid="{1069B4F7-A539-4F6E-82DD-23AFE06CA0F2}" name="Encuesta de Personas que han comprado un Vehiculo Inteligente" dataDxfId="31"/>
    <tableColumn id="2" xr3:uid="{C3453216-BACF-46C4-89BA-C177A20F385A}" name="Unidades de Mil Millones" dataDxfId="3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7F80E-82DE-4992-A84E-183E9A03F2FD}" name="Tabla2" displayName="Tabla2" ref="H2:I15" totalsRowShown="0" headerRowDxfId="29" headerRowBorderDxfId="28" tableBorderDxfId="27" totalsRowBorderDxfId="26">
  <autoFilter ref="H2:I15" xr:uid="{0B28E1BF-8433-4510-A936-5D8B83CAFE4D}"/>
  <tableColumns count="2">
    <tableColumn id="1" xr3:uid="{23A3E254-FD74-4E50-9CEF-A8EAF3E32F61}" name="Encuesta de Personas que han Comprado un Vehiculo Inteligente" dataDxfId="25"/>
    <tableColumn id="2" xr3:uid="{46FF8A7A-C407-4C11-88DD-531A9B6DE229}" name="Unidades de Mil Millones" dataDxfId="24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21EBF3-B2FE-4DBA-8B70-CDFE0D0402B8}" name="Tabla3" displayName="Tabla3" ref="C20:D32" totalsRowShown="0" headerRowDxfId="23" headerRowBorderDxfId="22" tableBorderDxfId="21" totalsRowBorderDxfId="20">
  <autoFilter ref="C20:D32" xr:uid="{2AFAED99-3927-457B-9084-A71E2F42DCE0}"/>
  <tableColumns count="2">
    <tableColumn id="1" xr3:uid="{06C0CD7F-419F-4A5F-8CA0-2DA09B52A4D3}" name="Encuesta de Personas que han comprado un Vehiculo Inteligente" dataDxfId="19"/>
    <tableColumn id="2" xr3:uid="{0D3CB131-5743-4F2C-BCB7-BC4E05C60E45}" name="Unidades en Mil Millones" dataDxfId="1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5935FF-E1EB-4537-B0B9-253289B9B7FB}" name="Tabla4" displayName="Tabla4" ref="H20:I33" totalsRowShown="0" headerRowDxfId="17" headerRowBorderDxfId="16" tableBorderDxfId="15">
  <autoFilter ref="H20:I33" xr:uid="{D8FCA91E-76EB-4F41-B3F1-6F345B7137D0}"/>
  <tableColumns count="2">
    <tableColumn id="1" xr3:uid="{8982E39E-A67F-430F-8C7C-5F16A630E194}" name="                                                                                  Encuestas de Personas que han Comprado un Vehiculo Inteligente" dataDxfId="14"/>
    <tableColumn id="2" xr3:uid="{AF464994-4DDD-4696-BF2F-C6A422992360}" name="Unidades de Mil Millones" dataDxfId="1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53C3BF-DD67-4D49-B15E-6FA9B36D09A4}" name="Tabla211" displayName="Tabla211" ref="A2:B4" totalsRowShown="0">
  <autoFilter ref="A2:B4" xr:uid="{FEEEF38F-2E15-4F24-BCFF-3D40305E7344}"/>
  <tableColumns count="2">
    <tableColumn id="1" xr3:uid="{34006AD5-6348-4AC8-9825-4897B65509BC}" name="Preferencias sobre los autos autonomos"/>
    <tableColumn id="5" xr3:uid="{D95A53BF-5430-4E18-8843-3E299D1B8CEE}" name="# de Person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09529D-1D6E-4975-9C37-BFD72A11DB52}" name="Table6" displayName="Table6" ref="A3:E8" headerRowCount="0" totalsRowShown="0" headerRowDxfId="12" dataDxfId="10" headerRowBorderDxfId="11" headerRowCellStyle="Heading 3">
  <tableColumns count="5">
    <tableColumn id="1" xr3:uid="{5216A7E9-A097-438D-87F5-8DF4E73EDB4E}" name="Column1" headerRowDxfId="9" dataDxfId="8" headerRowCellStyle="Heading 3"/>
    <tableColumn id="2" xr3:uid="{397B18CE-FFB7-4101-A868-4E340728EA75}" name="Column2" headerRowDxfId="7" dataDxfId="6" headerRowCellStyle="Heading 3"/>
    <tableColumn id="3" xr3:uid="{F6319792-E13C-4E21-8BFC-DC8B6A1FD6A7}" name="Column3" headerRowDxfId="5" dataDxfId="4" headerRowCellStyle="Heading 3"/>
    <tableColumn id="4" xr3:uid="{278FD215-0EC8-461F-A0B6-3841B8F1B4AB}" name="Column4" headerRowDxfId="3" dataDxfId="2" headerRowCellStyle="Heading 3"/>
    <tableColumn id="5" xr3:uid="{71CEF0BD-E98D-40EF-BED9-95DD2A1D8158}" name="Column5" headerRowDxfId="1" dataDxfId="0" headerRowCellStyle="Heading 3"/>
  </tableColumns>
  <tableStyleInfo name="TableStyleLight2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s.statista.com/estadisticas/499964/matriculaciones-de-automoviles-renault-en-espana/" TargetMode="External"/><Relationship Id="rId2" Type="http://schemas.openxmlformats.org/officeDocument/2006/relationships/hyperlink" Target="https://es.statista.com/grafico/25940/numero-de-vehiculos-entregados-por-tesla/" TargetMode="External"/><Relationship Id="rId1" Type="http://schemas.openxmlformats.org/officeDocument/2006/relationships/hyperlink" Target="https://es.statista.com/estadisticas/499894/matriculaciones-de-automoviles-lexus-en-espana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s.statista.com/estadisticas/499701/matriculaciones-de-automoviles-audi-en-espana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negi.org.mx/sistemas/olap/consulta/general_ver4/MDXQueryDatos.asp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sis.com/us/en/2021/genesis-gv80.html" TargetMode="External"/><Relationship Id="rId3" Type="http://schemas.openxmlformats.org/officeDocument/2006/relationships/hyperlink" Target="https://www.caranddriver.com/volkswagen/id4" TargetMode="External"/><Relationship Id="rId7" Type="http://schemas.openxmlformats.org/officeDocument/2006/relationships/hyperlink" Target="https://www.porsche.com/mexico/models/panamera/panamera-models/panamera/" TargetMode="External"/><Relationship Id="rId2" Type="http://schemas.openxmlformats.org/officeDocument/2006/relationships/hyperlink" Target="https://www.bmwusa.com/vehicles/7-series/sedan/core-models.html" TargetMode="External"/><Relationship Id="rId1" Type="http://schemas.openxmlformats.org/officeDocument/2006/relationships/hyperlink" Target="https://www.tesla.com/es_mx/models" TargetMode="External"/><Relationship Id="rId6" Type="http://schemas.openxmlformats.org/officeDocument/2006/relationships/hyperlink" Target="https://toyota.mx/modelo/rav4" TargetMode="External"/><Relationship Id="rId5" Type="http://schemas.openxmlformats.org/officeDocument/2006/relationships/hyperlink" Target="https://www.mercedes-benz.com.mx/es/vehicles/class/s-class/sedan" TargetMode="External"/><Relationship Id="rId10" Type="http://schemas.openxmlformats.org/officeDocument/2006/relationships/drawing" Target="../drawings/drawing6.xml"/><Relationship Id="rId4" Type="http://schemas.openxmlformats.org/officeDocument/2006/relationships/hyperlink" Target="https://www.volvocars.com/mx/v/cars/xc90" TargetMode="External"/><Relationship Id="rId9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to.com/mexico/venta-de-vehiculos-hibridos-incrementa-6-5-en-mexico/" TargetMode="External"/><Relationship Id="rId2" Type="http://schemas.openxmlformats.org/officeDocument/2006/relationships/hyperlink" Target="https://www.amia.com.mx/2022/02/04/reporte-de-venta-de-vehiculos-hibridos-y-electricos-a-noviembre-2021/" TargetMode="External"/><Relationship Id="rId1" Type="http://schemas.openxmlformats.org/officeDocument/2006/relationships/hyperlink" Target="https://es.statista.com/estadisticas/1114981/volumen-ventas-vehiculos-electricos-hibridos-mexico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9115-8036-4EB2-BE81-52197425A9EB}">
  <dimension ref="A1:I47"/>
  <sheetViews>
    <sheetView tabSelected="1" zoomScaleNormal="100" workbookViewId="0">
      <selection activeCell="L28" sqref="L28:N35"/>
    </sheetView>
  </sheetViews>
  <sheetFormatPr defaultRowHeight="15" x14ac:dyDescent="0.25"/>
  <sheetData>
    <row r="1" spans="1:9" x14ac:dyDescent="0.25">
      <c r="A1" s="39"/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39"/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39"/>
      <c r="B3" s="39"/>
      <c r="C3" s="39"/>
      <c r="D3" s="39"/>
      <c r="E3" s="39"/>
      <c r="F3" s="39"/>
      <c r="G3" s="39"/>
      <c r="H3" s="39"/>
      <c r="I3" s="39"/>
    </row>
    <row r="4" spans="1:9" x14ac:dyDescent="0.25">
      <c r="A4" s="39"/>
      <c r="B4" s="39"/>
      <c r="C4" s="39"/>
      <c r="D4" s="39"/>
      <c r="E4" s="39"/>
      <c r="F4" s="39"/>
      <c r="G4" s="39"/>
      <c r="H4" s="39"/>
      <c r="I4" s="39"/>
    </row>
    <row r="5" spans="1:9" x14ac:dyDescent="0.25">
      <c r="A5" s="39"/>
      <c r="B5" s="39"/>
      <c r="C5" s="39"/>
      <c r="D5" s="39"/>
      <c r="E5" s="39"/>
      <c r="F5" s="39"/>
      <c r="G5" s="39"/>
      <c r="H5" s="39"/>
      <c r="I5" s="39"/>
    </row>
    <row r="6" spans="1:9" x14ac:dyDescent="0.25">
      <c r="A6" s="39"/>
      <c r="B6" s="39"/>
      <c r="C6" s="39"/>
      <c r="D6" s="39"/>
      <c r="E6" s="39"/>
      <c r="F6" s="39"/>
      <c r="G6" s="39"/>
      <c r="H6" s="39"/>
      <c r="I6" s="39"/>
    </row>
    <row r="7" spans="1:9" x14ac:dyDescent="0.25">
      <c r="A7" s="39"/>
      <c r="B7" s="39"/>
      <c r="C7" s="39"/>
      <c r="D7" s="39"/>
      <c r="E7" s="39"/>
      <c r="F7" s="39"/>
      <c r="G7" s="39"/>
      <c r="H7" s="39"/>
      <c r="I7" s="39"/>
    </row>
    <row r="8" spans="1:9" x14ac:dyDescent="0.25">
      <c r="A8" s="39"/>
      <c r="B8" s="39"/>
      <c r="C8" s="39"/>
      <c r="D8" s="39"/>
      <c r="E8" s="39"/>
      <c r="F8" s="39"/>
      <c r="G8" s="39"/>
      <c r="H8" s="39"/>
      <c r="I8" s="39"/>
    </row>
    <row r="9" spans="1:9" x14ac:dyDescent="0.25">
      <c r="A9" s="39"/>
      <c r="B9" s="39"/>
      <c r="C9" s="39"/>
      <c r="D9" s="39"/>
      <c r="E9" s="39"/>
      <c r="F9" s="39"/>
      <c r="G9" s="39"/>
      <c r="H9" s="39"/>
      <c r="I9" s="39"/>
    </row>
    <row r="10" spans="1:9" x14ac:dyDescent="0.25">
      <c r="A10" s="39"/>
      <c r="B10" s="39"/>
      <c r="C10" s="39"/>
      <c r="D10" s="39"/>
      <c r="E10" s="39"/>
      <c r="F10" s="39"/>
      <c r="G10" s="39"/>
      <c r="H10" s="39"/>
      <c r="I10" s="39"/>
    </row>
    <row r="11" spans="1:9" x14ac:dyDescent="0.25">
      <c r="A11" s="39"/>
      <c r="B11" s="39"/>
      <c r="C11" s="39"/>
      <c r="D11" s="39"/>
      <c r="E11" s="39"/>
      <c r="F11" s="39"/>
      <c r="G11" s="39"/>
      <c r="H11" s="39"/>
      <c r="I11" s="39"/>
    </row>
    <row r="12" spans="1:9" x14ac:dyDescent="0.25">
      <c r="A12" s="39"/>
      <c r="B12" s="39"/>
      <c r="C12" s="39"/>
      <c r="D12" s="39"/>
      <c r="E12" s="39"/>
      <c r="F12" s="39"/>
      <c r="G12" s="39"/>
      <c r="H12" s="39"/>
      <c r="I12" s="39"/>
    </row>
    <row r="13" spans="1:9" x14ac:dyDescent="0.25">
      <c r="A13" s="39"/>
      <c r="B13" s="39"/>
      <c r="C13" s="39"/>
      <c r="D13" s="39"/>
      <c r="E13" s="39"/>
      <c r="F13" s="39"/>
      <c r="G13" s="39"/>
      <c r="H13" s="39"/>
      <c r="I13" s="39"/>
    </row>
    <row r="14" spans="1:9" x14ac:dyDescent="0.25">
      <c r="A14" s="39"/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9"/>
      <c r="B15" s="39"/>
      <c r="C15" s="39"/>
      <c r="D15" s="39"/>
      <c r="E15" s="39"/>
      <c r="F15" s="39"/>
      <c r="G15" s="39"/>
      <c r="H15" s="39"/>
      <c r="I15" s="39"/>
    </row>
    <row r="16" spans="1:9" x14ac:dyDescent="0.25">
      <c r="A16" s="39"/>
      <c r="B16" s="39"/>
      <c r="C16" s="39"/>
      <c r="D16" s="39"/>
      <c r="E16" s="39"/>
      <c r="F16" s="39"/>
      <c r="G16" s="39"/>
      <c r="H16" s="39"/>
      <c r="I16" s="39"/>
    </row>
    <row r="17" spans="1:9" x14ac:dyDescent="0.25">
      <c r="A17" s="39"/>
      <c r="B17" s="39"/>
      <c r="C17" s="39"/>
      <c r="D17" s="39"/>
      <c r="E17" s="39"/>
      <c r="F17" s="39"/>
      <c r="G17" s="39"/>
      <c r="H17" s="39"/>
      <c r="I17" s="39"/>
    </row>
    <row r="18" spans="1:9" x14ac:dyDescent="0.25">
      <c r="A18" s="39"/>
      <c r="B18" s="39"/>
      <c r="C18" s="39"/>
      <c r="D18" s="39"/>
      <c r="E18" s="39"/>
      <c r="F18" s="39"/>
      <c r="G18" s="39"/>
      <c r="H18" s="39"/>
      <c r="I18" s="39"/>
    </row>
    <row r="19" spans="1:9" x14ac:dyDescent="0.25">
      <c r="A19" s="39"/>
      <c r="B19" s="39"/>
      <c r="C19" s="39"/>
      <c r="D19" s="39"/>
      <c r="E19" s="39"/>
      <c r="F19" s="39"/>
      <c r="G19" s="39"/>
      <c r="H19" s="39"/>
      <c r="I19" s="39"/>
    </row>
    <row r="20" spans="1:9" x14ac:dyDescent="0.25">
      <c r="A20" s="39"/>
      <c r="B20" s="39"/>
      <c r="C20" s="39"/>
      <c r="D20" s="39"/>
      <c r="E20" s="39"/>
      <c r="F20" s="39"/>
      <c r="G20" s="39"/>
      <c r="H20" s="39"/>
      <c r="I20" s="39"/>
    </row>
    <row r="21" spans="1:9" x14ac:dyDescent="0.25">
      <c r="A21" s="39"/>
      <c r="B21" s="39"/>
      <c r="C21" s="39"/>
      <c r="D21" s="39"/>
      <c r="E21" s="39"/>
      <c r="F21" s="39"/>
      <c r="G21" s="39"/>
      <c r="H21" s="39"/>
      <c r="I21" s="39"/>
    </row>
    <row r="22" spans="1:9" x14ac:dyDescent="0.25">
      <c r="A22" s="39"/>
      <c r="B22" s="39"/>
      <c r="C22" s="39"/>
      <c r="D22" s="39"/>
      <c r="E22" s="39"/>
      <c r="F22" s="39"/>
      <c r="G22" s="39"/>
      <c r="H22" s="39"/>
      <c r="I22" s="39"/>
    </row>
    <row r="23" spans="1:9" x14ac:dyDescent="0.25">
      <c r="A23" s="39"/>
      <c r="B23" s="39"/>
      <c r="C23" s="39"/>
      <c r="D23" s="39"/>
      <c r="E23" s="39"/>
      <c r="F23" s="39"/>
      <c r="G23" s="39"/>
      <c r="H23" s="39"/>
      <c r="I23" s="39"/>
    </row>
    <row r="24" spans="1:9" x14ac:dyDescent="0.25">
      <c r="A24" s="39"/>
      <c r="B24" s="39"/>
      <c r="C24" s="39"/>
      <c r="D24" s="39"/>
      <c r="E24" s="39"/>
      <c r="F24" s="39"/>
      <c r="G24" s="39"/>
      <c r="H24" s="39"/>
      <c r="I24" s="39"/>
    </row>
    <row r="25" spans="1:9" x14ac:dyDescent="0.25">
      <c r="A25" s="39"/>
      <c r="B25" s="39"/>
      <c r="C25" s="39"/>
      <c r="D25" s="39"/>
      <c r="E25" s="39"/>
      <c r="F25" s="39"/>
      <c r="G25" s="39"/>
      <c r="H25" s="39"/>
      <c r="I25" s="39"/>
    </row>
    <row r="26" spans="1:9" x14ac:dyDescent="0.25">
      <c r="A26" s="39"/>
      <c r="B26" s="39"/>
      <c r="C26" s="39"/>
      <c r="D26" s="39"/>
      <c r="E26" s="39"/>
      <c r="F26" s="39"/>
      <c r="G26" s="39"/>
      <c r="H26" s="39"/>
      <c r="I26" s="39"/>
    </row>
    <row r="27" spans="1:9" x14ac:dyDescent="0.25">
      <c r="A27" s="39"/>
      <c r="B27" s="39"/>
      <c r="C27" s="39"/>
      <c r="D27" s="39"/>
      <c r="E27" s="39"/>
      <c r="F27" s="39"/>
      <c r="G27" s="39"/>
      <c r="H27" s="39"/>
      <c r="I27" s="39"/>
    </row>
    <row r="28" spans="1:9" x14ac:dyDescent="0.25">
      <c r="A28" s="39"/>
      <c r="B28" s="39"/>
      <c r="C28" s="39"/>
      <c r="D28" s="39"/>
      <c r="E28" s="39"/>
      <c r="F28" s="39"/>
      <c r="G28" s="39"/>
      <c r="H28" s="39"/>
      <c r="I28" s="39"/>
    </row>
    <row r="29" spans="1:9" x14ac:dyDescent="0.25">
      <c r="A29" s="39"/>
      <c r="B29" s="39"/>
      <c r="C29" s="39"/>
      <c r="D29" s="39"/>
      <c r="E29" s="39"/>
      <c r="F29" s="39"/>
      <c r="G29" s="39"/>
      <c r="H29" s="39"/>
      <c r="I29" s="39"/>
    </row>
    <row r="30" spans="1:9" x14ac:dyDescent="0.25">
      <c r="A30" s="39"/>
      <c r="B30" s="39"/>
      <c r="C30" s="39"/>
      <c r="D30" s="39"/>
      <c r="E30" s="39"/>
      <c r="F30" s="39"/>
      <c r="G30" s="39"/>
      <c r="H30" s="39"/>
      <c r="I30" s="39"/>
    </row>
    <row r="31" spans="1:9" x14ac:dyDescent="0.25">
      <c r="A31" s="39"/>
      <c r="B31" s="39"/>
      <c r="C31" s="39"/>
      <c r="D31" s="39"/>
      <c r="E31" s="39"/>
      <c r="F31" s="39"/>
      <c r="G31" s="39"/>
      <c r="H31" s="39"/>
      <c r="I31" s="39"/>
    </row>
    <row r="32" spans="1:9" x14ac:dyDescent="0.25">
      <c r="A32" s="39"/>
      <c r="B32" s="39"/>
      <c r="C32" s="39"/>
      <c r="D32" s="39"/>
      <c r="E32" s="39"/>
      <c r="F32" s="39"/>
      <c r="G32" s="39"/>
      <c r="H32" s="39"/>
      <c r="I32" s="39"/>
    </row>
    <row r="33" spans="1:9" x14ac:dyDescent="0.25">
      <c r="A33" s="39"/>
      <c r="B33" s="39"/>
      <c r="C33" s="39"/>
      <c r="D33" s="39"/>
      <c r="E33" s="39"/>
      <c r="F33" s="39"/>
      <c r="G33" s="39"/>
      <c r="H33" s="39"/>
      <c r="I33" s="39"/>
    </row>
    <row r="34" spans="1:9" x14ac:dyDescent="0.25">
      <c r="A34" s="39"/>
      <c r="B34" s="39"/>
      <c r="C34" s="39"/>
      <c r="D34" s="39"/>
      <c r="E34" s="39"/>
      <c r="F34" s="39"/>
      <c r="G34" s="39"/>
      <c r="H34" s="39"/>
      <c r="I34" s="39"/>
    </row>
    <row r="35" spans="1:9" x14ac:dyDescent="0.25">
      <c r="A35" s="39"/>
      <c r="B35" s="39"/>
      <c r="C35" s="39"/>
      <c r="D35" s="39"/>
      <c r="E35" s="39"/>
      <c r="F35" s="39"/>
      <c r="G35" s="39"/>
      <c r="H35" s="39"/>
      <c r="I35" s="39"/>
    </row>
    <row r="36" spans="1:9" x14ac:dyDescent="0.25">
      <c r="A36" s="39"/>
      <c r="B36" s="39"/>
      <c r="C36" s="39"/>
      <c r="D36" s="39"/>
      <c r="E36" s="39"/>
      <c r="F36" s="39"/>
      <c r="G36" s="39"/>
      <c r="H36" s="39"/>
      <c r="I36" s="39"/>
    </row>
    <row r="37" spans="1:9" x14ac:dyDescent="0.25">
      <c r="A37" s="39"/>
      <c r="B37" s="39"/>
      <c r="C37" s="39"/>
      <c r="D37" s="39"/>
      <c r="E37" s="39"/>
      <c r="F37" s="39"/>
      <c r="G37" s="39"/>
      <c r="H37" s="39"/>
      <c r="I37" s="39"/>
    </row>
    <row r="38" spans="1:9" x14ac:dyDescent="0.25">
      <c r="A38" s="39"/>
      <c r="B38" s="39"/>
      <c r="C38" s="39"/>
      <c r="D38" s="39"/>
      <c r="E38" s="39"/>
      <c r="F38" s="39"/>
      <c r="G38" s="39"/>
      <c r="H38" s="39"/>
      <c r="I38" s="39"/>
    </row>
    <row r="39" spans="1:9" x14ac:dyDescent="0.25">
      <c r="A39" s="39"/>
      <c r="B39" s="39"/>
      <c r="C39" s="39"/>
      <c r="D39" s="39"/>
      <c r="E39" s="39"/>
      <c r="F39" s="39"/>
      <c r="G39" s="39"/>
      <c r="H39" s="39"/>
      <c r="I39" s="39"/>
    </row>
    <row r="40" spans="1:9" x14ac:dyDescent="0.25">
      <c r="A40" s="39"/>
      <c r="B40" s="39"/>
      <c r="C40" s="39"/>
      <c r="D40" s="39"/>
      <c r="E40" s="39"/>
      <c r="F40" s="39"/>
      <c r="G40" s="39"/>
      <c r="H40" s="39"/>
      <c r="I40" s="39"/>
    </row>
    <row r="41" spans="1:9" x14ac:dyDescent="0.25">
      <c r="A41" s="39"/>
      <c r="B41" s="39"/>
      <c r="C41" s="39"/>
      <c r="D41" s="39"/>
      <c r="E41" s="39"/>
      <c r="F41" s="39"/>
      <c r="G41" s="39"/>
      <c r="H41" s="39"/>
      <c r="I41" s="39"/>
    </row>
    <row r="42" spans="1:9" x14ac:dyDescent="0.25">
      <c r="A42" s="39"/>
      <c r="B42" s="39"/>
      <c r="C42" s="39"/>
      <c r="D42" s="39"/>
      <c r="E42" s="39"/>
      <c r="F42" s="39"/>
      <c r="G42" s="39"/>
      <c r="H42" s="39"/>
      <c r="I42" s="39"/>
    </row>
    <row r="43" spans="1:9" x14ac:dyDescent="0.25">
      <c r="A43" s="39"/>
      <c r="B43" s="39"/>
      <c r="C43" s="39"/>
      <c r="D43" s="39"/>
      <c r="E43" s="39"/>
      <c r="F43" s="39"/>
      <c r="G43" s="39"/>
      <c r="H43" s="39"/>
      <c r="I43" s="39"/>
    </row>
    <row r="44" spans="1:9" x14ac:dyDescent="0.25">
      <c r="A44" s="39"/>
      <c r="B44" s="39"/>
      <c r="C44" s="39"/>
      <c r="D44" s="39"/>
      <c r="E44" s="39"/>
      <c r="F44" s="39"/>
      <c r="G44" s="39"/>
      <c r="H44" s="39"/>
      <c r="I44" s="39"/>
    </row>
    <row r="45" spans="1:9" x14ac:dyDescent="0.25">
      <c r="A45" s="39"/>
      <c r="B45" s="39"/>
      <c r="C45" s="39"/>
      <c r="D45" s="39"/>
      <c r="E45" s="39"/>
      <c r="F45" s="39"/>
      <c r="G45" s="39"/>
      <c r="H45" s="39"/>
      <c r="I45" s="39"/>
    </row>
    <row r="46" spans="1:9" x14ac:dyDescent="0.25">
      <c r="A46" s="39"/>
      <c r="B46" s="39"/>
      <c r="C46" s="39"/>
      <c r="D46" s="39"/>
      <c r="E46" s="39"/>
      <c r="F46" s="39"/>
      <c r="G46" s="39"/>
      <c r="H46" s="39"/>
      <c r="I46" s="39"/>
    </row>
    <row r="47" spans="1:9" x14ac:dyDescent="0.25">
      <c r="A47" s="39"/>
      <c r="B47" s="39"/>
      <c r="C47" s="39"/>
      <c r="D47" s="39"/>
      <c r="E47" s="39"/>
      <c r="F47" s="39"/>
      <c r="G47" s="39"/>
      <c r="H47" s="39"/>
      <c r="I47" s="39"/>
    </row>
  </sheetData>
  <sheetProtection algorithmName="SHA-512" hashValue="3bU7GWKboA0A6k6ho1P6n0uzc5F5w2F5BmtIAxyR0ue/ihU6Dd5MdrxA0krRebfNoLU9zkXu5MI4OroNOyzYhg==" saltValue="8+35SnGs4AFiSaB98gIIZQ==" spinCount="100000" sheet="1" objects="1" scenarios="1"/>
  <mergeCells count="1">
    <mergeCell ref="A1:I47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4BED-D0B9-4E10-AECC-A12DB68B1FC2}">
  <sheetPr codeName="Sheet2">
    <tabColor rgb="FFFF0000"/>
  </sheetPr>
  <dimension ref="C2:L33"/>
  <sheetViews>
    <sheetView zoomScaleNormal="100" workbookViewId="0">
      <selection activeCell="D15" sqref="D15"/>
    </sheetView>
  </sheetViews>
  <sheetFormatPr defaultColWidth="11.42578125" defaultRowHeight="15" x14ac:dyDescent="0.25"/>
  <cols>
    <col min="3" max="3" width="75.85546875" customWidth="1"/>
    <col min="4" max="4" width="61.28515625" customWidth="1"/>
    <col min="8" max="8" width="95.28515625" customWidth="1"/>
    <col min="9" max="9" width="55.7109375" customWidth="1"/>
  </cols>
  <sheetData>
    <row r="2" spans="3:12" ht="15.75" x14ac:dyDescent="0.25">
      <c r="C2" s="16" t="s">
        <v>5</v>
      </c>
      <c r="D2" s="18" t="s">
        <v>2</v>
      </c>
      <c r="E2" s="17"/>
      <c r="F2" s="17"/>
      <c r="G2" s="17"/>
      <c r="H2" s="16" t="s">
        <v>6</v>
      </c>
      <c r="I2" s="15" t="s">
        <v>2</v>
      </c>
      <c r="J2" s="17"/>
      <c r="K2" s="17"/>
      <c r="L2" s="17"/>
    </row>
    <row r="3" spans="3:12" x14ac:dyDescent="0.25">
      <c r="C3" s="9" t="str">
        <f>PROPER("marca: tesla")</f>
        <v>Marca: Tesla</v>
      </c>
      <c r="D3" s="12" t="str">
        <f>PROPER("Unidades Vendidas por Año")</f>
        <v>Unidades Vendidas Por Año</v>
      </c>
      <c r="H3" s="9" t="str">
        <f>PROPER("Marca: Audi")</f>
        <v>Marca: Audi</v>
      </c>
      <c r="I3" s="12" t="str">
        <f>PROPER("Unidades Vendidas por Año")</f>
        <v>Unidades Vendidas Por Año</v>
      </c>
    </row>
    <row r="4" spans="3:12" x14ac:dyDescent="0.25">
      <c r="C4" s="9">
        <f>_xlfn.NUMBERVALUE(2012)</f>
        <v>2012</v>
      </c>
      <c r="D4" s="8">
        <f>_xlfn.NUMBERVALUE("2,600")</f>
        <v>2600</v>
      </c>
      <c r="H4" s="9">
        <f>_xlfn.NUMBERVALUE(2010)</f>
        <v>2010</v>
      </c>
      <c r="I4" s="8">
        <f>_xlfn.NUMBERVALUE("34,737")</f>
        <v>34737</v>
      </c>
    </row>
    <row r="5" spans="3:12" x14ac:dyDescent="0.25">
      <c r="C5" s="9">
        <f>_xlfn.NUMBERVALUE(2013)</f>
        <v>2013</v>
      </c>
      <c r="D5" s="8">
        <f>_xlfn.NUMBERVALUE("22,400")</f>
        <v>22400</v>
      </c>
      <c r="H5" s="9">
        <f>_xlfn.NUMBERVALUE(2011)</f>
        <v>2011</v>
      </c>
      <c r="I5" s="8">
        <f>_xlfn.NUMBERVALUE("38,258")</f>
        <v>38258</v>
      </c>
    </row>
    <row r="6" spans="3:12" x14ac:dyDescent="0.25">
      <c r="C6" s="9">
        <f>_xlfn.NUMBERVALUE(2014)</f>
        <v>2014</v>
      </c>
      <c r="D6" s="8">
        <f>_xlfn.NUMBERVALUE("32,000")</f>
        <v>32000</v>
      </c>
      <c r="H6" s="9">
        <f>_xlfn.NUMBERVALUE(2012)</f>
        <v>2012</v>
      </c>
      <c r="I6" s="8">
        <f>_xlfn.NUMBERVALUE("36,188")</f>
        <v>36188</v>
      </c>
    </row>
    <row r="7" spans="3:12" x14ac:dyDescent="0.25">
      <c r="C7" s="9">
        <f>_xlfn.NUMBERVALUE(2015)</f>
        <v>2015</v>
      </c>
      <c r="D7" s="8">
        <f>_xlfn.NUMBERVALUE("50,000")</f>
        <v>50000</v>
      </c>
      <c r="H7" s="9">
        <f>_xlfn.NUMBERVALUE(2013)</f>
        <v>2013</v>
      </c>
      <c r="I7" s="8">
        <f>_xlfn.NUMBERVALUE("35,565")</f>
        <v>35565</v>
      </c>
    </row>
    <row r="8" spans="3:12" x14ac:dyDescent="0.25">
      <c r="C8" s="9">
        <f>_xlfn.NUMBERVALUE(2016)</f>
        <v>2016</v>
      </c>
      <c r="D8" s="8">
        <f>_xlfn.NUMBERVALUE("76,200")</f>
        <v>76200</v>
      </c>
      <c r="H8" s="9">
        <f>_xlfn.NUMBERVALUE(2014)</f>
        <v>2014</v>
      </c>
      <c r="I8" s="8">
        <f>_xlfn.NUMBERVALUE("37,715")</f>
        <v>37715</v>
      </c>
    </row>
    <row r="9" spans="3:12" x14ac:dyDescent="0.25">
      <c r="C9" s="9">
        <f>_xlfn.NUMBERVALUE(2017)</f>
        <v>2017</v>
      </c>
      <c r="D9" s="8">
        <f>_xlfn.NUMBERVALUE("103,100")</f>
        <v>103100</v>
      </c>
      <c r="H9" s="9">
        <f>_xlfn.NUMBERVALUE(2015)</f>
        <v>2015</v>
      </c>
      <c r="I9" s="8">
        <f>_xlfn.NUMBERVALUE("44,097")</f>
        <v>44097</v>
      </c>
    </row>
    <row r="10" spans="3:12" x14ac:dyDescent="0.25">
      <c r="C10" s="9">
        <f>_xlfn.NUMBERVALUE(2018)</f>
        <v>2018</v>
      </c>
      <c r="D10" s="8">
        <f>_xlfn.NUMBERVALUE("245,200")</f>
        <v>245200</v>
      </c>
      <c r="H10" s="9">
        <f>_xlfn.NUMBERVALUE(2016)</f>
        <v>2016</v>
      </c>
      <c r="I10" s="8">
        <f>_xlfn.NUMBERVALUE(51681)</f>
        <v>51681</v>
      </c>
    </row>
    <row r="11" spans="3:12" x14ac:dyDescent="0.25">
      <c r="C11" s="9">
        <f>_xlfn.NUMBERVALUE(2019)</f>
        <v>2019</v>
      </c>
      <c r="D11" s="8">
        <f>_xlfn.NUMBERVALUE("367,500")</f>
        <v>367500</v>
      </c>
      <c r="H11" s="9">
        <f>_xlfn.NUMBERVALUE(2017)</f>
        <v>2017</v>
      </c>
      <c r="I11" s="8">
        <f>_xlfn.NUMBERVALUE("54,970")</f>
        <v>54970</v>
      </c>
    </row>
    <row r="12" spans="3:12" x14ac:dyDescent="0.25">
      <c r="C12" s="9">
        <f>_xlfn.NUMBERVALUE(2020)</f>
        <v>2020</v>
      </c>
      <c r="D12" s="8">
        <f>_xlfn.NUMBERVALUE("499,550")</f>
        <v>499550</v>
      </c>
      <c r="H12" s="9">
        <f>_xlfn.NUMBERVALUE(2018)</f>
        <v>2018</v>
      </c>
      <c r="I12" s="8">
        <f>_xlfn.NUMBERVALUE("55,247")</f>
        <v>55247</v>
      </c>
    </row>
    <row r="13" spans="3:12" x14ac:dyDescent="0.25">
      <c r="C13" s="6">
        <f>_xlfn.NUMBERVALUE(2021)</f>
        <v>2021</v>
      </c>
      <c r="D13" s="5">
        <f>_xlfn.NUMBERVALUE("627,350")</f>
        <v>627350</v>
      </c>
      <c r="H13" s="9">
        <f>_xlfn.NUMBERVALUE(2019)</f>
        <v>2019</v>
      </c>
      <c r="I13" s="8">
        <f>_xlfn.NUMBERVALUE("51,114")</f>
        <v>51114</v>
      </c>
    </row>
    <row r="14" spans="3:12" x14ac:dyDescent="0.25">
      <c r="H14" s="9">
        <f>_xlfn.NUMBERVALUE(2020)</f>
        <v>2020</v>
      </c>
      <c r="I14" s="8">
        <f>_xlfn.NUMBERVALUE("37,287")</f>
        <v>37287</v>
      </c>
    </row>
    <row r="15" spans="3:12" x14ac:dyDescent="0.25">
      <c r="H15" s="6">
        <f>_xlfn.NUMBERVALUE(2021)</f>
        <v>2021</v>
      </c>
      <c r="I15" s="5">
        <f>_xlfn.NUMBERVALUE("34,732")</f>
        <v>34732</v>
      </c>
    </row>
    <row r="20" spans="3:9" ht="15.75" x14ac:dyDescent="0.25">
      <c r="C20" s="16" t="s">
        <v>5</v>
      </c>
      <c r="D20" s="15" t="s">
        <v>4</v>
      </c>
      <c r="H20" s="14" t="s">
        <v>3</v>
      </c>
      <c r="I20" s="13" t="s">
        <v>2</v>
      </c>
    </row>
    <row r="21" spans="3:9" x14ac:dyDescent="0.25">
      <c r="C21" s="9" t="str">
        <f>PROPER("Marca: Lexus")</f>
        <v>Marca: Lexus</v>
      </c>
      <c r="D21" s="12" t="str">
        <f>PROPER("Unidades Vendidas por Año")</f>
        <v>Unidades Vendidas Por Año</v>
      </c>
      <c r="H21" s="11" t="str">
        <f>PROPER("Marca: Renault")</f>
        <v>Marca: Renault</v>
      </c>
      <c r="I21" s="10" t="str">
        <f>PROPER("Unidades Vendidas por Año")</f>
        <v>Unidades Vendidas Por Año</v>
      </c>
    </row>
    <row r="22" spans="3:9" x14ac:dyDescent="0.25">
      <c r="C22" s="9">
        <f>_xlfn.NUMBERVALUE(2010)</f>
        <v>2010</v>
      </c>
      <c r="D22" s="8">
        <f>_xlfn.NUMBERVALUE("20,595")</f>
        <v>20595</v>
      </c>
      <c r="H22" s="9">
        <f>_xlfn.NUMBERVALUE(2010)</f>
        <v>2010</v>
      </c>
      <c r="I22" s="8">
        <f>_xlfn.NUMBERVALUE("78,625")</f>
        <v>78625</v>
      </c>
    </row>
    <row r="23" spans="3:9" x14ac:dyDescent="0.25">
      <c r="C23" s="9">
        <f>_xlfn.NUMBERVALUE(2011)</f>
        <v>2011</v>
      </c>
      <c r="D23" s="8">
        <f>_xlfn.NUMBERVALUE("20,031")</f>
        <v>20031</v>
      </c>
      <c r="H23" s="9">
        <f>_xlfn.NUMBERVALUE(2011)</f>
        <v>2011</v>
      </c>
      <c r="I23" s="8">
        <f>_xlfn.NUMBERVALUE("63,745")</f>
        <v>63745</v>
      </c>
    </row>
    <row r="24" spans="3:9" x14ac:dyDescent="0.25">
      <c r="C24" s="9">
        <f>_xlfn.NUMBERVALUE(2012)</f>
        <v>2012</v>
      </c>
      <c r="D24" s="8">
        <f>_xlfn.NUMBERVALUE("10,982")</f>
        <v>10982</v>
      </c>
      <c r="H24" s="9">
        <f>_xlfn.NUMBERVALUE(2012)</f>
        <v>2012</v>
      </c>
      <c r="I24" s="8">
        <f>_xlfn.NUMBERVALUE("52,571")</f>
        <v>52571</v>
      </c>
    </row>
    <row r="25" spans="3:9" x14ac:dyDescent="0.25">
      <c r="C25" s="9">
        <f>_xlfn.NUMBERVALUE(2013)</f>
        <v>2013</v>
      </c>
      <c r="D25" s="8">
        <f>_xlfn.NUMBERVALUE("33,325")</f>
        <v>33325</v>
      </c>
      <c r="H25" s="9">
        <f>_xlfn.NUMBERVALUE(2013)</f>
        <v>2013</v>
      </c>
      <c r="I25" s="8">
        <f>_xlfn.NUMBERVALUE("53,465")</f>
        <v>53465</v>
      </c>
    </row>
    <row r="26" spans="3:9" x14ac:dyDescent="0.25">
      <c r="C26" s="9">
        <f>_xlfn.NUMBERVALUE(2014)</f>
        <v>2014</v>
      </c>
      <c r="D26" s="8">
        <f>_xlfn.NUMBERVALUE("44,705")</f>
        <v>44705</v>
      </c>
      <c r="H26" s="9">
        <f>_xlfn.NUMBERVALUE(2014)</f>
        <v>2014</v>
      </c>
      <c r="I26" s="8">
        <f>_xlfn.NUMBERVALUE("65,071")</f>
        <v>65071</v>
      </c>
    </row>
    <row r="27" spans="3:9" x14ac:dyDescent="0.25">
      <c r="C27" s="9">
        <f>_xlfn.NUMBERVALUE(2015)</f>
        <v>2015</v>
      </c>
      <c r="D27" s="8">
        <f>_xlfn.NUMBERVALUE("55,602")</f>
        <v>55602</v>
      </c>
      <c r="H27" s="9">
        <f>_xlfn.NUMBERVALUE(2015)</f>
        <v>2015</v>
      </c>
      <c r="I27" s="8">
        <f>_xlfn.NUMBERVALUE("77,116")</f>
        <v>77116</v>
      </c>
    </row>
    <row r="28" spans="3:9" x14ac:dyDescent="0.25">
      <c r="C28" s="9">
        <f>_xlfn.NUMBERVALUE(2016)</f>
        <v>2016</v>
      </c>
      <c r="D28" s="8">
        <f>_xlfn.NUMBERVALUE("66,135")</f>
        <v>66135</v>
      </c>
      <c r="H28" s="9">
        <f>_xlfn.NUMBERVALUE(2016)</f>
        <v>2016</v>
      </c>
      <c r="I28" s="8">
        <f>_xlfn.NUMBERVALUE("90,539")</f>
        <v>90539</v>
      </c>
    </row>
    <row r="29" spans="3:9" x14ac:dyDescent="0.25">
      <c r="C29" s="9">
        <f>_xlfn.NUMBERVALUE(2017)</f>
        <v>2017</v>
      </c>
      <c r="D29" s="8">
        <f>_xlfn.NUMBERVALUE("77,252")</f>
        <v>77252</v>
      </c>
      <c r="H29" s="9">
        <f>_xlfn.NUMBERVALUE(2017)</f>
        <v>2017</v>
      </c>
      <c r="I29" s="8">
        <f>_xlfn.NUMBERVALUE("101,528")</f>
        <v>101528</v>
      </c>
    </row>
    <row r="30" spans="3:9" x14ac:dyDescent="0.25">
      <c r="C30" s="9">
        <f>_xlfn.NUMBERVALUE(2018)</f>
        <v>2018</v>
      </c>
      <c r="D30" s="8">
        <f>_xlfn.NUMBERVALUE("88,677")</f>
        <v>88677</v>
      </c>
      <c r="H30" s="9">
        <f>_xlfn.NUMBERVALUE(2018)</f>
        <v>2018</v>
      </c>
      <c r="I30" s="8">
        <f>_xlfn.NUMBERVALUE("96,238")</f>
        <v>96238</v>
      </c>
    </row>
    <row r="31" spans="3:9" x14ac:dyDescent="0.25">
      <c r="C31" s="9">
        <f>_xlfn.NUMBERVALUE(2019)</f>
        <v>2019</v>
      </c>
      <c r="D31" s="8">
        <f>_xlfn.NUMBERVALUE("77,374")</f>
        <v>77374</v>
      </c>
      <c r="H31" s="9">
        <f>_xlfn.NUMBERVALUE(2019)</f>
        <v>2019</v>
      </c>
      <c r="I31" s="8">
        <f>_xlfn.NUMBERVALUE("86,420")</f>
        <v>86420</v>
      </c>
    </row>
    <row r="32" spans="3:9" x14ac:dyDescent="0.25">
      <c r="C32" s="6">
        <f>_xlfn.NUMBERVALUE(2020)</f>
        <v>2020</v>
      </c>
      <c r="D32" s="5">
        <f>_xlfn.NUMBERVALUE("66,133")</f>
        <v>66133</v>
      </c>
      <c r="H32" s="9">
        <f>_xlfn.NUMBERVALUE(2020)</f>
        <v>2020</v>
      </c>
      <c r="I32" s="8">
        <f>_xlfn.NUMBERVALUE("56,138")</f>
        <v>56138</v>
      </c>
    </row>
    <row r="33" spans="4:9" x14ac:dyDescent="0.25">
      <c r="D33" s="7"/>
      <c r="H33" s="6">
        <f>_xlfn.NUMBERVALUE(2021)</f>
        <v>2021</v>
      </c>
      <c r="I33" s="5">
        <f>_xlfn.NUMBERVALUE("51,700")</f>
        <v>51700</v>
      </c>
    </row>
  </sheetData>
  <sheetProtection algorithmName="SHA-512" hashValue="5OwFd1noNmo+iwC7uEsZtax6LV2AUUydVYoXJeEtWRKXyp22a4FN0zoA0XCoD7wKtYth5KEaW0vkCMmvxBuWCQ==" saltValue="RyMjtAvTho4felrqmTaGug==" spinCount="100000" sheet="1" objects="1" scenarios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176E-18CA-4E6E-85EC-373DEBEE0A20}">
  <sheetPr codeName="Sheet3">
    <tabColor rgb="FF00B0F0"/>
  </sheetPr>
  <dimension ref="D25:AG37"/>
  <sheetViews>
    <sheetView zoomScale="70" zoomScaleNormal="70" zoomScaleSheetLayoutView="50" workbookViewId="0">
      <selection activeCell="K29" sqref="K29"/>
    </sheetView>
  </sheetViews>
  <sheetFormatPr defaultColWidth="11.42578125" defaultRowHeight="15" x14ac:dyDescent="0.25"/>
  <cols>
    <col min="5" max="5" width="15.7109375" customWidth="1"/>
    <col min="6" max="6" width="9.85546875" customWidth="1"/>
    <col min="14" max="14" width="14.28515625" customWidth="1"/>
    <col min="23" max="23" width="16" customWidth="1"/>
    <col min="33" max="33" width="16" customWidth="1"/>
  </cols>
  <sheetData>
    <row r="25" spans="4:33" ht="15.75" x14ac:dyDescent="0.25">
      <c r="D25" s="20" t="s">
        <v>18</v>
      </c>
      <c r="E25" s="20" t="s">
        <v>17</v>
      </c>
      <c r="F25" s="20"/>
      <c r="G25" s="20"/>
      <c r="H25" s="20"/>
      <c r="I25" s="20"/>
      <c r="J25" s="20"/>
      <c r="K25" s="20"/>
      <c r="L25" s="20"/>
      <c r="M25" s="20" t="s">
        <v>16</v>
      </c>
      <c r="N25" s="20" t="s">
        <v>15</v>
      </c>
      <c r="O25" s="20"/>
      <c r="P25" s="20"/>
      <c r="Q25" s="20"/>
      <c r="R25" s="20"/>
      <c r="S25" s="20"/>
      <c r="T25" s="20"/>
      <c r="U25" s="20"/>
      <c r="V25" s="20" t="s">
        <v>14</v>
      </c>
      <c r="W25" s="20" t="s">
        <v>12</v>
      </c>
      <c r="AF25" s="20" t="s">
        <v>13</v>
      </c>
      <c r="AG25" s="20" t="s">
        <v>12</v>
      </c>
    </row>
    <row r="33" spans="15:15" x14ac:dyDescent="0.25">
      <c r="O33" t="s">
        <v>11</v>
      </c>
    </row>
    <row r="34" spans="15:15" x14ac:dyDescent="0.25">
      <c r="O34" s="19" t="s">
        <v>10</v>
      </c>
    </row>
    <row r="35" spans="15:15" x14ac:dyDescent="0.25">
      <c r="O35" s="19" t="s">
        <v>9</v>
      </c>
    </row>
    <row r="36" spans="15:15" x14ac:dyDescent="0.25">
      <c r="O36" s="19" t="s">
        <v>8</v>
      </c>
    </row>
    <row r="37" spans="15:15" x14ac:dyDescent="0.25">
      <c r="O37" s="19" t="s">
        <v>7</v>
      </c>
    </row>
  </sheetData>
  <sheetProtection algorithmName="SHA-512" hashValue="bVkarN6rS1i2wHCzBYxp3BdU6Uj34SOlqUKoFDaz6nCAYEotgsanxxUelooyByIlXd/cL8uGPkr+ZbQZc0CFMg==" saltValue="IpA4qZc7P8bXBuZW+vn17Q==" spinCount="100000" sheet="1" objects="1" scenarios="1"/>
  <hyperlinks>
    <hyperlink ref="O34" r:id="rId1" xr:uid="{DA6DDEF9-E166-4B07-B843-F368D8F0FD75}"/>
    <hyperlink ref="O35" r:id="rId2" xr:uid="{BF711C09-C676-412D-A80A-F28EA7CFD425}"/>
    <hyperlink ref="O36" r:id="rId3" xr:uid="{D4C32C53-C1AB-446A-85BE-C0AF1353D5A2}"/>
    <hyperlink ref="O37" r:id="rId4" xr:uid="{8DBB1B61-D810-44EA-9403-DB4C66EA4AE0}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143-48C2-46D0-A4A3-95EAA09D5F4E}">
  <sheetPr codeName="Sheet4">
    <tabColor rgb="FF00B0F0"/>
  </sheetPr>
  <dimension ref="A2:B9"/>
  <sheetViews>
    <sheetView zoomScaleNormal="100" workbookViewId="0">
      <selection activeCell="K11" sqref="K11"/>
    </sheetView>
  </sheetViews>
  <sheetFormatPr defaultColWidth="11.42578125" defaultRowHeight="15" x14ac:dyDescent="0.25"/>
  <cols>
    <col min="1" max="1" width="39.28515625" bestFit="1" customWidth="1"/>
    <col min="2" max="2" width="15.42578125" bestFit="1" customWidth="1"/>
  </cols>
  <sheetData>
    <row r="2" spans="1:2" ht="15.75" x14ac:dyDescent="0.25">
      <c r="A2" s="30" t="s">
        <v>35</v>
      </c>
      <c r="B2" s="30" t="s">
        <v>34</v>
      </c>
    </row>
    <row r="3" spans="1:2" ht="15.75" x14ac:dyDescent="0.25">
      <c r="A3" s="30" t="str">
        <f>PROPER("personas que si confian")</f>
        <v>Personas Que Si Confian</v>
      </c>
      <c r="B3" s="30">
        <f>_xlfn.NUMBERVALUE(72)</f>
        <v>72</v>
      </c>
    </row>
    <row r="4" spans="1:2" ht="15.75" x14ac:dyDescent="0.25">
      <c r="A4" s="30" t="str">
        <f>PROPER("personas que no confian")</f>
        <v>Personas Que No Confian</v>
      </c>
      <c r="B4" s="30">
        <f>_xlfn.NUMBERVALUE(4)</f>
        <v>4</v>
      </c>
    </row>
    <row r="9" spans="1:2" ht="15.75" x14ac:dyDescent="0.25">
      <c r="A9" s="30" t="str">
        <f>PROPER("encuesta elaborada a 76 personas")</f>
        <v>Encuesta Elaborada A 76 Personas</v>
      </c>
    </row>
  </sheetData>
  <sheetProtection algorithmName="SHA-512" hashValue="ROGtEYYxf7ysqXuKwq+6P5Mo2WUbOUPT4P4P8IGjfTRKJ0jr9VCK3ZurQdwmDeVYffPvI7FeorxTIfNjgcNK8w==" saltValue="ePuV3C8xe5jGeMvrPcGGBg==" spinCount="100000" sheet="1" objects="1" scenarios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FC0A-2AFF-4088-9F4F-8BC2A6CDBE79}">
  <sheetPr codeName="Sheet5">
    <tabColor rgb="FFFF0000"/>
  </sheetPr>
  <dimension ref="A1:J49"/>
  <sheetViews>
    <sheetView topLeftCell="A3" zoomScaleNormal="100" workbookViewId="0">
      <selection activeCell="C21" sqref="C21"/>
    </sheetView>
  </sheetViews>
  <sheetFormatPr defaultColWidth="11.42578125" defaultRowHeight="15" x14ac:dyDescent="0.25"/>
  <cols>
    <col min="1" max="1" width="35.7109375" customWidth="1"/>
    <col min="2" max="2" width="15.7109375" customWidth="1"/>
    <col min="3" max="3" width="17.85546875" customWidth="1"/>
  </cols>
  <sheetData>
    <row r="1" spans="1:3" ht="15.75" thickBot="1" x14ac:dyDescent="0.3">
      <c r="A1" s="42" t="str">
        <f>PROPER("Accidentes de automóviles inteligentes en México en los últimos 3 años")</f>
        <v>Accidentes De Automóviles Inteligentes En México En Los Últimos 3 Años</v>
      </c>
      <c r="B1" s="42"/>
      <c r="C1" s="42"/>
    </row>
    <row r="2" spans="1:3" ht="15.75" thickBot="1" x14ac:dyDescent="0.3">
      <c r="A2" s="1" t="str">
        <f>PROPER("Causa")</f>
        <v>Causa</v>
      </c>
      <c r="B2" s="1" t="str">
        <f>PROPER("Cantidad")</f>
        <v>Cantidad</v>
      </c>
      <c r="C2" s="1" t="str">
        <f>PROPER("Porcentaje")</f>
        <v>Porcentaje</v>
      </c>
    </row>
    <row r="3" spans="1:3" ht="15.75" thickBot="1" x14ac:dyDescent="0.3">
      <c r="A3" s="1" t="str">
        <f>PROPER("Perdida del control")</f>
        <v>Perdida Del Control</v>
      </c>
      <c r="B3" s="1">
        <f>_xlfn.NUMBERVALUE(76)</f>
        <v>76</v>
      </c>
      <c r="C3" s="1">
        <f t="shared" ref="C3:C14" si="0">(B3)*100/B$14</f>
        <v>32.340425531914896</v>
      </c>
    </row>
    <row r="4" spans="1:3" ht="15.75" thickBot="1" x14ac:dyDescent="0.3">
      <c r="A4" s="1" t="str">
        <f>PROPER("Choque")</f>
        <v>Choque</v>
      </c>
      <c r="B4" s="1">
        <f>_xlfn.NUMBERVALUE(39)</f>
        <v>39</v>
      </c>
      <c r="C4" s="1">
        <f t="shared" si="0"/>
        <v>16.595744680851062</v>
      </c>
    </row>
    <row r="5" spans="1:3" ht="15.75" thickBot="1" x14ac:dyDescent="0.3">
      <c r="A5" s="1" t="str">
        <f>PROPER("Daños cuando se encontraba aparcado")</f>
        <v>Daños Cuando Se Encontraba Aparcado</v>
      </c>
      <c r="B5" s="1">
        <f>_xlfn.NUMBERVALUE(28)</f>
        <v>28</v>
      </c>
      <c r="C5" s="1">
        <f t="shared" si="0"/>
        <v>11.914893617021276</v>
      </c>
    </row>
    <row r="6" spans="1:3" ht="15.75" thickBot="1" x14ac:dyDescent="0.3">
      <c r="A6" s="1" t="str">
        <f>PROPER("Colisiones")</f>
        <v>Colisiones</v>
      </c>
      <c r="B6" s="1">
        <f>_xlfn.NUMBERVALUE(22)</f>
        <v>22</v>
      </c>
      <c r="C6" s="1">
        <f t="shared" si="0"/>
        <v>9.3617021276595747</v>
      </c>
    </row>
    <row r="7" spans="1:3" ht="15.75" thickBot="1" x14ac:dyDescent="0.3">
      <c r="A7" s="1" t="str">
        <f>PROPER("Daños durante la carga")</f>
        <v>Daños Durante La Carga</v>
      </c>
      <c r="B7" s="1">
        <f>_xlfn.NUMBERVALUE(21)</f>
        <v>21</v>
      </c>
      <c r="C7" s="1">
        <f t="shared" si="0"/>
        <v>8.9361702127659566</v>
      </c>
    </row>
    <row r="8" spans="1:3" ht="15.75" thickBot="1" x14ac:dyDescent="0.3">
      <c r="A8" s="1" t="str">
        <f>PROPER("Incendio accidental")</f>
        <v>Incendio Accidental</v>
      </c>
      <c r="B8" s="1">
        <f>_xlfn.NUMBERVALUE(20)</f>
        <v>20</v>
      </c>
      <c r="C8" s="1">
        <f t="shared" si="0"/>
        <v>8.5106382978723403</v>
      </c>
    </row>
    <row r="9" spans="1:3" ht="15.75" thickBot="1" x14ac:dyDescent="0.3">
      <c r="A9" s="1" t="str">
        <f>PROPER("Desconocido")</f>
        <v>Desconocido</v>
      </c>
      <c r="B9" s="1">
        <f>_xlfn.NUMBERVALUE(11)</f>
        <v>11</v>
      </c>
      <c r="C9" s="1">
        <f t="shared" si="0"/>
        <v>4.6808510638297873</v>
      </c>
    </row>
    <row r="10" spans="1:3" ht="15.75" thickBot="1" x14ac:dyDescent="0.3">
      <c r="A10" s="1" t="str">
        <f>PROPER("Daños durante el viaje")</f>
        <v>Daños Durante El Viaje</v>
      </c>
      <c r="B10" s="1">
        <f>_xlfn.NUMBERVALUE(9)</f>
        <v>9</v>
      </c>
      <c r="C10" s="1">
        <f t="shared" si="0"/>
        <v>3.8297872340425534</v>
      </c>
    </row>
    <row r="11" spans="1:3" ht="15.75" thickBot="1" x14ac:dyDescent="0.3">
      <c r="A11" s="1" t="str">
        <f>PROPER("Inundación del vehículo")</f>
        <v>Inundación Del Vehículo</v>
      </c>
      <c r="B11" s="1">
        <f>_xlfn.NUMBERVALUE(4)</f>
        <v>4</v>
      </c>
      <c r="C11" s="1">
        <f t="shared" si="0"/>
        <v>1.7021276595744681</v>
      </c>
    </row>
    <row r="12" spans="1:3" ht="15.75" thickBot="1" x14ac:dyDescent="0.3">
      <c r="A12" s="1" t="str">
        <f>PROPER("Piloto automático")</f>
        <v>Piloto Automático</v>
      </c>
      <c r="B12" s="1">
        <f>_xlfn.NUMBERVALUE(3)</f>
        <v>3</v>
      </c>
      <c r="C12" s="1">
        <f t="shared" si="0"/>
        <v>1.2765957446808511</v>
      </c>
    </row>
    <row r="13" spans="1:3" ht="15.75" thickBot="1" x14ac:dyDescent="0.3">
      <c r="A13" s="1" t="str">
        <f>PROPER("Incendio provocado")</f>
        <v>Incendio Provocado</v>
      </c>
      <c r="B13" s="1">
        <f>_xlfn.NUMBERVALUE(2)</f>
        <v>2</v>
      </c>
      <c r="C13" s="1">
        <f t="shared" si="0"/>
        <v>0.85106382978723405</v>
      </c>
    </row>
    <row r="14" spans="1:3" ht="15.75" thickBot="1" x14ac:dyDescent="0.3">
      <c r="A14" s="1" t="str">
        <f>PROPER("Total")</f>
        <v>Total</v>
      </c>
      <c r="B14" s="1">
        <f>SUM(B3:B13)</f>
        <v>235</v>
      </c>
      <c r="C14" s="1">
        <f t="shared" si="0"/>
        <v>100</v>
      </c>
    </row>
    <row r="49" spans="1:10" x14ac:dyDescent="0.25">
      <c r="A49" s="40"/>
      <c r="B49" s="40"/>
      <c r="C49" s="41"/>
      <c r="D49" s="41"/>
      <c r="E49" s="41"/>
      <c r="F49" s="41"/>
      <c r="G49" s="41"/>
      <c r="H49" s="41"/>
      <c r="I49" s="41"/>
      <c r="J49" s="41"/>
    </row>
  </sheetData>
  <sheetProtection algorithmName="SHA-512" hashValue="gYSLO4dJd34KQsVZYc6wPhTkkLo36S3cZoum8frOiWkevsJYEipAy7myNvEm6PTse3DpyFb2HYMVNymt8YooCA==" saltValue="JIHmcCAssg3jRBgYqDRfMg==" spinCount="100000" sheet="1" objects="1" scenarios="1"/>
  <mergeCells count="3">
    <mergeCell ref="A49:B49"/>
    <mergeCell ref="C49:J49"/>
    <mergeCell ref="A1:C1"/>
  </mergeCells>
  <conditionalFormatting sqref="A2:A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{C363A582-546B-4B28-B12A-EA40337495E1}</x14:id>
        </ext>
      </extLst>
    </cfRule>
    <cfRule type="iconSet" priority="3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A3:B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63A582-546B-4B28-B12A-EA40337495E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A2:A13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E34B-3FD0-4D03-AFCA-D52044C25855}">
  <sheetPr codeName="Sheet6">
    <tabColor rgb="FF00B0F0"/>
  </sheetPr>
  <dimension ref="A2:Q27"/>
  <sheetViews>
    <sheetView topLeftCell="A12" workbookViewId="0">
      <selection activeCell="G32" sqref="G32"/>
    </sheetView>
  </sheetViews>
  <sheetFormatPr defaultColWidth="11.42578125" defaultRowHeight="15" x14ac:dyDescent="0.25"/>
  <cols>
    <col min="5" max="5" width="13.28515625" customWidth="1"/>
    <col min="9" max="9" width="16.85546875" customWidth="1"/>
  </cols>
  <sheetData>
    <row r="2" spans="1:10" ht="23.25" x14ac:dyDescent="0.25">
      <c r="A2" s="45" t="str">
        <f>PROPER("Accidentes de automoviles normales en Mexico ")</f>
        <v xml:space="preserve">Accidentes De Automoviles Normales En Mexico 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32.25" customHeight="1" x14ac:dyDescent="0.25">
      <c r="A3" s="4" t="str">
        <f>PROPER("año")</f>
        <v>Año</v>
      </c>
      <c r="B3" s="48" t="str">
        <f>PROPER("causa por conductor")</f>
        <v>Causa Por Conductor</v>
      </c>
      <c r="C3" s="48"/>
      <c r="D3" s="48" t="str">
        <f>PROPER("causa por pasajero o peaton")</f>
        <v>Causa Por Pasajero O Peaton</v>
      </c>
      <c r="E3" s="48"/>
      <c r="F3" s="48" t="str">
        <f>PROPER("falla del vehículo")</f>
        <v>Falla Del Vehículo</v>
      </c>
      <c r="G3" s="48"/>
      <c r="H3" s="49" t="str">
        <f>PROPER("Malas condiciones de la carretera")</f>
        <v>Malas Condiciones De La Carretera</v>
      </c>
      <c r="I3" s="49"/>
      <c r="J3" s="4" t="str">
        <f>PROPER("otro")</f>
        <v>Otro</v>
      </c>
    </row>
    <row r="4" spans="1:10" x14ac:dyDescent="0.25">
      <c r="A4" s="2">
        <f>_xlfn.NUMBERVALUE(2018)</f>
        <v>2018</v>
      </c>
      <c r="B4" s="44">
        <f>_xlfn.NUMBERVALUE(299358)</f>
        <v>299358</v>
      </c>
      <c r="C4" s="43"/>
      <c r="D4" s="43">
        <f>_xlfn.NUMBERVALUE(2673)</f>
        <v>2673</v>
      </c>
      <c r="E4" s="43"/>
      <c r="F4" s="43">
        <f>_xlfn.NUMBERVALUE(3153)</f>
        <v>3153</v>
      </c>
      <c r="G4" s="43"/>
      <c r="H4" s="43">
        <f>_xlfn.NUMBERVALUE(8132)</f>
        <v>8132</v>
      </c>
      <c r="I4" s="43"/>
      <c r="J4" s="3">
        <f>_xlfn.NUMBERVALUE(10788)</f>
        <v>10788</v>
      </c>
    </row>
    <row r="5" spans="1:10" x14ac:dyDescent="0.25">
      <c r="A5" s="2" t="str">
        <f>PROPER(2019)</f>
        <v>2019</v>
      </c>
      <c r="B5" s="44">
        <f>_xlfn.NUMBERVALUE(299132)</f>
        <v>299132</v>
      </c>
      <c r="C5" s="43"/>
      <c r="D5" s="43">
        <f>_xlfn.NUMBERVALUE(2716)</f>
        <v>2716</v>
      </c>
      <c r="E5" s="43"/>
      <c r="F5" s="43">
        <f>_xlfn.NUMBERVALUE(3104)</f>
        <v>3104</v>
      </c>
      <c r="G5" s="43"/>
      <c r="H5" s="43">
        <f>_xlfn.NUMBERVALUE(8026)</f>
        <v>8026</v>
      </c>
      <c r="I5" s="43"/>
      <c r="J5" s="3">
        <f>_xlfn.NUMBERVALUE(10782)</f>
        <v>10782</v>
      </c>
    </row>
    <row r="6" spans="1:10" x14ac:dyDescent="0.25">
      <c r="A6" s="2" t="str">
        <f>PROPER(2020)</f>
        <v>2020</v>
      </c>
      <c r="B6" s="44">
        <f>_xlfn.NUMBERVALUE(255482)</f>
        <v>255482</v>
      </c>
      <c r="C6" s="43"/>
      <c r="D6" s="43">
        <f>_xlfn.NUMBERVALUE(1771)</f>
        <v>1771</v>
      </c>
      <c r="E6" s="43"/>
      <c r="F6" s="43">
        <f>_xlfn.NUMBERVALUE(2856)</f>
        <v>2856</v>
      </c>
      <c r="G6" s="43"/>
      <c r="H6" s="43">
        <f>_xlfn.NUMBERVALUE(4272)</f>
        <v>4272</v>
      </c>
      <c r="I6" s="43"/>
      <c r="J6" s="2">
        <f>_xlfn.NUMBERVALUE(3424)</f>
        <v>3424</v>
      </c>
    </row>
    <row r="26" spans="10:17" x14ac:dyDescent="0.25">
      <c r="J26" s="47" t="s">
        <v>1</v>
      </c>
      <c r="K26" s="47"/>
    </row>
    <row r="27" spans="10:17" x14ac:dyDescent="0.25">
      <c r="J27" s="46" t="s">
        <v>0</v>
      </c>
      <c r="K27" s="47"/>
      <c r="L27" s="47"/>
      <c r="M27" s="47"/>
      <c r="N27" s="47"/>
      <c r="O27" s="47"/>
      <c r="P27" s="47"/>
      <c r="Q27" s="47"/>
    </row>
  </sheetData>
  <sheetProtection algorithmName="SHA-512" hashValue="zUeH8jRJ9XWL14E93ovC7+pzTbItyBGpVIl5F8cWaMJi/YEkzfBQkR/zLekDxFgeEcjS0COaipb1UF78968xgw==" saltValue="9Om3DBKMg1pmvVyOekKMXQ==" spinCount="100000" sheet="1" objects="1" scenarios="1"/>
  <mergeCells count="19">
    <mergeCell ref="D6:E6"/>
    <mergeCell ref="F6:G6"/>
    <mergeCell ref="H6:I6"/>
    <mergeCell ref="H4:I4"/>
    <mergeCell ref="B5:C5"/>
    <mergeCell ref="D5:E5"/>
    <mergeCell ref="A2:J2"/>
    <mergeCell ref="J27:Q27"/>
    <mergeCell ref="J26:K26"/>
    <mergeCell ref="B3:C3"/>
    <mergeCell ref="D3:E3"/>
    <mergeCell ref="F3:G3"/>
    <mergeCell ref="H3:I3"/>
    <mergeCell ref="B4:C4"/>
    <mergeCell ref="D4:E4"/>
    <mergeCell ref="F4:G4"/>
    <mergeCell ref="F5:G5"/>
    <mergeCell ref="H5:I5"/>
    <mergeCell ref="B6:C6"/>
  </mergeCells>
  <hyperlinks>
    <hyperlink ref="J27" r:id="rId1" location="Regreso&amp;c=" xr:uid="{C783D429-81F4-4B1E-B9E2-9FDB1DB59ED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1F07-B57C-48CA-B2BE-DA60F5912038}">
  <sheetPr codeName="Sheet7">
    <tabColor rgb="FFFF0000"/>
  </sheetPr>
  <dimension ref="A1:M9"/>
  <sheetViews>
    <sheetView workbookViewId="0">
      <selection activeCell="H8" sqref="H8:K8"/>
    </sheetView>
  </sheetViews>
  <sheetFormatPr defaultRowHeight="15" x14ac:dyDescent="0.25"/>
  <sheetData>
    <row r="1" spans="1:13" ht="15.75" x14ac:dyDescent="0.25">
      <c r="A1" s="21" t="str">
        <f>PROPER("marcas mas reconocidas de autos")</f>
        <v>Marcas Mas Reconocidas De Autos</v>
      </c>
      <c r="B1" s="21"/>
      <c r="C1" s="21"/>
      <c r="D1" s="21"/>
      <c r="E1" s="50" t="str">
        <f>PROPER("modelo")</f>
        <v>Modelo</v>
      </c>
      <c r="F1" s="51"/>
      <c r="G1" s="52"/>
      <c r="H1" s="50" t="str">
        <f>PROPER("Precio (millones de MXN)")</f>
        <v>Precio (Millones De Mxn)</v>
      </c>
      <c r="I1" s="51"/>
      <c r="J1" s="51"/>
      <c r="K1" s="51"/>
    </row>
    <row r="2" spans="1:13" ht="15.75" x14ac:dyDescent="0.25">
      <c r="A2" s="53" t="str">
        <f>PROPER("tesla")</f>
        <v>Tesla</v>
      </c>
      <c r="B2" s="54"/>
      <c r="C2" s="54"/>
      <c r="D2" s="55"/>
      <c r="E2" s="53" t="str">
        <f>PROPER("model s")</f>
        <v>Model S</v>
      </c>
      <c r="F2" s="54"/>
      <c r="G2" s="55"/>
      <c r="H2" s="53">
        <f>_xlfn.NUMBERVALUE(3.215)</f>
        <v>3.2149999999999999</v>
      </c>
      <c r="I2" s="54"/>
      <c r="J2" s="54"/>
      <c r="K2" s="55"/>
      <c r="M2" s="19" t="s">
        <v>29</v>
      </c>
    </row>
    <row r="3" spans="1:13" ht="15.75" x14ac:dyDescent="0.25">
      <c r="A3" s="53" t="str">
        <f>UPPER("bmw")</f>
        <v>BMW</v>
      </c>
      <c r="B3" s="54"/>
      <c r="C3" s="54"/>
      <c r="D3" s="55"/>
      <c r="E3" s="53" t="str">
        <f>PROPER("740i xDrive Sedan")</f>
        <v>740I Xdrive Sedan</v>
      </c>
      <c r="F3" s="54"/>
      <c r="G3" s="55"/>
      <c r="H3" s="53">
        <f>_xlfn.NUMBERVALUE(1.809)</f>
        <v>1.8089999999999999</v>
      </c>
      <c r="I3" s="54"/>
      <c r="J3" s="54"/>
      <c r="K3" s="55"/>
      <c r="M3" s="19" t="s">
        <v>28</v>
      </c>
    </row>
    <row r="4" spans="1:13" ht="15.75" x14ac:dyDescent="0.25">
      <c r="A4" s="53" t="str">
        <f>PROPER("Volkswagen")</f>
        <v>Volkswagen</v>
      </c>
      <c r="B4" s="54"/>
      <c r="C4" s="54"/>
      <c r="D4" s="55"/>
      <c r="E4" s="53" t="str">
        <f>PROPER("2023 ID. 4")</f>
        <v>2023 Id. 4</v>
      </c>
      <c r="F4" s="54"/>
      <c r="G4" s="55"/>
      <c r="H4" s="53">
        <f>_xlfn.NUMBERVALUE(0.705)</f>
        <v>0.70499999999999996</v>
      </c>
      <c r="I4" s="54"/>
      <c r="J4" s="54"/>
      <c r="K4" s="55"/>
      <c r="M4" s="19" t="s">
        <v>27</v>
      </c>
    </row>
    <row r="5" spans="1:13" ht="15.75" x14ac:dyDescent="0.25">
      <c r="A5" s="53" t="str">
        <f>PROPER("volvo")</f>
        <v>Volvo</v>
      </c>
      <c r="B5" s="54"/>
      <c r="C5" s="54"/>
      <c r="D5" s="55"/>
      <c r="E5" s="53" t="s">
        <v>26</v>
      </c>
      <c r="F5" s="54"/>
      <c r="G5" s="55"/>
      <c r="H5" s="53">
        <f>_xlfn.NUMBERVALUE(1.468)</f>
        <v>1.468</v>
      </c>
      <c r="I5" s="54"/>
      <c r="J5" s="54"/>
      <c r="K5" s="55"/>
      <c r="M5" s="19" t="s">
        <v>25</v>
      </c>
    </row>
    <row r="6" spans="1:13" ht="15.75" x14ac:dyDescent="0.25">
      <c r="A6" s="53" t="str">
        <f>PROPER("Mercedes-Benz")</f>
        <v>Mercedes-Benz</v>
      </c>
      <c r="B6" s="54"/>
      <c r="C6" s="54"/>
      <c r="D6" s="55"/>
      <c r="E6" s="53" t="str">
        <f>PROPER("S-Class Sedan")</f>
        <v>S-Class Sedan</v>
      </c>
      <c r="F6" s="54"/>
      <c r="G6" s="55"/>
      <c r="H6" s="53">
        <f>_xlfn.NUMBERVALUE(2.575)</f>
        <v>2.5750000000000002</v>
      </c>
      <c r="I6" s="54"/>
      <c r="J6" s="54"/>
      <c r="K6" s="55"/>
      <c r="M6" s="19" t="s">
        <v>24</v>
      </c>
    </row>
    <row r="7" spans="1:13" ht="15.75" x14ac:dyDescent="0.25">
      <c r="A7" s="53" t="str">
        <f>PROPER("Toyota")</f>
        <v>Toyota</v>
      </c>
      <c r="B7" s="54"/>
      <c r="C7" s="54"/>
      <c r="D7" s="55"/>
      <c r="E7" s="53" t="s">
        <v>23</v>
      </c>
      <c r="F7" s="54"/>
      <c r="G7" s="55"/>
      <c r="H7" s="53">
        <f>_xlfn.NUMBERVALUE(0.509)</f>
        <v>0.50900000000000001</v>
      </c>
      <c r="I7" s="54"/>
      <c r="J7" s="54"/>
      <c r="K7" s="55"/>
      <c r="M7" s="19" t="s">
        <v>22</v>
      </c>
    </row>
    <row r="8" spans="1:13" ht="15.75" x14ac:dyDescent="0.25">
      <c r="A8" s="53" t="str">
        <f>PROPER("Porsche")</f>
        <v>Porsche</v>
      </c>
      <c r="B8" s="54"/>
      <c r="C8" s="54"/>
      <c r="D8" s="55"/>
      <c r="E8" s="53" t="str">
        <f>PROPER("Panamera")</f>
        <v>Panamera</v>
      </c>
      <c r="F8" s="54"/>
      <c r="G8" s="55"/>
      <c r="H8" s="53">
        <f>_xlfn.NUMBERVALUE(1.888)</f>
        <v>1.8879999999999999</v>
      </c>
      <c r="I8" s="54"/>
      <c r="J8" s="54"/>
      <c r="K8" s="55"/>
      <c r="M8" s="19" t="s">
        <v>21</v>
      </c>
    </row>
    <row r="9" spans="1:13" ht="14.45" customHeight="1" x14ac:dyDescent="0.25">
      <c r="A9" s="53" t="str">
        <f>PROPER("genesis")</f>
        <v>Genesis</v>
      </c>
      <c r="B9" s="54"/>
      <c r="C9" s="54"/>
      <c r="D9" s="55"/>
      <c r="E9" s="53" t="s">
        <v>20</v>
      </c>
      <c r="F9" s="54"/>
      <c r="G9" s="55"/>
      <c r="H9" s="53">
        <f>_xlfn.NUMBERVALUE(0.985)</f>
        <v>0.98499999999999999</v>
      </c>
      <c r="I9" s="54"/>
      <c r="J9" s="54"/>
      <c r="K9" s="55"/>
      <c r="M9" s="19" t="s">
        <v>19</v>
      </c>
    </row>
  </sheetData>
  <sheetProtection algorithmName="SHA-512" hashValue="95X3lJv8oVzVZwSwmaNo2DLKCEDwmDJOki2SmBH0g5ylLLd/x8cwWMpwJ3ph+5+sqzLk0k7lRKXv/esxSvxh4g==" saltValue="+Dp8M9hwwXcM7VFHUzJa5Q==" spinCount="100000" sheet="1" objects="1" scenarios="1"/>
  <mergeCells count="26">
    <mergeCell ref="A2:D2"/>
    <mergeCell ref="A3:D3"/>
    <mergeCell ref="A4:D4"/>
    <mergeCell ref="E9:G9"/>
    <mergeCell ref="A8:D8"/>
    <mergeCell ref="A9:D9"/>
    <mergeCell ref="A5:D5"/>
    <mergeCell ref="A6:D6"/>
    <mergeCell ref="A7:D7"/>
    <mergeCell ref="E6:G6"/>
    <mergeCell ref="E7:G7"/>
    <mergeCell ref="E8:G8"/>
    <mergeCell ref="H9:K9"/>
    <mergeCell ref="H1:K1"/>
    <mergeCell ref="H2:K2"/>
    <mergeCell ref="H3:K3"/>
    <mergeCell ref="H4:K4"/>
    <mergeCell ref="H5:K5"/>
    <mergeCell ref="H6:K6"/>
    <mergeCell ref="H7:K7"/>
    <mergeCell ref="H8:K8"/>
    <mergeCell ref="E1:G1"/>
    <mergeCell ref="E2:G2"/>
    <mergeCell ref="E3:G3"/>
    <mergeCell ref="E4:G4"/>
    <mergeCell ref="E5:G5"/>
  </mergeCells>
  <hyperlinks>
    <hyperlink ref="M2" r:id="rId1" xr:uid="{CDE732F7-C50E-4526-AE61-8843E4F83C20}"/>
    <hyperlink ref="M3" r:id="rId2" xr:uid="{E972EDF1-8349-46E6-8999-DE7DD451D4AF}"/>
    <hyperlink ref="M4" r:id="rId3" xr:uid="{DFCE051A-3039-4F41-8049-73D85B2BABAF}"/>
    <hyperlink ref="M5" r:id="rId4" xr:uid="{63D9E0FF-FFDB-4E7F-B3FD-7695B6802EE3}"/>
    <hyperlink ref="M6" r:id="rId5" location="modelos" xr:uid="{B63F7D43-67C2-4D70-BF6D-15E863FDD0D9}"/>
    <hyperlink ref="M7" r:id="rId6" xr:uid="{4B5B2AE7-CDE9-4583-A6F0-0AA7448B33F0}"/>
    <hyperlink ref="M8" r:id="rId7" xr:uid="{5D01D967-8295-4EBE-8038-080003F415D8}"/>
    <hyperlink ref="M9" r:id="rId8" xr:uid="{CD3A4368-65E7-4FF4-8AF9-72B3AB95E105}"/>
  </hyperlinks>
  <pageMargins left="0.7" right="0.7" top="0.75" bottom="0.75" header="0.3" footer="0.3"/>
  <pageSetup orientation="portrait" horizontalDpi="4294967295" verticalDpi="4294967295" r:id="rId9"/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4FDA-E853-498B-80EB-9B9D79562466}">
  <sheetPr codeName="Sheet8">
    <tabColor rgb="FF00B0F0"/>
  </sheetPr>
  <dimension ref="A2:X38"/>
  <sheetViews>
    <sheetView zoomScale="80" zoomScaleNormal="80" workbookViewId="0">
      <selection activeCell="L7" sqref="L7"/>
    </sheetView>
  </sheetViews>
  <sheetFormatPr defaultColWidth="11.42578125" defaultRowHeight="15" x14ac:dyDescent="0.25"/>
  <sheetData>
    <row r="2" spans="1:24" ht="15.75" x14ac:dyDescent="0.25">
      <c r="A2" s="38"/>
      <c r="B2" s="61" t="str">
        <f>UPPER("años en ventas y uso")</f>
        <v>AÑOS EN VENTAS Y USO</v>
      </c>
      <c r="C2" s="61"/>
      <c r="D2" s="61"/>
      <c r="E2" s="61"/>
      <c r="F2" s="61"/>
      <c r="G2" s="61"/>
      <c r="H2" s="61"/>
      <c r="I2" s="61"/>
      <c r="J2" s="61"/>
      <c r="W2">
        <v>1584</v>
      </c>
      <c r="X2">
        <v>16022</v>
      </c>
    </row>
    <row r="3" spans="1:24" ht="15.75" x14ac:dyDescent="0.25">
      <c r="A3" s="38"/>
      <c r="B3" s="58" t="str">
        <f>PROPER("AÑOS")</f>
        <v>Años</v>
      </c>
      <c r="C3" s="60" t="str">
        <f>PROPER("Ventas")</f>
        <v>Ventas</v>
      </c>
      <c r="D3" s="60"/>
      <c r="E3" s="60"/>
      <c r="F3" s="60"/>
      <c r="G3" s="60"/>
      <c r="H3" s="60" t="str">
        <f>PROPER("USO")</f>
        <v>Uso</v>
      </c>
      <c r="I3" s="60"/>
      <c r="J3" s="60"/>
      <c r="W3">
        <v>1339</v>
      </c>
      <c r="X3">
        <v>23964</v>
      </c>
    </row>
    <row r="4" spans="1:24" x14ac:dyDescent="0.25">
      <c r="B4" s="59"/>
      <c r="C4" s="32" t="str">
        <f>PROPER("electricos")</f>
        <v>Electricos</v>
      </c>
      <c r="D4" s="32" t="str">
        <f>PROPER("Hibridos enchufables")</f>
        <v>Hibridos Enchufables</v>
      </c>
      <c r="E4" s="32"/>
      <c r="F4" s="32" t="str">
        <f>PROPER("hibridos regulares")</f>
        <v>Hibridos Regulares</v>
      </c>
      <c r="G4" s="32"/>
      <c r="H4" s="33" t="str">
        <f>UPPER("TESLA")</f>
        <v>TESLA</v>
      </c>
      <c r="I4" s="33" t="str">
        <f>UPPER("NISSAN")</f>
        <v>NISSAN</v>
      </c>
      <c r="J4" s="33" t="str">
        <f>UPPER("TOYOTA")</f>
        <v>TOYOTA</v>
      </c>
      <c r="W4">
        <v>1817</v>
      </c>
      <c r="X4">
        <v>22139</v>
      </c>
    </row>
    <row r="5" spans="1:24" x14ac:dyDescent="0.25">
      <c r="B5" s="34">
        <f>_xlfn.NUMBERVALUE(2018)</f>
        <v>2018</v>
      </c>
      <c r="C5" s="34">
        <f>_xlfn.NUMBERVALUE(201)</f>
        <v>201</v>
      </c>
      <c r="D5" s="56">
        <f>_xlfn.NUMBERVALUE(1584)</f>
        <v>1584</v>
      </c>
      <c r="E5" s="57"/>
      <c r="F5" s="56">
        <f>_xlfn.NUMBERVALUE("16,022")</f>
        <v>16022</v>
      </c>
      <c r="G5" s="57"/>
      <c r="H5" s="35">
        <f>_xlfn.NUMBERVALUE("11,122")</f>
        <v>11122</v>
      </c>
      <c r="I5" s="35">
        <f>_xlfn.NUMBERVALUE(1223)</f>
        <v>1223</v>
      </c>
      <c r="J5" s="35">
        <f>_xlfn.NUMBERVALUE(9478)</f>
        <v>9478</v>
      </c>
      <c r="W5">
        <v>2515</v>
      </c>
      <c r="X5">
        <v>35911</v>
      </c>
    </row>
    <row r="6" spans="1:24" x14ac:dyDescent="0.25">
      <c r="B6" s="34">
        <f>_xlfn.NUMBERVALUE(2019)</f>
        <v>2019</v>
      </c>
      <c r="C6" s="34">
        <f>_xlfn.NUMBERVALUE(305)</f>
        <v>305</v>
      </c>
      <c r="D6" s="56">
        <f>_xlfn.NUMBERVALUE(1339)</f>
        <v>1339</v>
      </c>
      <c r="E6" s="57"/>
      <c r="F6" s="56">
        <f>_xlfn.NUMBERVALUE("23,964")</f>
        <v>23964</v>
      </c>
      <c r="G6" s="57"/>
      <c r="H6" s="35">
        <f>_xlfn.NUMBERVALUE("14,652")</f>
        <v>14652</v>
      </c>
      <c r="I6" s="35">
        <f>_xlfn.NUMBERVALUE(5156)</f>
        <v>5156</v>
      </c>
      <c r="J6" s="35">
        <f>_xlfn.NUMBERVALUE(12652)</f>
        <v>12652</v>
      </c>
    </row>
    <row r="7" spans="1:24" x14ac:dyDescent="0.25">
      <c r="B7" s="34">
        <f>_xlfn.NUMBERVALUE(2020)</f>
        <v>2020</v>
      </c>
      <c r="C7" s="34">
        <f>_xlfn.NUMBERVALUE(449)</f>
        <v>449</v>
      </c>
      <c r="D7" s="56">
        <f>_xlfn.NUMBERVALUE(1817)</f>
        <v>1817</v>
      </c>
      <c r="E7" s="57"/>
      <c r="F7" s="56">
        <f>_xlfn.NUMBERVALUE("22,139")</f>
        <v>22139</v>
      </c>
      <c r="G7" s="57"/>
      <c r="H7" s="35">
        <f>_xlfn.NUMBERVALUE("16,223")</f>
        <v>16223</v>
      </c>
      <c r="I7" s="35">
        <f>_xlfn.NUMBERVALUE(7746)</f>
        <v>7746</v>
      </c>
      <c r="J7" s="35">
        <f>_xlfn.NUMBERVALUE(15068)</f>
        <v>15068</v>
      </c>
      <c r="L7" s="19"/>
    </row>
    <row r="8" spans="1:24" x14ac:dyDescent="0.25">
      <c r="B8" s="34">
        <f>_xlfn.NUMBERVALUE(2021)</f>
        <v>2021</v>
      </c>
      <c r="C8" s="34">
        <f>_xlfn.NUMBERVALUE(768)</f>
        <v>768</v>
      </c>
      <c r="D8" s="56">
        <f>_xlfn.NUMBERVALUE(2515)</f>
        <v>2515</v>
      </c>
      <c r="E8" s="57"/>
      <c r="F8" s="56">
        <f>_xlfn.NUMBERVALUE("35,911")</f>
        <v>35911</v>
      </c>
      <c r="G8" s="57"/>
      <c r="H8" s="35">
        <f>_xlfn.NUMBERVALUE(18472)</f>
        <v>18472</v>
      </c>
      <c r="I8" s="35">
        <f>_xlfn.NUMBERVALUE(11990)</f>
        <v>11990</v>
      </c>
      <c r="J8" s="35">
        <f>_xlfn.NUMBERVALUE(18886)</f>
        <v>18886</v>
      </c>
    </row>
    <row r="33" spans="1:11" ht="15.75" x14ac:dyDescent="0.25">
      <c r="A33" s="30"/>
      <c r="B33" s="30" t="s">
        <v>33</v>
      </c>
      <c r="C33" s="30"/>
      <c r="D33" s="30"/>
      <c r="E33" s="30"/>
      <c r="F33" s="30"/>
      <c r="G33" s="30"/>
      <c r="H33" s="30"/>
      <c r="I33" s="30"/>
      <c r="J33" s="30"/>
      <c r="K33" s="30"/>
    </row>
    <row r="34" spans="1:11" ht="15.75" x14ac:dyDescent="0.25">
      <c r="A34" s="30"/>
      <c r="B34" s="19" t="s">
        <v>32</v>
      </c>
      <c r="C34" s="30"/>
      <c r="D34" s="30"/>
      <c r="E34" s="30"/>
      <c r="F34" s="30"/>
      <c r="G34" s="30"/>
      <c r="H34" s="30"/>
      <c r="I34" s="30"/>
      <c r="J34" s="30"/>
      <c r="K34" s="30"/>
    </row>
    <row r="35" spans="1:11" ht="15.7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 ht="15.75" x14ac:dyDescent="0.25">
      <c r="A36" s="30"/>
      <c r="B36" s="19" t="s">
        <v>31</v>
      </c>
      <c r="C36" s="30"/>
      <c r="D36" s="30"/>
      <c r="E36" s="30"/>
      <c r="F36" s="30"/>
      <c r="G36" s="30"/>
      <c r="H36" s="30"/>
      <c r="I36" s="30"/>
      <c r="J36" s="30"/>
      <c r="K36" s="30"/>
    </row>
    <row r="37" spans="1:11" ht="15.75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 ht="15.75" x14ac:dyDescent="0.25">
      <c r="A38" s="30"/>
      <c r="B38" s="31" t="s">
        <v>30</v>
      </c>
      <c r="C38" s="30"/>
      <c r="D38" s="30"/>
      <c r="E38" s="30"/>
      <c r="F38" s="30"/>
      <c r="G38" s="30"/>
      <c r="H38" s="30"/>
      <c r="I38" s="30"/>
      <c r="J38" s="30"/>
      <c r="K38" s="30"/>
    </row>
  </sheetData>
  <sheetProtection algorithmName="SHA-512" hashValue="8JpdGJjOcrkicBWJev10at80J1zOLRreqLYiXW5TvtZzFi29fUUSOWn1Slthl6iITnvPNCNpSToODDeXzAkzRg==" saltValue="cvaiIvakYTK1VX1MhiugMA==" spinCount="100000" sheet="1" objects="1" scenarios="1"/>
  <mergeCells count="12">
    <mergeCell ref="F8:G8"/>
    <mergeCell ref="B3:B4"/>
    <mergeCell ref="C3:G3"/>
    <mergeCell ref="D8:E8"/>
    <mergeCell ref="B2:J2"/>
    <mergeCell ref="H3:J3"/>
    <mergeCell ref="D5:E5"/>
    <mergeCell ref="D6:E6"/>
    <mergeCell ref="D7:E7"/>
    <mergeCell ref="F5:G5"/>
    <mergeCell ref="F6:G6"/>
    <mergeCell ref="F7:G7"/>
  </mergeCells>
  <hyperlinks>
    <hyperlink ref="B38" r:id="rId1" xr:uid="{C3A3E8BF-B07D-4A4C-B2F0-6B85A4812932}"/>
    <hyperlink ref="B34" r:id="rId2" xr:uid="{3BEB8EB5-FC72-48F8-B601-C6DDA1D4201A}"/>
    <hyperlink ref="B36" r:id="rId3" xr:uid="{4FF9F25F-8F9E-40F9-A55A-9BCE70268A15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EC2A-124E-424D-BDF0-80AED45E0DE3}">
  <sheetPr codeName="Sheet9">
    <tabColor rgb="FF00B0F0"/>
  </sheetPr>
  <dimension ref="A3:E8"/>
  <sheetViews>
    <sheetView topLeftCell="A3" workbookViewId="0">
      <selection activeCell="M18" sqref="M18"/>
    </sheetView>
  </sheetViews>
  <sheetFormatPr defaultColWidth="11.42578125" defaultRowHeight="15" x14ac:dyDescent="0.25"/>
  <cols>
    <col min="1" max="1" width="11.5703125" customWidth="1"/>
    <col min="3" max="3" width="13.28515625" customWidth="1"/>
    <col min="5" max="5" width="14.85546875" customWidth="1"/>
  </cols>
  <sheetData>
    <row r="3" spans="1:5" ht="43.15" customHeight="1" thickBot="1" x14ac:dyDescent="0.35">
      <c r="A3" s="36"/>
      <c r="B3" s="37" t="str">
        <f>PROPER("PROYECCIONES A FUTURO")</f>
        <v>Proyecciones A Futuro</v>
      </c>
      <c r="C3" s="37"/>
      <c r="D3" s="37"/>
      <c r="E3" s="37"/>
    </row>
    <row r="4" spans="1:5" ht="42.75" x14ac:dyDescent="0.25">
      <c r="A4" s="22" t="str">
        <f>PROPER("Años")</f>
        <v>Años</v>
      </c>
      <c r="B4" s="23" t="str">
        <f>PROPER("Hibridos Regulares")</f>
        <v>Hibridos Regulares</v>
      </c>
      <c r="C4" s="24" t="str">
        <f>PROPER("Hibridos enchufables")</f>
        <v>Hibridos Enchufables</v>
      </c>
      <c r="D4" s="25" t="str">
        <f>PROPER("Electricos")</f>
        <v>Electricos</v>
      </c>
      <c r="E4" s="25" t="str">
        <f>PROPER("Inteligentes")</f>
        <v>Inteligentes</v>
      </c>
    </row>
    <row r="5" spans="1:5" x14ac:dyDescent="0.25">
      <c r="A5" s="26">
        <f>_xlfn.NUMBERVALUE(2020)</f>
        <v>2020</v>
      </c>
      <c r="B5" s="27">
        <f>_xlfn.NUMBERVALUE(2213)</f>
        <v>2213</v>
      </c>
      <c r="C5" s="27">
        <f>_xlfn.NUMBERVALUE(3245)</f>
        <v>3245</v>
      </c>
      <c r="D5" s="27">
        <f>_xlfn.NUMBERVALUE(449)</f>
        <v>449</v>
      </c>
      <c r="E5" s="27">
        <f>_xlfn.NUMBERVALUE(345)</f>
        <v>345</v>
      </c>
    </row>
    <row r="6" spans="1:5" x14ac:dyDescent="0.25">
      <c r="A6" s="26">
        <f>_xlfn.NUMBERVALUE(2021)</f>
        <v>2021</v>
      </c>
      <c r="B6" s="27">
        <f>_xlfn.NUMBERVALUE(3595)</f>
        <v>3595</v>
      </c>
      <c r="C6" s="29">
        <f>_xlfn.NUMBERVALUE(3456)</f>
        <v>3456</v>
      </c>
      <c r="D6" s="27">
        <f>_xlfn.NUMBERVALUE(768)</f>
        <v>768</v>
      </c>
      <c r="E6" s="27">
        <f>_xlfn.NUMBERVALUE(425)</f>
        <v>425</v>
      </c>
    </row>
    <row r="7" spans="1:5" x14ac:dyDescent="0.25">
      <c r="A7" s="26">
        <f>_xlfn.NUMBERVALUE(2022)</f>
        <v>2022</v>
      </c>
      <c r="B7" s="27">
        <f>_xlfn.NUMBERVALUE(3815)</f>
        <v>3815</v>
      </c>
      <c r="C7" s="27">
        <f>_xlfn.NUMBERVALUE(3495)</f>
        <v>3495</v>
      </c>
      <c r="D7" s="27">
        <f>_xlfn.NUMBERVALUE(825)</f>
        <v>825</v>
      </c>
      <c r="E7" s="27">
        <f>_xlfn.NUMBERVALUE(525)</f>
        <v>525</v>
      </c>
    </row>
    <row r="8" spans="1:5" ht="15.75" thickBot="1" x14ac:dyDescent="0.3">
      <c r="A8" s="28">
        <f>_xlfn.NUMBERVALUE(2023)</f>
        <v>2023</v>
      </c>
      <c r="B8" s="27">
        <f>_xlfn.NUMBERVALUE(4285)</f>
        <v>4285</v>
      </c>
      <c r="C8" s="27">
        <f>_xlfn.NUMBERVALUE(4312)</f>
        <v>4312</v>
      </c>
      <c r="D8" s="27">
        <f>_xlfn.NUMBERVALUE(985)</f>
        <v>985</v>
      </c>
      <c r="E8" s="27">
        <f>_xlfn.NUMBERVALUE(765)</f>
        <v>765</v>
      </c>
    </row>
  </sheetData>
  <sheetProtection algorithmName="SHA-512" hashValue="gtgqDtg21Usur+eg7DRH8lCbud1RT4/z7iG/mkxeuIcBoDNwvkOppF/GjRpDc6voegBle0he8wgrHVEbIBKmuQ==" saltValue="fIC9xWsg83BRlDAls5bT1Q==" spinCount="100000" sheet="1" objects="1" scenarios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PORTADA</vt:lpstr>
      <vt:lpstr>Tabla de Vehiculos Comprados</vt:lpstr>
      <vt:lpstr>Graficas de Vehiculos Comprados</vt:lpstr>
      <vt:lpstr>Preferencias-autos inteligentes</vt:lpstr>
      <vt:lpstr>Accidentes - Autos Inteligentes</vt:lpstr>
      <vt:lpstr>Accidentes - Autos normales</vt:lpstr>
      <vt:lpstr>Marcas y precios de autos intel</vt:lpstr>
      <vt:lpstr>Años en ventas y uso</vt:lpstr>
      <vt:lpstr>Proyeccion a futuro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</dc:creator>
  <cp:lastModifiedBy>Ley Hernandez</cp:lastModifiedBy>
  <dcterms:created xsi:type="dcterms:W3CDTF">2022-04-08T07:47:31Z</dcterms:created>
  <dcterms:modified xsi:type="dcterms:W3CDTF">2022-05-09T03:18:00Z</dcterms:modified>
</cp:coreProperties>
</file>