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2\Google Drive\PAF Papers\Excel Paper\"/>
    </mc:Choice>
  </mc:AlternateContent>
  <xr:revisionPtr revIDLastSave="0" documentId="13_ncr:1_{9D915942-9D00-4F25-A1D9-3A00BE443997}" xr6:coauthVersionLast="47" xr6:coauthVersionMax="47" xr10:uidLastSave="{00000000-0000-0000-0000-000000000000}"/>
  <bookViews>
    <workbookView xWindow="-120" yWindow="-120" windowWidth="29040" windowHeight="15720" tabRatio="750" firstSheet="5" activeTab="7" xr2:uid="{3904170A-37BB-48F0-B322-9CC8A1F1D6E0}"/>
  </bookViews>
  <sheets>
    <sheet name="Glossary" sheetId="4" r:id="rId1"/>
    <sheet name="Example Doc" sheetId="6" r:id="rId2"/>
    <sheet name="Order of Operation" sheetId="3" r:id="rId3"/>
    <sheet name="How It Works" sheetId="5" r:id="rId4"/>
    <sheet name="Calculation D 8+ StructRef" sheetId="2" r:id="rId5"/>
    <sheet name="Calculation D 8+ Classic" sheetId="12" r:id="rId6"/>
    <sheet name="Calculation D 8+ MAPS" sheetId="7" r:id="rId7"/>
    <sheet name="Calculation D 8+ DYN" sheetId="9" r:id="rId8"/>
    <sheet name="Sheet1" sheetId="14" r:id="rId9"/>
  </sheets>
  <externalReferences>
    <externalReference r:id="rId10"/>
  </externalReferences>
  <definedNames>
    <definedName name="Activation_Time">'Calculation D 8+ StructRef'!$B$2</definedName>
    <definedName name="InitialPurchasePayment" localSheetId="0">[1]Homework!$B$3</definedName>
    <definedName name="InitialPurchasePayment">'Calculation D 8+ StructRef'!$E$3</definedName>
    <definedName name="invest1">[1]Homework!$B$22</definedName>
    <definedName name="invest2">[1]Homework!$B$23</definedName>
    <definedName name="MAW">'Calculation D 8+ StructRef'!$B$4</definedName>
    <definedName name="Minimum_Income_Base_Percentage">'Calculation D 8+ StructRef'!$B$6</definedName>
    <definedName name="Payments">'Calculation D 8+ StructRef'!$E$3:$E$5</definedName>
    <definedName name="PaymentTimes">'Calculation D 8+ StructRef'!$D$3:$D$5</definedName>
    <definedName name="PIP">'Calculation D 8+ StructRef'!$B$5</definedName>
    <definedName name="Purchase_Pay_0_Time">'Calculation D 8+ StructRef'!$D$3</definedName>
    <definedName name="Purchase_Pay_1">'Calculation D 8+ StructRef'!$E$4</definedName>
    <definedName name="Purchase_Pay_1_Time">'Calculation D 8+ StructRef'!$D$4</definedName>
    <definedName name="Purchase_Pay_2">'Calculation D 8+ StructRef'!$E$5</definedName>
    <definedName name="Purchase_Pay_2_Time">'Calculation D 8+ StructRef'!$D$5</definedName>
    <definedName name="Utils.CC">_xlfn.LAMBDA(_xlpm.Array,_xlpm.index, _xlfn.CHOOSECOLS(_xlpm.Array, _xlpm.index))</definedName>
    <definedName name="Utils.ComboSCAN2">_xlfn.LAMBDA(_xlpm.initValue,_xlpm.array1,_xlpm.array2,_xlpm.function, _xlfn.LET(_xlpm.closure, _xlfn.MAP(_xlpm.array1, _xlpm.array2, _xlfn.LAMBDA(_xlpm.a,_xlpm.b, _xlfn.LAMBDA(_xlpm.c, _xlpm.function(_xlpm.a, _xlpm.b, _xlpm.c)))), _xlpm.processSeries, _xlfn.LAMBDA(_xlpm.prevValue,_xlpm.func, _xlpm.func(_xlpm.prevValue)), _xlfn.SCAN(_xlpm.initValue, _xlpm.closure, _xlpm.processSeries)))</definedName>
    <definedName name="Utils.ComboSCAN3">_xlfn.LAMBDA(_xlpm.initValue,_xlpm.array1,_xlpm.array2,_xlpm.array3,_xlpm.function, _xlfn.LET(_xlpm.closure, _xlfn.MAP(_xlpm.array1, _xlpm.array2, _xlpm.array3, _xlfn.LAMBDA(_xlpm.a,_xlpm.b,_xlpm.c, _xlfn.LAMBDA(_xlpm.d, _xlpm.function(_xlpm.a, _xlpm.b, _xlpm.c, _xlpm.d)))), _xlpm.processSeries, _xlfn.LAMBDA(_xlpm.prevValue,_xlpm.func, _xlpm.func(_xlpm.prevValue)), _xlfn.SCAN(_xlpm.initValue, _xlpm.closure, _xlpm.processSeries)))</definedName>
    <definedName name="Utils.ComboSCAN4">_xlfn.LAMBDA(_xlpm.initValue,_xlpm.array1,_xlpm.array2,_xlpm.array3,_xlpm.array4,_xlpm.function, _xlfn.LET(_xlpm.closure, _xlfn.MAP(_xlpm.array1, _xlpm.array2, _xlpm.array3, _xlpm.array4, _xlfn.LAMBDA(_xlpm.a,_xlpm.b,_xlpm.c,_xlpm.d, _xlfn.LAMBDA(_xlpm.e, _xlpm.function(_xlpm.a, _xlpm.b, _xlpm.c, _xlpm.d, _xlpm.e)))), _xlpm.processSeries, _xlfn.LAMBDA(_xlpm.prevValue,_xlpm.func, _xlpm.func(_xlpm.prevValue)), _xlfn.SCAN(_xlpm.initValue, _xlpm.closure, _xlpm.processSeries)))</definedName>
    <definedName name="Utils.ComboSCAN5">_xlfn.LAMBDA(_xlpm.initValue,_xlpm.array1,_xlpm.array2,_xlpm.array3,_xlpm.array4,_xlpm.array5,_xlpm.function, _xlfn.LET(_xlpm.closure, _xlfn.MAP(_xlpm.array1, _xlpm.array2, _xlpm.array3, _xlpm.array4, _xlpm.array5, _xlfn.LAMBDA(_xlpm.a,_xlpm.b,_xlpm.c,_xlpm.d,_xlpm.e, _xlfn.LAMBDA(_xlpm.f, _xlpm.function(_xlpm.a, _xlpm.b, _xlpm.c, _xlpm.d, _xlpm.e, _xlpm.f)))), _xlpm.processSeries, _xlfn.LAMBDA(_xlpm.prevValue,_xlpm.func, _xlpm.func(_xlpm.prevValue)), _xlfn.SCAN(_xlpm.initValue, _xlpm.closure, _xlpm.processSeries)))</definedName>
    <definedName name="Utils.ComboSCAN6">_xlfn.LAMBDA(_xlpm.initValue,_xlpm.array1,_xlpm.array2,_xlpm.array3,_xlpm.array4,_xlpm.array5,_xlpm.array6,_xlpm.function, _xlfn.LET(_xlpm.closure, _xlfn.MAP(_xlpm.array1, _xlpm.array2, _xlpm.array3, _xlpm.array4, _xlpm.array5, _xlpm.array6, _xlfn.LAMBDA(_xlpm.a,_xlpm.b,_xlpm.c,_xlpm.d,_xlpm.e,_xlpm.f, _xlfn.LAMBDA(_xlpm.g, _xlpm.function(_xlpm.a, _xlpm.b, _xlpm.c, _xlpm.d, _xlpm.e, _xlpm.f, _xlpm.g)))), _xlpm.processSeries, _xlfn.LAMBDA(_xlpm.prevValue,_xlpm.func, _xlpm.func(_xlpm.prevValue)), _xlfn.SCAN(_xlpm.initValue, _xlpm.closure, _xlpm.processSeries)))</definedName>
    <definedName name="Utils.Curry">_xlfn.LAMBDA(_xlpm.array,_xlpm.function, _xlfn.LET(_xlpm.f, _xlpm.function, _xlpm.v, _xlfn.CHOOSEROWS(_xlpm.array, 1), _xlfn.SWITCH(COLUMNS(_xlpm.array), 0, _xlpm.f(), 1, _xlpm.f(Utils.CC(_xlpm.v, 1)), 2, _xlpm.f(Utils.CC(_xlpm.v, 1), Utils.CC(_xlpm.v, 2)), 3, _xlpm.f(Utils.CC(_xlpm.v, 1), Utils.CC(_xlpm.v, 2), Utils.CC(_xlpm.v, 3)), 4, _xlpm.f(Utils.CC(_xlpm.v, 1), Utils.CC(_xlpm.v, 2), Utils.CC(_xlpm.v, 3), Utils.CC(_xlpm.v, 4)), 5, _xlpm.f(Utils.CC(_xlpm.v, 1), Utils.CC(_xlpm.v, 2), Utils.CC(_xlpm.v, 3), Utils.CC(_xlpm.v, 4), Utils.CC(_xlpm.v, 5)), 6, _xlpm.f(Utils.CC(_xlpm.v, 1), Utils.CC(_xlpm.v, 2), Utils.CC(_xlpm.v, 3), Utils.CC(_xlpm.v, 4), Utils.CC(_xlpm.v, 5), Utils.CC(_xlpm.v, 6)), 7, _xlpm.f(Utils.CC(_xlpm.v, 1), Utils.CC(_xlpm.v, 2), Utils.CC(_xlpm.v, 3), Utils.CC(_xlpm.v, 4), Utils.CC(_xlpm.v, 5), Utils.CC(_xlpm.v, 6), Utils.CC(_xlpm.v, 7)), 8, _xlpm.f(Utils.CC(_xlpm.v, 1), Utils.CC(_xlpm.v, 2), Utils.CC(_xlpm.v, 3), Utils.CC(_xlpm.v, 4), Utils.CC(_xlpm.v, 5), Utils.CC(_xlpm.v, 6), Utils.CC(_xlpm.v, 7), Utils.CC(_xlpm.v, 8)), 9, _xlpm.f(Utils.CC(_xlpm.v, 1), Utils.CC(_xlpm.v, 2), Utils.CC(_xlpm.v, 3), Utils.CC(_xlpm.v, 4), Utils.CC(_xlpm.v, 5), Utils.CC(_xlpm.v, 6), Utils.CC(_xlpm.v, 7), Utils.CC(_xlpm.v, 8), Utils.CC(_xlpm.v, 9)), 10, _xlpm.f(Utils.CC(_xlpm.v, 1), Utils.CC(_xlpm.v, 2), Utils.CC(_xlpm.v, 3), Utils.CC(_xlpm.v, 4), Utils.CC(_xlpm.v, 5), Utils.CC(_xlpm.v, 6), Utils.CC(_xlpm.v, 7), Utils.CC(_xlpm.v, 8), Utils.CC(_xlpm.v, 9), Utils.CC(_xlpm.v, 10)), 11, _xlpm.f(Utils.CC(_xlpm.v, 1), Utils.CC(_xlpm.v, 2), Utils.CC(_xlpm.v, 3), Utils.CC(_xlpm.v, 4), Utils.CC(_xlpm.v, 5), Utils.CC(_xlpm.v, 6), Utils.CC(_xlpm.v, 7), Utils.CC(_xlpm.v, 8), Utils.CC(_xlpm.v, 9), Utils.CC(_xlpm.v, 10), Utils.CC(_xlpm.v, 11)), 12, _xlpm.f(Utils.CC(_xlpm.v, 1), Utils.CC(_xlpm.v, 2), Utils.CC(_xlpm.v, 3), Utils.CC(_xlpm.v, 4), Utils.CC(_xlpm.v, 5), Utils.CC(_xlpm.v, 6), Utils.CC(_xlpm.v, 7), Utils.CC(_xlpm.v, 8), Utils.CC(_xlpm.v, 9), Utils.CC(_xlpm.v, 10), Utils.CC(_xlpm.v, 11), Utils.CC(_xlpm.v, 12)), 13,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13)), 14,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14)), 15,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15)), 16,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16)), 17,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17)), 18,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18)), 19,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19)), 20, _xlpm.f(Utils.CC(_xlpm.v, 1), Utils.CC(_xlpm.v, 2), Utils.CC(_xlpm.v, 3), Utils.CC(_xlpm.v, 4), Utils.CC(_xlpm.v, 5), Utils.CC(_xlpm.v, 6), Utils.CC(_xlpm.v, 7), Utils.CC(_xlpm.v, 8), Utils.CC(_xlpm.v, 9), Utils.CC(_xlpm.v, 10), Utils.CC(_xlpm.v, 11), Utils.CC(_xlpm.v, 12), Utils.CC(_xlpm.v, 13), Utils.CC(_xlpm.v, 14), Utils.CC(_xlpm.v, 15), Utils.CC(_xlpm.v, 16), Utils.CC(_xlpm.v, 17), Utils.CC(_xlpm.v, 18), Utils.CC(_xlpm.v, 19), Utils.CC(_xlpm.v, 20)), "Need to extend the curry function")))</definedName>
    <definedName name="Utils.errorMessage">"Does Not Exist"</definedName>
    <definedName name="Utils.FilterMortSoaOrgActiveTableIdsAndNames">_xlfn.LAMBDA(_xlpm.twoColumnArray, _xlfn.LET(_xlpm.r, _xlpm.twoColumnArray, _xlfn._xlws.FILTER(_xlpm.r, OFFSET(_xlpm.r, 0, 1, , 1) &lt;&gt; Utils.errorMessage)))</definedName>
    <definedName name="Utils.GetMortalityTable">_xlfn.LAMBDA(_xlpm.TableID,_xlpm.MinAge_,_xlpm.MaxAge_, _xlfn.LET(_xlpm.MinAge, IF(_xlfn.ISOMITTED(_xlpm.MinAge_), 0, _xlpm.MinAge_), _xlpm.MaxAge, IF(_xlfn.ISOMITTED(_xlpm.MaxAge_), 120, _xlpm.MaxAge_), _xlpm.FileType, ".xml", _xlpm.SearchString, "//@t | //Y", _xlpm.TableName, _xlfn.ENCODEURL("t" &amp; _xlpm.TableID), _xlpm.MortTbl, _xlfn.WRAPROWS(_xlfn.FILTERXML(_xlfn.WEBSERVICE(Utils.MortSoaOrgAddress &amp; _xlpm.TableName &amp; _xlpm.FileType), _xlpm.SearchString), 2), _xlfn._xlws.FILTER(_xlpm.MortTbl, (INDEX(_xlpm.MortTbl, 0, 2) &gt; _xlpm.MinAge) * (INDEX(_xlpm.MortTbl, 0, 2) &lt; _xlpm.MaxAge))))</definedName>
    <definedName name="Utils.GetMortSoaOrgTableIdsAndNames">_xlfn.LAMBDA(_xlpm.tableNumber, _xlfn.LET(_xlpm.fileName, Utils.MortSoaOrgAddress &amp; "t" &amp; _xlpm.tableNumber &amp; ".xml", _xlpm.xpath, "//TableName", _xlpm.filteredXml, _xlfn.FILTERXML(_xlfn.WEBSERVICE(_xlpm.fileName), _xlpm.xpath), _xlpm.item1, _xlpm.tableNumber, _xlpm.item2, IFERROR(_xlpm.filteredXml, Utils.errorMessage), _xlfn.HSTACK(_xlpm.item1, _xlpm.item2)))</definedName>
    <definedName name="Utils.Illustrate">_xlfn.LAMBDA(_xlpm.initial_value_array,_xlpm.array,_xlpm.function,_xlpm.header, _xlfn.VSTACK(_xlpm.header, Utils.MultiSCAN(_xlpm.initial_value_array, _xlpm.array, _xlpm.function)))</definedName>
    <definedName name="Utils.MortSoaOrgAddress">"https://mort.soa.org/data/"</definedName>
    <definedName name="Utils.MultiSCAN">_xlfn.LAMBDA(_xlpm.initial_value_array,_xlpm.array,_xlpm.function, _xlfn.LET(_xlpm.prev_size, COLUMNS(_xlpm.initial_value_array), _xlpm.arr_size, ROWS(_xlpm.array), _xlpm.para_vector, _xlfn.HSTACK(_xlfn.CHOOSEROWS(_xlpm.initial_value_array, 1), _xlfn.CHOOSEROWS(_xlpm.array, 1)), _xlpm.result, Utils.Curry(_xlpm.para_vector, _xlpm.function), _xlpm.holdover, _xlfn.TAKE(_xlpm.result, 1, _xlpm.prev_size), IF(_xlpm.arr_size - 1 = 0, _xlpm.result, _xlfn.VSTACK(_xlpm.result, Utils.MultiSCAN(_xlpm.holdover, _xlfn.DROP(_xlpm.array, 1), _xlpm.function)))))</definedName>
    <definedName name="Utils.NewtonRaphson">_xlfn.LAMBDA(_xlpm.guess,_xlpm.y,_xlpm.dy,_xlpm.tolerance_, _xlfn.LET(_xlpm.xn, _xlpm.guess, _xlpm.tolerance, IF(_xlfn.ISOMITTED(_xlpm.tolerance_), 0.0001, _xlpm.tolerance_), _xlpm.xn_1, _xlpm.xn - _xlpm.y(_xlpm.xn) / _xlpm.dy(_xlpm.xn), IF(ABS(_xlpm.xn_1 - _xlpm.xn) &lt; _xlpm.tolerance, _xlpm.xn, Utils.NewtonRaphson(_xlpm.xn_1, _xlpm.y, _xlpm.dy, _xlpm.tolerance))))</definedName>
    <definedName name="VA.AnniversaryCv">_xlfn.LAMBDA(_xlpm.isAnniversary,_xlpm.payPeriod,_xlpm.cv, IF(OR(NOT(_xlpm.isAnniversary), _xlpm.payPeriod = 0), 0, _xlpm.cv))</definedName>
    <definedName name="VA.IncomeBase">_xlfn.LAMBDA(_xlpm.initialCurrIB,_xlpm.adjustment, _xlpm.initialCurrIB + _xlpm.adjustment)</definedName>
    <definedName name="VA.IncomeBaseAdjustment">_xlfn.LAMBDA(_xlpm.initialCurrIB,_xlpm.prevIB,_xlpm.isAnniversary,_xlpm.isActivated,_xlpm.incomeCredit, _xlfn.LET(_xlpm.delta, _xlpm.initialCurrIB - _xlpm.prevIB, IF(AND(_xlpm.isAnniversary, NOT(_xlpm.isActivated)), MAX(0, _xlpm.incomeCredit - _xlpm.delta), 0)))</definedName>
    <definedName name="VA.IncomeCredit">_xlfn.LAMBDA(_xlpm.payPeriod,_xlpm.prevIncomeCreditBase,_xlpm.isActivated,_xlpm.isAnniversary,_xlpm.incomeCredRate, _xlfn.LET(_xlpm.picb, IF(_xlpm.payPeriod &gt; 0, _xlpm.prevIncomeCreditBase, 0), _xlpm.isPreSysWdOnAnniversary, AND(NOT(_xlpm.isActivated), _xlpm.isAnniversary), IF(_xlpm.isPreSysWdOnAnniversary, _xlpm.picb * _xlpm.incomeCredRate, 0)))</definedName>
    <definedName name="VA.IncomeCreditBase">_xlfn.LAMBDA(_xlpm.isActivated,_xlpm.isAnniversary,_xlpm.hasIncomeCredit,_xlpm.anniversaryCv,_xlpm.purchasePayments,_xlpm.wdPenaltyMult,_xlpm.prevIncomeCreditBase, IF(NOT(_xlpm.isActivated), IF(_xlpm.hasIncomeCredit, _xlpm.prevIncomeCreditBase, IF(_xlpm.isAnniversary, MAX(_xlpm.prevIncomeCreditBase, _xlpm.anniversaryCv + _xlpm.purchasePayments), _xlpm.prevIncomeCreditBase + _xlpm.purchasePayments)) * _xlpm.wdPenaltyMult, 0))</definedName>
    <definedName name="VA.InitialCurrentIncomeBase">_xlfn.LAMBDA(_xlpm.isAnniversary,_xlpm.prevIB,_xlpm.anniversaryCv,_xlpm.purchasePayments,_xlpm.wdPenaltyMult, IF(_xlpm.isAnniversary, MAX(_xlpm.prevIB, _xlpm.anniversaryCv + _xlpm.purchasePayments), _xlpm.prevIB + _xlpm.purchasePayments) * _xlpm.wdPenaltyMult)</definedName>
    <definedName name="VA.InterestOnPayments">_xlfn.LAMBDA(_xlpm.prevYear,_xlpm.accumPay,_xlpm.FvTotal,_xlpm.year,_xlpm.pay,_xlpm.hasWdOccurrAfterAct,_xlpm.mibPercent, _xlfn.LET(_xlpm.ap, _xlpm.accumPay + _xlpm.pay, _xlpm.interestPay, IF(_xlpm.prevYear &lt;&gt; _xlpm.year, _xlpm.ap * _xlpm.mibPercent, 0), _xlpm.fv, IF(_xlpm.hasWdOccurrAfterAct, 0, _xlpm.FvTotal + _xlpm.interestPay + _xlpm.pay), _xlfn.HSTACK(_xlpm.year, _xlpm.ap, _xlpm.fv)))</definedName>
    <definedName name="VA.IsActivated">_xlfn.LAMBDA(_xlpm.payPeriod,_xlpm.activationPeriod, _xlpm.payPeriod &gt;= _xlpm.activationPeriod)</definedName>
    <definedName name="VA.IsAnniversary">_xlfn.LAMBDA(_xlpm.payPeriod, _xlpm.payPeriod - INT(_xlpm.payPeriod) = 0)</definedName>
    <definedName name="VA.MawStack">_xlfn.LAMBDA(_xlpm.prevCv,_xlpm.prevIB,_xlpm.prevICB,_xlpm.prevMawa,_xlpm.payPeriod,_xlpm.wdTaken,_xlpm.cv,_xlpm.isAnniversary,_xlpm.isActivated,_xlpm.purchasePayments,_xlpm.mawdRate,_xlpm.incomeCredRate, _xlfn.LET(_xlpm.anniversaryCv, VA.AnniversaryCv(_xlpm.isAnniversary, _xlpm.payPeriod, _xlpm.cv), _xlpm.wdPenaltyMult, VA.WithdrawalPenalty(_xlpm.isActivated, _xlpm.wdTaken, _xlpm.prevCv, _xlpm.cv, _xlpm.prevMawa), _xlpm.incomeCredit, VA.IncomeCredit(_xlpm.payPeriod, _xlpm.prevICB, _xlpm.isActivated, _xlpm.isAnniversary, _xlpm.incomeCredRate), _xlpm.initialCurrIB, VA.InitialCurrentIncomeBase(_xlpm.isAnniversary, _xlpm.prevIB, _xlpm.anniversaryCv, _xlpm.purchasePayments, _xlpm.wdPenaltyMult), _xlpm.adjustment, VA.IncomeBaseAdjustment(_xlpm.initialCurrIB, _xlpm.prevIB, _xlpm.isAnniversary, _xlpm.isActivated, _xlpm.incomeCredit), _xlpm.hasIncomeCredit, _xlpm.adjustment &gt; 0, _xlpm.incomeCreditBase, VA.IncomeCreditBase(_xlpm.isActivated, _xlpm.isAnniversary, _xlpm.hasIncomeCredit, _xlpm.anniversaryCv, _xlpm.purchasePayments, _xlpm.wdPenaltyMult, _xlpm.prevICB), _xlpm.incomeBase, VA.IncomeBase(_xlpm.initialCurrIB, _xlpm.adjustment), _xlpm.mawa, VA.MaxAllowableWdAmount(_xlpm.cv, _xlpm.incomeBase, _xlpm.mawdRate), _xlfn.HSTACK(_xlpm.cv, _xlpm.incomeBase, _xlpm.incomeCreditBase, _xlpm.mawa, _xlpm.wdPenaltyMult, _xlpm.adjustment, _xlpm.incomeCredit)))</definedName>
    <definedName name="VA.MawStackDaily">_xlfn.LAMBDA(_xlpm.prevYear,_xlpm.accumPenalty,_xlpm.prevIncomeBase,_xlpm.prevStepUp,_xlpm.prevMaxValue,_xlpm.prevYearMaxValue,_xlpm.prevMawa,_xlpm.year,_xlpm.pay,_xlpm.hasWdOccurrAfterAct,_xlpm.cv,_xlpm.timeFromVal,_xlpm.isAnniversary,_xlpm.isActivated,_xlpm.hasLifetimeIncomeStarted,_xlpm.wdTaken,_xlpm.fv,_xlpm.mawd, _xlfn.LET(_xlpm.wdPenalty, VA.WithdrawalPenaltyDaily(_xlpm.hasLifetimeIncomeStarted, _xlpm.wdTaken, _xlpm.isActivated, _xlpm.cv, _xlpm.prevMawa), _xlpm.preActIBAll, VA.PreActivationIncomeBase(_xlpm.accumPenalty, _xlpm.prevIncomeBase, _xlpm.prevStepUp, _xlpm.pay, _xlpm.hasWdOccurrAfterAct, _xlpm.wdPenalty, _xlpm.cv, _xlpm.fv), _xlpm.awp, _xlfn.CHOOSECOLS(_xlpm.preActIBAll, 1), _xlpm.preActIB, _xlfn.CHOOSECOLS(_xlpm.preActIBAll, 2), _xlpm.stepUpValue, _xlfn.CHOOSECOLS(_xlpm.preActIBAll, 3), _xlpm.minimumIncomeBase, _xlfn.CHOOSECOLS(_xlpm.preActIBAll, 4), _xlpm.maxStepValues, VA.MaxStepValuePreviousYear(_xlpm.prevYear, _xlpm.prevMaxValue, _xlpm.prevYearMaxValue, _xlpm.year, _xlpm.stepUpValue), _xlpm.mv, _xlfn.CHOOSECOLS(_xlpm.maxStepValues, 2), _xlpm.maxStepValuePY, _xlfn.CHOOSECOLS(_xlpm.maxStepValues, 3), _xlpm.postActIB, VA.PostActivationIncomeBase(_xlpm.prevIncomeBase, _xlpm.timeFromVal, _xlpm.hasWdOccurrAfterAct, _xlpm.isAnniversary, _xlpm.cv, _xlpm.isActivated, _xlpm.wdPenalty, _xlpm.maxStepValuePY), _xlpm.incomeBase, _xlpm.preActIB + _xlpm.postActIB, _xlpm.mawa, VA.MaxAllowWdAmountDaily(_xlpm.hasLifetimeIncomeStarted, _xlpm.incomeBase, _xlpm.mawd), _xlfn.HSTACK(_xlpm.year, _xlpm.awp, _xlpm.incomeBase, _xlpm.stepUpValue, _xlpm.mv, _xlpm.maxStepValuePY, _xlpm.mawa, _xlpm.wdPenalty, _xlpm.minimumIncomeBase)))</definedName>
    <definedName name="VA.MaxAllowableWdAmount">_xlfn.LAMBDA(_xlpm.cv,_xlpm.incomeBase,_xlpm.mawdRate, IF(_xlpm.cv &gt; 0, _xlpm.incomeBase * _xlpm.mawdRate, 0))</definedName>
    <definedName name="VA.MaxAllowWdAmountDaily">_xlfn.LAMBDA(_xlpm.hasLifetimeIncomeStarted,_xlpm.IB,_xlpm.mawd, IF(NOT(_xlpm.hasLifetimeIncomeStarted), _xlpm.IB * _xlpm.mawd, 0))</definedName>
    <definedName name="VA.MaxStepValuePreviousYear">_xlfn.LAMBDA(_xlpm.prevYear,_xlpm.prevMaxValue,_xlpm.prevYearMaxValue,_xlpm.year,_xlpm.sUpValue, _xlfn.LET(_xlpm.mv, IF(_xlpm.prevYear &lt;&gt; _xlpm.year, _xlpm.sUpValue, MAX(_xlpm.prevMaxValue, _xlpm.sUpValue)), _xlpm.pymv, IF(_xlpm.prevYear &lt;&gt; _xlpm.year, _xlpm.prevMaxValue, _xlpm.prevYearMaxValue), _xlfn.HSTACK(_xlpm.year, _xlpm.mv, _xlpm.pymv)))</definedName>
    <definedName name="VA.PostActivationIncomeBase">_xlfn.LAMBDA(_xlpm.prevIB,_xlpm.timeFromVal,_xlpm.hasWdOccurredAfterActivation,_xlpm.isAnniversary,_xlpm.cv,_xlpm.isActivated,_xlpm.wdPenalty,_xlpm.maxStepValuePY, IF(_xlpm.timeFromVal = 0, 0, IF(AND(_xlpm.hasWdOccurredAfterActivation, _xlpm.isAnniversary), MAX(_xlpm.cv, _xlpm.prevIB, _xlpm.maxStepValuePY), IF(_xlpm.isActivated, _xlpm.prevIB, 0) * _xlpm.wdPenalty)))</definedName>
    <definedName name="VA.PreActivationIncomeBase">_xlfn.LAMBDA(_xlpm.accumPenalty,_xlpm.prevIncomeBase,_xlpm.prevStepUp,_xlpm.pay,_xlpm.hasWdOccurrAfterAct,_xlpm.wdPenalty,_xlpm.cv,_xlpm.fv, _xlfn.LET(_xlpm.awp, _xlpm.accumPenalty * _xlpm.wdPenalty, _xlpm.minIb, _xlpm.fv * _xlpm.awp, _xlpm.sUpValue, VA.StepUpValue(_xlpm.prevStepUp, _xlpm.prevIncomeBase, _xlpm.cv, _xlpm.pay), _xlpm.PreActIB, IF(_xlpm.hasWdOccurrAfterAct, 0, MAX(_xlpm.pay + _xlpm.prevIncomeBase, _xlpm.sUpValue, _xlpm.minIb) * _xlpm.wdPenalty), _xlfn.HSTACK(_xlpm.awp, _xlpm.PreActIB, _xlpm.sUpValue, _xlpm.minIb)))</definedName>
    <definedName name="VA.ProtectedIncomeDaily">_xlfn.LAMBDA(_xlpm.HasLifetimeIncomeStarted,_xlpm.IsAnn,_xlpm.IncomeBase,_xlpm.protectedIncPer, IF(AND(_xlpm.HasLifetimeIncomeStarted, _xlpm.IsAnn), _xlpm.protectedIncPer * _xlpm.IncomeBase, 0))</definedName>
    <definedName name="VA.ProtectedIncomePayment">_xlfn.LAMBDA(_xlpm.cv,_xlpm.incomeBase,_xlpm.pip_rate, IF(_xlpm.cv = 0, _xlpm.pip_rate * _xlpm.incomeBase, 0))</definedName>
    <definedName name="VA.StepUpValue">_xlfn.LAMBDA(_xlpm.prevStepUp,_xlpm.prevIncomeBase,_xlpm.contractValue,_xlpm.ppInvested, IF(_xlpm.contractValue - _xlpm.ppInvested &gt; MAX(_xlpm.prevStepUp, _xlpm.prevIncomeBase), _xlpm.contractValue, 0))</definedName>
    <definedName name="VA.WdHaircutAfterActivation">_xlfn.LAMBDA(_xlpm.prevMawa,_xlpm.isActivated,_xlpm.wdTaken,_xlpm.cv, _xlfn.LET(_xlpm.haircut, (_xlpm.wdTaken - _xlpm.prevMawa) / (_xlpm.cv - _xlpm.prevMawa), IF(AND(_xlpm.isActivated, _xlpm.wdTaken &gt; _xlpm.prevMawa), _xlpm.haircut, 0)))</definedName>
    <definedName name="VA.WdHaircutBeforeActivation">_xlfn.LAMBDA(_xlpm.IsActivation,_xlpm.wdTaken,_xlpm.ContractValue, IF(NOT(_xlpm.IsActivation), _xlpm.wdTaken / _xlpm.ContractValue, 0))</definedName>
    <definedName name="VA.WithdrawalPenalty">_xlfn.LAMBDA(_xlpm.isActivated,_xlpm.wdTaken,_xlpm.pCv,_xlpm.cv,_xlpm.pMaw, _xlfn.LET(_xlpm.noWd, 1, _xlpm.preActivationWd, 1 - MAX(0, _xlpm.wdTaken - _xlpm.pMaw) / (_xlpm.pCv - _xlpm.pMaw), _xlpm.postActivationWd, 1 - _xlpm.wdTaken / _xlpm.cv, IF(_xlpm.wdTaken &lt;&gt; 0, IF(_xlpm.isActivated, _xlpm.preActivationWd, _xlpm.postActivationWd), _xlpm.noWd)))</definedName>
    <definedName name="VA.WithdrawalPenaltyDaily">_xlfn.LAMBDA(_xlpm.hasLifetimeIncomeStarted,_xlpm.wdTaken,_xlpm.IsActivation,_xlpm.ContractValue,_xlpm.prevMawa, 1 - IF(AND(NOT(_xlpm.hasLifetimeIncomeStarted), _xlpm.wdTaken &gt; 0), VA.WdHaircutBeforeActivation(_xlpm.IsActivation, _xlpm.wdTaken, _xlpm.ContractValue) + VA.WdHaircutAfterActivation(_xlpm.prevMawa, _xlpm.IsActivation, _xlpm.wdTaken, _xlpm.ContractValue), 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9" l="1"/>
  <c r="C43" i="12"/>
  <c r="K43" i="12" s="1"/>
  <c r="C42" i="12"/>
  <c r="K42" i="12" s="1"/>
  <c r="K41" i="12"/>
  <c r="C41" i="12"/>
  <c r="C40" i="12"/>
  <c r="K40" i="12" s="1"/>
  <c r="C39" i="12"/>
  <c r="K39" i="12" s="1"/>
  <c r="C38" i="12"/>
  <c r="K38" i="12" s="1"/>
  <c r="AD37" i="12"/>
  <c r="C37" i="12"/>
  <c r="K37" i="12" s="1"/>
  <c r="AC36" i="12"/>
  <c r="C36" i="12"/>
  <c r="K36" i="12" s="1"/>
  <c r="C35" i="12"/>
  <c r="K35" i="12" s="1"/>
  <c r="C34" i="12"/>
  <c r="K34" i="12" s="1"/>
  <c r="C33" i="12"/>
  <c r="K33" i="12" s="1"/>
  <c r="C32" i="12"/>
  <c r="K32" i="12" s="1"/>
  <c r="AD31" i="12"/>
  <c r="K31" i="12"/>
  <c r="C31" i="12"/>
  <c r="I30" i="12"/>
  <c r="C30" i="12"/>
  <c r="K30" i="12" s="1"/>
  <c r="C29" i="12"/>
  <c r="K29" i="12" s="1"/>
  <c r="C28" i="12"/>
  <c r="K28" i="12" s="1"/>
  <c r="C27" i="12"/>
  <c r="K27" i="12" s="1"/>
  <c r="C26" i="12"/>
  <c r="K26" i="12" s="1"/>
  <c r="C25" i="12"/>
  <c r="K25" i="12" s="1"/>
  <c r="C24" i="12"/>
  <c r="K24" i="12" s="1"/>
  <c r="C23" i="12"/>
  <c r="K23" i="12" s="1"/>
  <c r="C22" i="12"/>
  <c r="K22" i="12" s="1"/>
  <c r="C21" i="12"/>
  <c r="K21" i="12" s="1"/>
  <c r="C20" i="12"/>
  <c r="K20" i="12" s="1"/>
  <c r="C19" i="12"/>
  <c r="K19" i="12" s="1"/>
  <c r="C18" i="12"/>
  <c r="K18" i="12" s="1"/>
  <c r="C17" i="12"/>
  <c r="K17" i="12" s="1"/>
  <c r="C16" i="12"/>
  <c r="K16" i="12" s="1"/>
  <c r="C15" i="12"/>
  <c r="K15" i="12" s="1"/>
  <c r="AC14" i="12"/>
  <c r="I14" i="12"/>
  <c r="C14" i="12"/>
  <c r="K14" i="12" s="1"/>
  <c r="C13" i="12"/>
  <c r="K13" i="12" s="1"/>
  <c r="Y13" i="12" s="1"/>
  <c r="AI13" i="12" s="1"/>
  <c r="B13" i="12"/>
  <c r="AE12" i="12"/>
  <c r="C12" i="12"/>
  <c r="D12" i="12" s="1"/>
  <c r="E12" i="12" s="1"/>
  <c r="H43" i="12"/>
  <c r="AD43" i="12" s="1"/>
  <c r="G43" i="12"/>
  <c r="AC43" i="12" s="1"/>
  <c r="H42" i="12"/>
  <c r="AD42" i="12" s="1"/>
  <c r="G42" i="12"/>
  <c r="AC42" i="12" s="1"/>
  <c r="H41" i="12"/>
  <c r="AD41" i="12" s="1"/>
  <c r="G41" i="12"/>
  <c r="AC41" i="12" s="1"/>
  <c r="H40" i="12"/>
  <c r="AD40" i="12" s="1"/>
  <c r="G40" i="12"/>
  <c r="AC40" i="12" s="1"/>
  <c r="H39" i="12"/>
  <c r="AD39" i="12" s="1"/>
  <c r="G39" i="12"/>
  <c r="I39" i="12" s="1"/>
  <c r="H38" i="12"/>
  <c r="AD38" i="12" s="1"/>
  <c r="G38" i="12"/>
  <c r="AC38" i="12" s="1"/>
  <c r="H37" i="12"/>
  <c r="G37" i="12"/>
  <c r="AC37" i="12" s="1"/>
  <c r="H36" i="12"/>
  <c r="AD36" i="12" s="1"/>
  <c r="G36" i="12"/>
  <c r="I36" i="12" s="1"/>
  <c r="N36" i="12" s="1"/>
  <c r="H35" i="12"/>
  <c r="AD35" i="12" s="1"/>
  <c r="G35" i="12"/>
  <c r="AC35" i="12" s="1"/>
  <c r="H34" i="12"/>
  <c r="AD34" i="12" s="1"/>
  <c r="G34" i="12"/>
  <c r="I34" i="12" s="1"/>
  <c r="H33" i="12"/>
  <c r="AD33" i="12" s="1"/>
  <c r="G33" i="12"/>
  <c r="AC33" i="12" s="1"/>
  <c r="H32" i="12"/>
  <c r="AD32" i="12" s="1"/>
  <c r="G32" i="12"/>
  <c r="AC32" i="12" s="1"/>
  <c r="H31" i="12"/>
  <c r="G31" i="12"/>
  <c r="I31" i="12" s="1"/>
  <c r="N31" i="12" s="1"/>
  <c r="H30" i="12"/>
  <c r="AD30" i="12" s="1"/>
  <c r="G30" i="12"/>
  <c r="AC30" i="12" s="1"/>
  <c r="H29" i="12"/>
  <c r="AD29" i="12" s="1"/>
  <c r="G29" i="12"/>
  <c r="AC29" i="12" s="1"/>
  <c r="H28" i="12"/>
  <c r="AD28" i="12" s="1"/>
  <c r="G28" i="12"/>
  <c r="AC28" i="12" s="1"/>
  <c r="H27" i="12"/>
  <c r="AD27" i="12" s="1"/>
  <c r="G27" i="12"/>
  <c r="AC27" i="12" s="1"/>
  <c r="H26" i="12"/>
  <c r="AD26" i="12" s="1"/>
  <c r="G26" i="12"/>
  <c r="I26" i="12" s="1"/>
  <c r="AP25" i="12"/>
  <c r="H25" i="12"/>
  <c r="AD25" i="12" s="1"/>
  <c r="G25" i="12"/>
  <c r="AC25" i="12" s="1"/>
  <c r="H24" i="12"/>
  <c r="AD24" i="12" s="1"/>
  <c r="G24" i="12"/>
  <c r="AC24" i="12" s="1"/>
  <c r="H23" i="12"/>
  <c r="AD23" i="12" s="1"/>
  <c r="G23" i="12"/>
  <c r="AC23" i="12" s="1"/>
  <c r="H22" i="12"/>
  <c r="AD22" i="12" s="1"/>
  <c r="G22" i="12"/>
  <c r="AC22" i="12" s="1"/>
  <c r="H21" i="12"/>
  <c r="AD21" i="12" s="1"/>
  <c r="G21" i="12"/>
  <c r="I21" i="12" s="1"/>
  <c r="H20" i="12"/>
  <c r="AD20" i="12" s="1"/>
  <c r="G20" i="12"/>
  <c r="AC20" i="12" s="1"/>
  <c r="H19" i="12"/>
  <c r="AD19" i="12" s="1"/>
  <c r="G19" i="12"/>
  <c r="AC19" i="12" s="1"/>
  <c r="H18" i="12"/>
  <c r="AD18" i="12" s="1"/>
  <c r="G18" i="12"/>
  <c r="I18" i="12" s="1"/>
  <c r="H17" i="12"/>
  <c r="AD17" i="12" s="1"/>
  <c r="G17" i="12"/>
  <c r="AC17" i="12" s="1"/>
  <c r="H16" i="12"/>
  <c r="AD16" i="12" s="1"/>
  <c r="G16" i="12"/>
  <c r="AC16" i="12" s="1"/>
  <c r="H15" i="12"/>
  <c r="AD15" i="12" s="1"/>
  <c r="G15" i="12"/>
  <c r="AC15" i="12" s="1"/>
  <c r="H14" i="12"/>
  <c r="AD14" i="12" s="1"/>
  <c r="G14" i="12"/>
  <c r="H13" i="12"/>
  <c r="AD13" i="12" s="1"/>
  <c r="G13" i="12"/>
  <c r="I13" i="12" s="1"/>
  <c r="N13" i="12" s="1"/>
  <c r="H12" i="12"/>
  <c r="AD12" i="12" s="1"/>
  <c r="F12" i="12"/>
  <c r="AB12" i="12" s="1"/>
  <c r="I27" i="12" l="1"/>
  <c r="Y27" i="12" s="1"/>
  <c r="AI27" i="12" s="1"/>
  <c r="I33" i="12"/>
  <c r="N33" i="12" s="1"/>
  <c r="AC18" i="12"/>
  <c r="I20" i="12"/>
  <c r="I28" i="12"/>
  <c r="Y28" i="12" s="1"/>
  <c r="AI28" i="12" s="1"/>
  <c r="I40" i="12"/>
  <c r="N21" i="12"/>
  <c r="G12" i="12"/>
  <c r="AC12" i="12" s="1"/>
  <c r="Y29" i="12"/>
  <c r="AI29" i="12" s="1"/>
  <c r="AC34" i="12"/>
  <c r="I41" i="12"/>
  <c r="Y41" i="12" s="1"/>
  <c r="AI41" i="12" s="1"/>
  <c r="Y39" i="12"/>
  <c r="AI39" i="12" s="1"/>
  <c r="I29" i="12"/>
  <c r="N29" i="12" s="1"/>
  <c r="Y31" i="12"/>
  <c r="AI31" i="12" s="1"/>
  <c r="AC21" i="12"/>
  <c r="I24" i="12"/>
  <c r="N24" i="12" s="1"/>
  <c r="I16" i="12"/>
  <c r="Y16" i="12" s="1"/>
  <c r="AI16" i="12" s="1"/>
  <c r="AC31" i="12"/>
  <c r="AC39" i="12"/>
  <c r="AC26" i="12"/>
  <c r="Y22" i="12"/>
  <c r="AI22" i="12" s="1"/>
  <c r="I37" i="12"/>
  <c r="Y37" i="12" s="1"/>
  <c r="AI37" i="12" s="1"/>
  <c r="I42" i="12"/>
  <c r="N42" i="12" s="1"/>
  <c r="AC13" i="12"/>
  <c r="K12" i="12"/>
  <c r="I19" i="12"/>
  <c r="N19" i="12" s="1"/>
  <c r="Y14" i="12"/>
  <c r="AI14" i="12" s="1"/>
  <c r="I22" i="12"/>
  <c r="I32" i="12"/>
  <c r="N32" i="12" s="1"/>
  <c r="I25" i="12"/>
  <c r="N25" i="12" s="1"/>
  <c r="Y17" i="12"/>
  <c r="AI17" i="12" s="1"/>
  <c r="Y20" i="12"/>
  <c r="AI20" i="12" s="1"/>
  <c r="I35" i="12"/>
  <c r="N35" i="12" s="1"/>
  <c r="I17" i="12"/>
  <c r="N17" i="12" s="1"/>
  <c r="N20" i="12"/>
  <c r="I38" i="12"/>
  <c r="N38" i="12" s="1"/>
  <c r="I43" i="12"/>
  <c r="I23" i="12"/>
  <c r="N23" i="12" s="1"/>
  <c r="Y33" i="12"/>
  <c r="AI33" i="12" s="1"/>
  <c r="Y24" i="12"/>
  <c r="AI24" i="12" s="1"/>
  <c r="D13" i="12"/>
  <c r="F13" i="12" s="1"/>
  <c r="I15" i="12"/>
  <c r="N15" i="12" s="1"/>
  <c r="N28" i="12"/>
  <c r="Y21" i="12"/>
  <c r="AI21" i="12" s="1"/>
  <c r="Y18" i="12"/>
  <c r="AI18" i="12" s="1"/>
  <c r="Y26" i="12"/>
  <c r="AI26" i="12" s="1"/>
  <c r="J12" i="12"/>
  <c r="B14" i="12"/>
  <c r="N14" i="12"/>
  <c r="N16" i="12"/>
  <c r="N18" i="12"/>
  <c r="X42" i="12"/>
  <c r="Y30" i="12"/>
  <c r="AI30" i="12" s="1"/>
  <c r="Y32" i="12"/>
  <c r="AI32" i="12" s="1"/>
  <c r="Y34" i="12"/>
  <c r="AI34" i="12" s="1"/>
  <c r="Y36" i="12"/>
  <c r="AI36" i="12" s="1"/>
  <c r="Y38" i="12"/>
  <c r="AI38" i="12" s="1"/>
  <c r="Y40" i="12"/>
  <c r="AI40" i="12" s="1"/>
  <c r="U12" i="12"/>
  <c r="W12" i="12"/>
  <c r="AG12" i="12" s="1"/>
  <c r="H12" i="9" a="1"/>
  <c r="H12" i="9" s="1"/>
  <c r="G12" i="9" a="1"/>
  <c r="G12" i="9" s="1"/>
  <c r="AA12" i="9" s="1"/>
  <c r="A12" i="9" a="1"/>
  <c r="A12" i="9" s="1"/>
  <c r="AN25" i="9"/>
  <c r="H12" i="7" a="1"/>
  <c r="G12" i="7" a="1"/>
  <c r="G12" i="7" s="1"/>
  <c r="A12" i="7" a="1"/>
  <c r="A12" i="7" s="1"/>
  <c r="C12" i="7" s="1" a="1"/>
  <c r="AP25" i="7"/>
  <c r="H26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AB12" i="9" l="1"/>
  <c r="AS12" i="9" a="1"/>
  <c r="AS12" i="9" s="1"/>
  <c r="N27" i="12"/>
  <c r="E13" i="12"/>
  <c r="L13" i="12" s="1"/>
  <c r="I12" i="12"/>
  <c r="N12" i="12" s="1"/>
  <c r="Y25" i="12"/>
  <c r="AI25" i="12" s="1"/>
  <c r="C12" i="9" a="1"/>
  <c r="C12" i="9" s="1"/>
  <c r="K12" i="9" s="1" a="1"/>
  <c r="K12" i="9" s="1"/>
  <c r="W12" i="9" a="1"/>
  <c r="W12" i="9" s="1"/>
  <c r="Y12" i="12"/>
  <c r="AI12" i="12" s="1"/>
  <c r="S12" i="12"/>
  <c r="AB13" i="12"/>
  <c r="O13" i="12"/>
  <c r="AE13" i="12" s="1"/>
  <c r="AA38" i="9"/>
  <c r="AA16" i="9"/>
  <c r="AA19" i="9"/>
  <c r="AA21" i="9"/>
  <c r="AA31" i="9"/>
  <c r="AA26" i="9"/>
  <c r="AA29" i="9"/>
  <c r="AB19" i="9"/>
  <c r="AA14" i="9"/>
  <c r="AA43" i="9"/>
  <c r="AA33" i="9"/>
  <c r="AA24" i="9"/>
  <c r="Y42" i="12"/>
  <c r="AI42" i="12" s="1"/>
  <c r="Y35" i="12"/>
  <c r="AI35" i="12" s="1"/>
  <c r="X12" i="12"/>
  <c r="M13" i="12" s="1"/>
  <c r="Y23" i="12"/>
  <c r="AI23" i="12" s="1"/>
  <c r="Y19" i="12"/>
  <c r="AI19" i="12" s="1"/>
  <c r="X43" i="12"/>
  <c r="AH43" i="12" s="1"/>
  <c r="N43" i="12"/>
  <c r="Y15" i="12"/>
  <c r="AI15" i="12" s="1"/>
  <c r="Q12" i="12"/>
  <c r="R12" i="12"/>
  <c r="P12" i="12"/>
  <c r="AH12" i="12"/>
  <c r="D14" i="12"/>
  <c r="B15" i="12"/>
  <c r="AH42" i="12"/>
  <c r="J13" i="12"/>
  <c r="AB33" i="9"/>
  <c r="AA40" i="9"/>
  <c r="AA13" i="9"/>
  <c r="AB18" i="9"/>
  <c r="AA25" i="9"/>
  <c r="AA30" i="9"/>
  <c r="AB35" i="9"/>
  <c r="AA42" i="9"/>
  <c r="AB21" i="9"/>
  <c r="AA20" i="9"/>
  <c r="AB25" i="9"/>
  <c r="AB30" i="9"/>
  <c r="AA37" i="9"/>
  <c r="AB42" i="9"/>
  <c r="AA15" i="9"/>
  <c r="AB20" i="9"/>
  <c r="AA32" i="9"/>
  <c r="AB37" i="9"/>
  <c r="B12" i="9" a="1"/>
  <c r="B12" i="9" s="1"/>
  <c r="AB14" i="9"/>
  <c r="AB31" i="9"/>
  <c r="AB43" i="9"/>
  <c r="AB26" i="9"/>
  <c r="AB38" i="9"/>
  <c r="AB16" i="9"/>
  <c r="AA23" i="9"/>
  <c r="AB15" i="9"/>
  <c r="AA27" i="9"/>
  <c r="AB32" i="9"/>
  <c r="AA39" i="9"/>
  <c r="I12" i="9" a="1"/>
  <c r="I12" i="9" s="1"/>
  <c r="AA28" i="9"/>
  <c r="AB13" i="9"/>
  <c r="AA22" i="9"/>
  <c r="AA17" i="9"/>
  <c r="AB22" i="9"/>
  <c r="AB27" i="9"/>
  <c r="AA34" i="9"/>
  <c r="AB39" i="9"/>
  <c r="AB34" i="9"/>
  <c r="AA41" i="9"/>
  <c r="AB17" i="9"/>
  <c r="AB24" i="9"/>
  <c r="AB29" i="9"/>
  <c r="AA36" i="9"/>
  <c r="AB41" i="9"/>
  <c r="AB36" i="9"/>
  <c r="AA18" i="9"/>
  <c r="AB23" i="9"/>
  <c r="AB28" i="9"/>
  <c r="AA35" i="9"/>
  <c r="AB40" i="9"/>
  <c r="AC15" i="7"/>
  <c r="AC21" i="7"/>
  <c r="AC27" i="7"/>
  <c r="AC33" i="7"/>
  <c r="AC39" i="7"/>
  <c r="B12" i="7" a="1"/>
  <c r="I12" i="7" a="1"/>
  <c r="X43" i="7" s="1" a="1"/>
  <c r="X43" i="7" s="1"/>
  <c r="C12" i="7"/>
  <c r="AD43" i="7"/>
  <c r="H12" i="7"/>
  <c r="AD36" i="7"/>
  <c r="AD24" i="7"/>
  <c r="AD35" i="7"/>
  <c r="AD23" i="7"/>
  <c r="AD34" i="7"/>
  <c r="AD22" i="7"/>
  <c r="AD33" i="7"/>
  <c r="AD21" i="7"/>
  <c r="AD32" i="7"/>
  <c r="AD20" i="7"/>
  <c r="AD42" i="7"/>
  <c r="AD30" i="7"/>
  <c r="AD18" i="7"/>
  <c r="AD41" i="7"/>
  <c r="AD29" i="7"/>
  <c r="AD17" i="7"/>
  <c r="AD40" i="7"/>
  <c r="AD28" i="7"/>
  <c r="AD16" i="7"/>
  <c r="AD39" i="7"/>
  <c r="AD27" i="7"/>
  <c r="AD15" i="7"/>
  <c r="AD38" i="7"/>
  <c r="AD26" i="7"/>
  <c r="AD14" i="7"/>
  <c r="AD13" i="7"/>
  <c r="AD19" i="7"/>
  <c r="AD25" i="7"/>
  <c r="AD31" i="7"/>
  <c r="AD37" i="7"/>
  <c r="AC22" i="7"/>
  <c r="AC34" i="7"/>
  <c r="AC23" i="7"/>
  <c r="AC35" i="7"/>
  <c r="AC12" i="7"/>
  <c r="AC24" i="7"/>
  <c r="AC36" i="7"/>
  <c r="AC13" i="7"/>
  <c r="AC25" i="7"/>
  <c r="AC37" i="7"/>
  <c r="AC14" i="7"/>
  <c r="AC26" i="7"/>
  <c r="AC38" i="7"/>
  <c r="AC16" i="7"/>
  <c r="AC28" i="7"/>
  <c r="AC40" i="7"/>
  <c r="AC17" i="7"/>
  <c r="AC29" i="7"/>
  <c r="AC41" i="7"/>
  <c r="AC18" i="7"/>
  <c r="AC30" i="7"/>
  <c r="AC42" i="7"/>
  <c r="AC19" i="7"/>
  <c r="AC31" i="7"/>
  <c r="AC43" i="7"/>
  <c r="AC20" i="7"/>
  <c r="AC32" i="7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F12" i="2"/>
  <c r="C12" i="2"/>
  <c r="D12" i="2" s="1"/>
  <c r="E12" i="2" s="1"/>
  <c r="C13" i="2"/>
  <c r="K13" i="2" s="1"/>
  <c r="C14" i="2"/>
  <c r="K14" i="2" s="1"/>
  <c r="C15" i="2"/>
  <c r="K15" i="2" s="1"/>
  <c r="C16" i="2"/>
  <c r="K16" i="2" s="1"/>
  <c r="C17" i="2"/>
  <c r="K17" i="2" s="1"/>
  <c r="C18" i="2"/>
  <c r="K18" i="2" s="1"/>
  <c r="C19" i="2"/>
  <c r="K19" i="2" s="1"/>
  <c r="C20" i="2"/>
  <c r="K20" i="2" s="1"/>
  <c r="C21" i="2"/>
  <c r="K21" i="2" s="1"/>
  <c r="C22" i="2"/>
  <c r="K22" i="2" s="1"/>
  <c r="C23" i="2"/>
  <c r="K23" i="2" s="1"/>
  <c r="C24" i="2"/>
  <c r="K24" i="2" s="1"/>
  <c r="C25" i="2"/>
  <c r="K25" i="2" s="1"/>
  <c r="C26" i="2"/>
  <c r="K26" i="2" s="1"/>
  <c r="C27" i="2"/>
  <c r="K27" i="2" s="1"/>
  <c r="C28" i="2"/>
  <c r="K28" i="2" s="1"/>
  <c r="C29" i="2"/>
  <c r="K29" i="2" s="1"/>
  <c r="C30" i="2"/>
  <c r="K30" i="2" s="1"/>
  <c r="C31" i="2"/>
  <c r="K31" i="2" s="1"/>
  <c r="C32" i="2"/>
  <c r="K32" i="2" s="1"/>
  <c r="C33" i="2"/>
  <c r="K33" i="2" s="1"/>
  <c r="C34" i="2"/>
  <c r="K34" i="2" s="1"/>
  <c r="C35" i="2"/>
  <c r="K35" i="2" s="1"/>
  <c r="C36" i="2"/>
  <c r="K36" i="2" s="1"/>
  <c r="C37" i="2"/>
  <c r="K37" i="2" s="1"/>
  <c r="C38" i="2"/>
  <c r="K38" i="2" s="1"/>
  <c r="C39" i="2"/>
  <c r="K39" i="2" s="1"/>
  <c r="C40" i="2"/>
  <c r="K40" i="2" s="1"/>
  <c r="C41" i="2"/>
  <c r="K41" i="2" s="1"/>
  <c r="C42" i="2"/>
  <c r="K42" i="2" s="1"/>
  <c r="C43" i="2"/>
  <c r="K43" i="2" s="1"/>
  <c r="B13" i="2"/>
  <c r="B14" i="2" s="1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12" i="2"/>
  <c r="AP25" i="2"/>
  <c r="S13" i="12" l="1"/>
  <c r="D12" i="9" a="1"/>
  <c r="D12" i="9" s="1"/>
  <c r="E12" i="9" s="1" a="1"/>
  <c r="E12" i="9" s="1"/>
  <c r="J12" i="9" s="1" a="1"/>
  <c r="J12" i="9" s="1"/>
  <c r="D15" i="12"/>
  <c r="B16" i="12"/>
  <c r="R13" i="12"/>
  <c r="Q13" i="12"/>
  <c r="P13" i="12"/>
  <c r="F14" i="12"/>
  <c r="E14" i="12"/>
  <c r="X42" i="7" a="1"/>
  <c r="X42" i="7" s="1"/>
  <c r="AH42" i="7" s="1"/>
  <c r="N17" i="7" a="1"/>
  <c r="N17" i="7" s="1"/>
  <c r="B12" i="7"/>
  <c r="N20" i="7" a="1"/>
  <c r="N20" i="7" s="1"/>
  <c r="N21" i="7" a="1"/>
  <c r="N21" i="7" s="1"/>
  <c r="N15" i="7" a="1"/>
  <c r="N15" i="7" s="1"/>
  <c r="N32" i="7" a="1"/>
  <c r="N32" i="7" s="1"/>
  <c r="N38" i="7" a="1"/>
  <c r="N38" i="7" s="1"/>
  <c r="N29" i="7" a="1"/>
  <c r="N29" i="7" s="1"/>
  <c r="N14" i="7" a="1"/>
  <c r="N14" i="7" s="1"/>
  <c r="N18" i="7" a="1"/>
  <c r="N18" i="7" s="1"/>
  <c r="I12" i="7"/>
  <c r="N12" i="7" s="1" a="1"/>
  <c r="N12" i="7" s="1"/>
  <c r="N23" i="7" a="1"/>
  <c r="N23" i="7" s="1"/>
  <c r="N42" i="7" a="1"/>
  <c r="N42" i="7" s="1"/>
  <c r="N33" i="7" a="1"/>
  <c r="N33" i="7" s="1"/>
  <c r="N25" i="7" a="1"/>
  <c r="N25" i="7" s="1"/>
  <c r="N31" i="7" a="1"/>
  <c r="N31" i="7" s="1"/>
  <c r="N19" i="7" a="1"/>
  <c r="N19" i="7" s="1"/>
  <c r="N35" i="7" a="1"/>
  <c r="N35" i="7" s="1"/>
  <c r="N36" i="7" a="1"/>
  <c r="N36" i="7" s="1"/>
  <c r="N28" i="7" a="1"/>
  <c r="N28" i="7" s="1"/>
  <c r="N27" i="7" a="1"/>
  <c r="N27" i="7" s="1"/>
  <c r="N13" i="7" a="1"/>
  <c r="N13" i="7" s="1"/>
  <c r="N24" i="7" a="1"/>
  <c r="N24" i="7" s="1"/>
  <c r="N43" i="7" a="1"/>
  <c r="N43" i="7" s="1"/>
  <c r="N16" i="7" a="1"/>
  <c r="N16" i="7" s="1"/>
  <c r="AH43" i="7"/>
  <c r="D12" i="7" a="1"/>
  <c r="AD12" i="7"/>
  <c r="K12" i="7" a="1"/>
  <c r="I24" i="2"/>
  <c r="Y24" i="2" s="1"/>
  <c r="I35" i="2"/>
  <c r="Y35" i="2" s="1"/>
  <c r="I34" i="2"/>
  <c r="Y34" i="2" s="1"/>
  <c r="I22" i="2"/>
  <c r="I23" i="2"/>
  <c r="AC33" i="2"/>
  <c r="I21" i="2"/>
  <c r="N21" i="2" s="1"/>
  <c r="G12" i="2"/>
  <c r="U12" i="2" s="1"/>
  <c r="I32" i="2"/>
  <c r="N32" i="2" s="1"/>
  <c r="I20" i="2"/>
  <c r="N20" i="2" s="1"/>
  <c r="I17" i="2"/>
  <c r="N17" i="2" s="1"/>
  <c r="AC40" i="2"/>
  <c r="AC28" i="2"/>
  <c r="I16" i="2"/>
  <c r="Y16" i="2" s="1"/>
  <c r="I42" i="2"/>
  <c r="I30" i="2"/>
  <c r="AC18" i="2"/>
  <c r="I29" i="2"/>
  <c r="N29" i="2" s="1"/>
  <c r="I39" i="2"/>
  <c r="Y39" i="2" s="1"/>
  <c r="I27" i="2"/>
  <c r="Y27" i="2" s="1"/>
  <c r="I15" i="2"/>
  <c r="Y15" i="2" s="1"/>
  <c r="AC38" i="2"/>
  <c r="I26" i="2"/>
  <c r="Y26" i="2" s="1"/>
  <c r="I36" i="2"/>
  <c r="N36" i="2" s="1"/>
  <c r="I41" i="2"/>
  <c r="Y41" i="2" s="1"/>
  <c r="I37" i="2"/>
  <c r="AC25" i="2"/>
  <c r="Y22" i="2"/>
  <c r="Y23" i="2"/>
  <c r="N23" i="2"/>
  <c r="Y32" i="2"/>
  <c r="X42" i="2"/>
  <c r="N42" i="2"/>
  <c r="Y30" i="2"/>
  <c r="Y29" i="2"/>
  <c r="N15" i="2"/>
  <c r="Y37" i="2"/>
  <c r="Y36" i="2"/>
  <c r="AC35" i="2"/>
  <c r="AC23" i="2"/>
  <c r="AC24" i="2"/>
  <c r="AC22" i="2"/>
  <c r="AC21" i="2"/>
  <c r="J12" i="2"/>
  <c r="Q12" i="2" s="1"/>
  <c r="AC36" i="2"/>
  <c r="AC34" i="2"/>
  <c r="AC32" i="2"/>
  <c r="AC20" i="2"/>
  <c r="AC43" i="2"/>
  <c r="AC31" i="2"/>
  <c r="AC19" i="2"/>
  <c r="AC42" i="2"/>
  <c r="AC30" i="2"/>
  <c r="AC41" i="2"/>
  <c r="AC29" i="2"/>
  <c r="AC17" i="2"/>
  <c r="AB12" i="2"/>
  <c r="AC16" i="2"/>
  <c r="AC39" i="2"/>
  <c r="AC27" i="2"/>
  <c r="AC15" i="2"/>
  <c r="AC26" i="2"/>
  <c r="AC14" i="2"/>
  <c r="AC37" i="2"/>
  <c r="AC13" i="2"/>
  <c r="AE12" i="2"/>
  <c r="I14" i="2"/>
  <c r="I40" i="2"/>
  <c r="Y40" i="2" s="1"/>
  <c r="I38" i="2"/>
  <c r="I28" i="2"/>
  <c r="K12" i="2"/>
  <c r="I43" i="2"/>
  <c r="I31" i="2"/>
  <c r="I19" i="2"/>
  <c r="I18" i="2"/>
  <c r="I25" i="2"/>
  <c r="I13" i="2"/>
  <c r="I33" i="2"/>
  <c r="B15" i="2"/>
  <c r="D14" i="2"/>
  <c r="D13" i="2"/>
  <c r="Y21" i="2" l="1"/>
  <c r="N27" i="2"/>
  <c r="F12" i="9" a="1"/>
  <c r="Z23" i="9" s="1"/>
  <c r="L14" i="12"/>
  <c r="J14" i="12"/>
  <c r="AB14" i="12"/>
  <c r="D16" i="12"/>
  <c r="B17" i="12"/>
  <c r="F15" i="12"/>
  <c r="E15" i="12"/>
  <c r="L15" i="12" s="1"/>
  <c r="AC12" i="2"/>
  <c r="D12" i="7"/>
  <c r="V12" i="7" s="1" a="1"/>
  <c r="V12" i="7" s="1"/>
  <c r="V13" i="7" s="1" a="1"/>
  <c r="V13" i="7" s="1"/>
  <c r="K12" i="7"/>
  <c r="Y18" i="7" a="1"/>
  <c r="Y18" i="7" s="1"/>
  <c r="Y29" i="7" a="1"/>
  <c r="Y29" i="7" s="1"/>
  <c r="Y26" i="7" a="1"/>
  <c r="Y26" i="7" s="1"/>
  <c r="Y30" i="7" a="1"/>
  <c r="Y30" i="7" s="1"/>
  <c r="Y33" i="7" a="1"/>
  <c r="Y33" i="7" s="1"/>
  <c r="Y17" i="7" a="1"/>
  <c r="Y17" i="7" s="1"/>
  <c r="Y14" i="7" a="1"/>
  <c r="Y14" i="7" s="1"/>
  <c r="Y35" i="7" a="1"/>
  <c r="Y35" i="7" s="1"/>
  <c r="Y21" i="7" a="1"/>
  <c r="Y21" i="7" s="1"/>
  <c r="Y36" i="7" a="1"/>
  <c r="Y36" i="7" s="1"/>
  <c r="Y23" i="7" a="1"/>
  <c r="Y23" i="7" s="1"/>
  <c r="Y39" i="7" a="1"/>
  <c r="Y39" i="7" s="1"/>
  <c r="Y31" i="7" a="1"/>
  <c r="Y31" i="7" s="1"/>
  <c r="Y27" i="7" a="1"/>
  <c r="Y27" i="7" s="1"/>
  <c r="Y19" i="7" a="1"/>
  <c r="Y19" i="7" s="1"/>
  <c r="Y15" i="7" a="1"/>
  <c r="Y15" i="7" s="1"/>
  <c r="Y40" i="7" a="1"/>
  <c r="Y40" i="7" s="1"/>
  <c r="Y25" i="7" a="1"/>
  <c r="Y25" i="7" s="1"/>
  <c r="Y37" i="7" a="1"/>
  <c r="Y37" i="7" s="1"/>
  <c r="Y28" i="7" a="1"/>
  <c r="Y28" i="7" s="1"/>
  <c r="Y16" i="7" a="1"/>
  <c r="Y16" i="7" s="1"/>
  <c r="Y13" i="7" a="1"/>
  <c r="Y13" i="7" s="1"/>
  <c r="Y24" i="7" a="1"/>
  <c r="Y24" i="7" s="1"/>
  <c r="Y34" i="7" a="1"/>
  <c r="Y34" i="7" s="1"/>
  <c r="Y32" i="7" a="1"/>
  <c r="Y32" i="7" s="1"/>
  <c r="Y22" i="7" a="1"/>
  <c r="Y22" i="7" s="1"/>
  <c r="Y20" i="7" a="1"/>
  <c r="Y20" i="7" s="1"/>
  <c r="Y42" i="7" a="1"/>
  <c r="Y42" i="7" s="1"/>
  <c r="Y41" i="7" a="1"/>
  <c r="Y41" i="7" s="1"/>
  <c r="Y38" i="7" a="1"/>
  <c r="Y38" i="7" s="1"/>
  <c r="N16" i="2"/>
  <c r="N24" i="2"/>
  <c r="N35" i="2"/>
  <c r="I12" i="2"/>
  <c r="N12" i="2" s="1"/>
  <c r="S12" i="2" s="1"/>
  <c r="Y20" i="2"/>
  <c r="AI20" i="2" s="1"/>
  <c r="AI22" i="2"/>
  <c r="AI15" i="2"/>
  <c r="AI29" i="2"/>
  <c r="AI30" i="2"/>
  <c r="AI27" i="2"/>
  <c r="AI34" i="2"/>
  <c r="AI39" i="2"/>
  <c r="AI37" i="2"/>
  <c r="AI23" i="2"/>
  <c r="AI26" i="2"/>
  <c r="AI36" i="2"/>
  <c r="AI32" i="2"/>
  <c r="W12" i="2"/>
  <c r="AI41" i="2"/>
  <c r="AI35" i="2"/>
  <c r="AI24" i="2"/>
  <c r="Y17" i="2"/>
  <c r="AI21" i="2"/>
  <c r="AI16" i="2"/>
  <c r="AI40" i="2"/>
  <c r="R12" i="2"/>
  <c r="E14" i="2"/>
  <c r="L14" i="2" s="1"/>
  <c r="F14" i="2"/>
  <c r="P12" i="2"/>
  <c r="E13" i="2"/>
  <c r="L13" i="2" s="1"/>
  <c r="F13" i="2"/>
  <c r="X43" i="2"/>
  <c r="N43" i="2"/>
  <c r="N18" i="2"/>
  <c r="Y18" i="2"/>
  <c r="N19" i="2"/>
  <c r="Y19" i="2"/>
  <c r="N28" i="2"/>
  <c r="Y28" i="2"/>
  <c r="Y13" i="2"/>
  <c r="N13" i="2"/>
  <c r="Y31" i="2"/>
  <c r="N31" i="2"/>
  <c r="N25" i="2"/>
  <c r="Y25" i="2"/>
  <c r="Y38" i="2"/>
  <c r="N38" i="2"/>
  <c r="N33" i="2"/>
  <c r="Y33" i="2"/>
  <c r="Y14" i="2"/>
  <c r="N14" i="2"/>
  <c r="AH42" i="2"/>
  <c r="B16" i="2"/>
  <c r="D15" i="2"/>
  <c r="S14" i="12" l="1"/>
  <c r="Z22" i="9"/>
  <c r="Z14" i="9"/>
  <c r="Z27" i="9"/>
  <c r="Z31" i="9"/>
  <c r="Z26" i="9"/>
  <c r="Z38" i="9"/>
  <c r="Z18" i="9"/>
  <c r="Z15" i="9"/>
  <c r="Z16" i="9"/>
  <c r="Z40" i="9"/>
  <c r="Z24" i="9"/>
  <c r="Z13" i="9"/>
  <c r="Z21" i="9"/>
  <c r="Z29" i="9"/>
  <c r="Z25" i="9"/>
  <c r="Z28" i="9"/>
  <c r="Z41" i="9"/>
  <c r="Z30" i="9"/>
  <c r="Z35" i="9"/>
  <c r="Z19" i="9"/>
  <c r="Z42" i="9"/>
  <c r="Z32" i="9"/>
  <c r="Z36" i="9"/>
  <c r="F12" i="9"/>
  <c r="Z39" i="9"/>
  <c r="Z43" i="9"/>
  <c r="Z20" i="9"/>
  <c r="Z34" i="9"/>
  <c r="Z33" i="9"/>
  <c r="Z37" i="9"/>
  <c r="Z17" i="9"/>
  <c r="J13" i="2"/>
  <c r="R14" i="12"/>
  <c r="Q14" i="12"/>
  <c r="P14" i="12"/>
  <c r="AB15" i="12"/>
  <c r="F16" i="12"/>
  <c r="E16" i="12"/>
  <c r="J15" i="12"/>
  <c r="S15" i="12" s="1"/>
  <c r="D17" i="12"/>
  <c r="B18" i="12"/>
  <c r="Y12" i="2"/>
  <c r="X12" i="2"/>
  <c r="AH12" i="2" s="1"/>
  <c r="AI16" i="7"/>
  <c r="AI28" i="7"/>
  <c r="AI35" i="7"/>
  <c r="AI14" i="7"/>
  <c r="AI38" i="7"/>
  <c r="AI25" i="7"/>
  <c r="AI17" i="7"/>
  <c r="AI41" i="7"/>
  <c r="AI21" i="7"/>
  <c r="AI33" i="7"/>
  <c r="Y12" i="7" a="1"/>
  <c r="Y12" i="7" s="1"/>
  <c r="AI20" i="7"/>
  <c r="AI19" i="7"/>
  <c r="AI26" i="7"/>
  <c r="AI13" i="7"/>
  <c r="AI40" i="7"/>
  <c r="AI30" i="7"/>
  <c r="AI27" i="7"/>
  <c r="AI31" i="7"/>
  <c r="AI42" i="7"/>
  <c r="AI29" i="7"/>
  <c r="AI18" i="7"/>
  <c r="AI34" i="7"/>
  <c r="AI39" i="7"/>
  <c r="AI37" i="7"/>
  <c r="AI15" i="7"/>
  <c r="AI22" i="7"/>
  <c r="AI32" i="7"/>
  <c r="AI24" i="7"/>
  <c r="AI23" i="7"/>
  <c r="AI36" i="7"/>
  <c r="F12" i="7" a="1"/>
  <c r="E12" i="7" a="1"/>
  <c r="M43" i="7" s="1" a="1"/>
  <c r="M43" i="7" s="1"/>
  <c r="AI14" i="2"/>
  <c r="AI13" i="2"/>
  <c r="AI19" i="2"/>
  <c r="AB14" i="2"/>
  <c r="AI18" i="2"/>
  <c r="AI28" i="2"/>
  <c r="AH43" i="2"/>
  <c r="AI31" i="2"/>
  <c r="AI17" i="2"/>
  <c r="AI33" i="2"/>
  <c r="AI38" i="2"/>
  <c r="AI25" i="2"/>
  <c r="AI12" i="2"/>
  <c r="AG12" i="2"/>
  <c r="R13" i="2"/>
  <c r="T12" i="2"/>
  <c r="J14" i="2"/>
  <c r="AB13" i="2"/>
  <c r="O13" i="2"/>
  <c r="E15" i="2"/>
  <c r="L15" i="2" s="1"/>
  <c r="F15" i="2"/>
  <c r="B17" i="2"/>
  <c r="D16" i="2"/>
  <c r="L12" i="9" l="1" a="1"/>
  <c r="L12" i="9" s="1"/>
  <c r="Z12" i="9"/>
  <c r="Q13" i="2"/>
  <c r="P13" i="2"/>
  <c r="S13" i="2"/>
  <c r="M13" i="2"/>
  <c r="L16" i="12"/>
  <c r="J16" i="12"/>
  <c r="S16" i="12" s="1"/>
  <c r="AB16" i="12"/>
  <c r="D18" i="12"/>
  <c r="B19" i="12"/>
  <c r="F17" i="12"/>
  <c r="E17" i="12"/>
  <c r="R15" i="12"/>
  <c r="P15" i="12"/>
  <c r="Q15" i="12"/>
  <c r="E12" i="7"/>
  <c r="M12" i="7" s="1" a="1"/>
  <c r="M12" i="7" s="1"/>
  <c r="L43" i="7" a="1"/>
  <c r="L43" i="7" s="1"/>
  <c r="L31" i="7" a="1"/>
  <c r="L31" i="7" s="1"/>
  <c r="L19" i="7" a="1"/>
  <c r="L19" i="7" s="1"/>
  <c r="L42" i="7" a="1"/>
  <c r="L42" i="7" s="1"/>
  <c r="L30" i="7" a="1"/>
  <c r="L30" i="7" s="1"/>
  <c r="L18" i="7" a="1"/>
  <c r="L18" i="7" s="1"/>
  <c r="L41" i="7" a="1"/>
  <c r="L41" i="7" s="1"/>
  <c r="L29" i="7" a="1"/>
  <c r="L29" i="7" s="1"/>
  <c r="L17" i="7" a="1"/>
  <c r="L17" i="7" s="1"/>
  <c r="L40" i="7" a="1"/>
  <c r="L40" i="7" s="1"/>
  <c r="L28" i="7" a="1"/>
  <c r="L28" i="7" s="1"/>
  <c r="L16" i="7" a="1"/>
  <c r="L16" i="7" s="1"/>
  <c r="L39" i="7" a="1"/>
  <c r="L39" i="7" s="1"/>
  <c r="L27" i="7" a="1"/>
  <c r="L27" i="7" s="1"/>
  <c r="L15" i="7" a="1"/>
  <c r="L15" i="7" s="1"/>
  <c r="L37" i="7" a="1"/>
  <c r="L37" i="7" s="1"/>
  <c r="L25" i="7" a="1"/>
  <c r="L25" i="7" s="1"/>
  <c r="L13" i="7" a="1"/>
  <c r="L13" i="7" s="1"/>
  <c r="L36" i="7" a="1"/>
  <c r="L36" i="7" s="1"/>
  <c r="L24" i="7" a="1"/>
  <c r="L24" i="7" s="1"/>
  <c r="L35" i="7" a="1"/>
  <c r="L35" i="7" s="1"/>
  <c r="L23" i="7" a="1"/>
  <c r="L23" i="7" s="1"/>
  <c r="L34" i="7" a="1"/>
  <c r="L34" i="7" s="1"/>
  <c r="L22" i="7" a="1"/>
  <c r="L22" i="7" s="1"/>
  <c r="L33" i="7" a="1"/>
  <c r="L33" i="7" s="1"/>
  <c r="L21" i="7" a="1"/>
  <c r="L21" i="7" s="1"/>
  <c r="L20" i="7" a="1"/>
  <c r="L20" i="7" s="1"/>
  <c r="L14" i="7" a="1"/>
  <c r="L14" i="7" s="1"/>
  <c r="L38" i="7" a="1"/>
  <c r="L38" i="7" s="1"/>
  <c r="L32" i="7" a="1"/>
  <c r="L32" i="7" s="1"/>
  <c r="L26" i="7" a="1"/>
  <c r="L26" i="7" s="1"/>
  <c r="F12" i="7"/>
  <c r="U12" i="7" s="1" a="1"/>
  <c r="U12" i="7" s="1"/>
  <c r="AB40" i="7"/>
  <c r="AB28" i="7"/>
  <c r="AB16" i="7"/>
  <c r="AB39" i="7"/>
  <c r="AB27" i="7"/>
  <c r="AB15" i="7"/>
  <c r="AB38" i="7"/>
  <c r="AB26" i="7"/>
  <c r="AB14" i="7"/>
  <c r="AB37" i="7"/>
  <c r="AB25" i="7"/>
  <c r="AB13" i="7"/>
  <c r="AB36" i="7"/>
  <c r="AB24" i="7"/>
  <c r="AB34" i="7"/>
  <c r="AB22" i="7"/>
  <c r="AB33" i="7"/>
  <c r="AB21" i="7"/>
  <c r="AB32" i="7"/>
  <c r="AB20" i="7"/>
  <c r="AB43" i="7"/>
  <c r="AB31" i="7"/>
  <c r="AB19" i="7"/>
  <c r="AB42" i="7"/>
  <c r="AB30" i="7"/>
  <c r="AB18" i="7"/>
  <c r="AB29" i="7"/>
  <c r="AB23" i="7"/>
  <c r="AB17" i="7"/>
  <c r="AB41" i="7"/>
  <c r="AB35" i="7"/>
  <c r="AI12" i="7"/>
  <c r="AB15" i="2"/>
  <c r="AF12" i="2"/>
  <c r="AE13" i="2"/>
  <c r="AE13" i="7"/>
  <c r="R14" i="2"/>
  <c r="Q14" i="2"/>
  <c r="S14" i="2"/>
  <c r="P14" i="2"/>
  <c r="J15" i="2"/>
  <c r="E16" i="2"/>
  <c r="L16" i="2" s="1"/>
  <c r="F16" i="2"/>
  <c r="B18" i="2"/>
  <c r="D17" i="2"/>
  <c r="N12" i="9" l="1" a="1"/>
  <c r="N12" i="9" s="1"/>
  <c r="V12" i="9" s="1" a="1"/>
  <c r="V12" i="9" s="1"/>
  <c r="T13" i="2"/>
  <c r="R16" i="12"/>
  <c r="P16" i="12"/>
  <c r="Q16" i="12"/>
  <c r="AB17" i="12"/>
  <c r="L17" i="12"/>
  <c r="D19" i="12"/>
  <c r="B20" i="12"/>
  <c r="F18" i="12"/>
  <c r="E18" i="12"/>
  <c r="J18" i="12" s="1"/>
  <c r="S18" i="12" s="1"/>
  <c r="J17" i="12"/>
  <c r="S17" i="12" s="1"/>
  <c r="U13" i="7" a="1"/>
  <c r="U13" i="7" s="1"/>
  <c r="O12" i="7" a="1"/>
  <c r="O12" i="7" s="1"/>
  <c r="AB12" i="7"/>
  <c r="L12" i="7" a="1"/>
  <c r="L12" i="7" s="1"/>
  <c r="J12" i="7" a="1"/>
  <c r="V14" i="7" s="1" a="1"/>
  <c r="V14" i="7" s="1"/>
  <c r="V15" i="7" s="1" a="1"/>
  <c r="V15" i="7" s="1"/>
  <c r="V16" i="7" s="1" a="1"/>
  <c r="V16" i="7" s="1"/>
  <c r="V17" i="7" s="1" a="1"/>
  <c r="V17" i="7" s="1"/>
  <c r="V18" i="7" s="1" a="1"/>
  <c r="V18" i="7" s="1"/>
  <c r="V19" i="7" s="1" a="1"/>
  <c r="V19" i="7" s="1"/>
  <c r="V20" i="7" s="1" a="1"/>
  <c r="V20" i="7" s="1"/>
  <c r="V21" i="7" s="1" a="1"/>
  <c r="V21" i="7" s="1"/>
  <c r="AB16" i="2"/>
  <c r="R15" i="2"/>
  <c r="Q15" i="2"/>
  <c r="P15" i="2"/>
  <c r="U13" i="2"/>
  <c r="J16" i="2"/>
  <c r="S15" i="2"/>
  <c r="T14" i="2"/>
  <c r="E17" i="2"/>
  <c r="L17" i="2" s="1"/>
  <c r="F17" i="2"/>
  <c r="B19" i="2"/>
  <c r="D18" i="2"/>
  <c r="AC33" i="9" l="1"/>
  <c r="AC32" i="9"/>
  <c r="AC31" i="9"/>
  <c r="AC42" i="9"/>
  <c r="AE38" i="9"/>
  <c r="AD31" i="9"/>
  <c r="AF28" i="9"/>
  <c r="AD35" i="9"/>
  <c r="AC14" i="9"/>
  <c r="AC13" i="9"/>
  <c r="AC21" i="9"/>
  <c r="AC19" i="9"/>
  <c r="AC30" i="9"/>
  <c r="AC41" i="9"/>
  <c r="AF23" i="9"/>
  <c r="AF16" i="9"/>
  <c r="AD23" i="9"/>
  <c r="AD34" i="9"/>
  <c r="AD33" i="9"/>
  <c r="AC24" i="9"/>
  <c r="AD41" i="9"/>
  <c r="AD40" i="9"/>
  <c r="AD39" i="9"/>
  <c r="AC18" i="9"/>
  <c r="AC29" i="9"/>
  <c r="AC22" i="9"/>
  <c r="AC23" i="9"/>
  <c r="AE43" i="9"/>
  <c r="AD22" i="9"/>
  <c r="AD21" i="9"/>
  <c r="AF21" i="9"/>
  <c r="AF41" i="9"/>
  <c r="AD42" i="9"/>
  <c r="AC12" i="9"/>
  <c r="AC43" i="9"/>
  <c r="AD18" i="9"/>
  <c r="AC34" i="9"/>
  <c r="AF17" i="9"/>
  <c r="AF40" i="9"/>
  <c r="AC15" i="9"/>
  <c r="AC26" i="9"/>
  <c r="AC25" i="9"/>
  <c r="AC36" i="9"/>
  <c r="AC20" i="9"/>
  <c r="AD12" i="9"/>
  <c r="AD29" i="9"/>
  <c r="AD28" i="9"/>
  <c r="AD27" i="9"/>
  <c r="AD38" i="9"/>
  <c r="AC17" i="9"/>
  <c r="AC40" i="9"/>
  <c r="AD43" i="9"/>
  <c r="AE31" i="9"/>
  <c r="AE42" i="9"/>
  <c r="AE41" i="9"/>
  <c r="AE29" i="9"/>
  <c r="AF36" i="9"/>
  <c r="AF19" i="9"/>
  <c r="AE32" i="9"/>
  <c r="AD32" i="9"/>
  <c r="AD16" i="9"/>
  <c r="AD26" i="9"/>
  <c r="AC28" i="9"/>
  <c r="AE19" i="9"/>
  <c r="AD20" i="9"/>
  <c r="AE37" i="9"/>
  <c r="AE36" i="9"/>
  <c r="AE35" i="9"/>
  <c r="AD14" i="9"/>
  <c r="AD25" i="9"/>
  <c r="AC16" i="9"/>
  <c r="AE27" i="9"/>
  <c r="AF39" i="9"/>
  <c r="AE18" i="9"/>
  <c r="AE17" i="9"/>
  <c r="AF37" i="9"/>
  <c r="AF25" i="9"/>
  <c r="AD17" i="9"/>
  <c r="AD15" i="9"/>
  <c r="AD37" i="9"/>
  <c r="AE39" i="9"/>
  <c r="AE30" i="9"/>
  <c r="AE40" i="9"/>
  <c r="AE25" i="9"/>
  <c r="AE24" i="9"/>
  <c r="AE23" i="9"/>
  <c r="AE34" i="9"/>
  <c r="AD13" i="9"/>
  <c r="AD36" i="9"/>
  <c r="AE15" i="9"/>
  <c r="AF27" i="9"/>
  <c r="AF38" i="9"/>
  <c r="AE28" i="9"/>
  <c r="AE13" i="9"/>
  <c r="AF12" i="9"/>
  <c r="AF43" i="9"/>
  <c r="AE22" i="9"/>
  <c r="AE33" i="9"/>
  <c r="AD24" i="9"/>
  <c r="AF35" i="9"/>
  <c r="AF15" i="9"/>
  <c r="AF26" i="9"/>
  <c r="AE16" i="9"/>
  <c r="AF33" i="9"/>
  <c r="AF32" i="9"/>
  <c r="AF31" i="9"/>
  <c r="AF42" i="9"/>
  <c r="AE21" i="9"/>
  <c r="AE12" i="9"/>
  <c r="AE26" i="9"/>
  <c r="AD19" i="9"/>
  <c r="AF14" i="9"/>
  <c r="AF13" i="9"/>
  <c r="AF20" i="9"/>
  <c r="AF30" i="9"/>
  <c r="AC39" i="9"/>
  <c r="AF22" i="9"/>
  <c r="AD30" i="9"/>
  <c r="AF24" i="9"/>
  <c r="AE14" i="9"/>
  <c r="AF34" i="9"/>
  <c r="AC35" i="9"/>
  <c r="AF18" i="9"/>
  <c r="AF29" i="9"/>
  <c r="AE20" i="9"/>
  <c r="AC27" i="9"/>
  <c r="AC38" i="9"/>
  <c r="AC37" i="9"/>
  <c r="AG12" i="9"/>
  <c r="AG36" i="9"/>
  <c r="AG13" i="9"/>
  <c r="AG34" i="9"/>
  <c r="AG23" i="9"/>
  <c r="AG24" i="9"/>
  <c r="AG33" i="9"/>
  <c r="AG22" i="9"/>
  <c r="AG42" i="9"/>
  <c r="AG19" i="9"/>
  <c r="AG29" i="9"/>
  <c r="AG18" i="9"/>
  <c r="AG32" i="9"/>
  <c r="AG21" i="9"/>
  <c r="AG27" i="9"/>
  <c r="AG43" i="9"/>
  <c r="AG31" i="9"/>
  <c r="AG20" i="9"/>
  <c r="AG30" i="9"/>
  <c r="AG39" i="9"/>
  <c r="AG16" i="9"/>
  <c r="AG37" i="9"/>
  <c r="AG35" i="9"/>
  <c r="AG41" i="9"/>
  <c r="AG14" i="9"/>
  <c r="AG40" i="9"/>
  <c r="AG28" i="9"/>
  <c r="AG17" i="9"/>
  <c r="AG25" i="9"/>
  <c r="AG38" i="9"/>
  <c r="AG26" i="9"/>
  <c r="AG15" i="9"/>
  <c r="AF13" i="2"/>
  <c r="R17" i="12"/>
  <c r="Q17" i="12"/>
  <c r="P17" i="12"/>
  <c r="L18" i="12"/>
  <c r="R18" i="12"/>
  <c r="Q18" i="12"/>
  <c r="P18" i="12"/>
  <c r="AB18" i="12"/>
  <c r="D20" i="12"/>
  <c r="B21" i="12"/>
  <c r="F19" i="12"/>
  <c r="E19" i="12"/>
  <c r="P16" i="2"/>
  <c r="AE12" i="7"/>
  <c r="J12" i="7"/>
  <c r="P40" i="7" a="1"/>
  <c r="P40" i="7" s="1"/>
  <c r="P28" i="7" a="1"/>
  <c r="P28" i="7" s="1"/>
  <c r="P16" i="7" a="1"/>
  <c r="P16" i="7" s="1"/>
  <c r="Q36" i="7" a="1"/>
  <c r="Q36" i="7" s="1"/>
  <c r="Q24" i="7" a="1"/>
  <c r="Q24" i="7" s="1"/>
  <c r="R32" i="7" a="1"/>
  <c r="R32" i="7" s="1"/>
  <c r="R20" i="7" a="1"/>
  <c r="R20" i="7" s="1"/>
  <c r="P15" i="7" a="1"/>
  <c r="P15" i="7" s="1"/>
  <c r="Q35" i="7" a="1"/>
  <c r="Q35" i="7" s="1"/>
  <c r="R43" i="7" a="1"/>
  <c r="R43" i="7" s="1"/>
  <c r="R31" i="7" a="1"/>
  <c r="R31" i="7" s="1"/>
  <c r="P39" i="7" a="1"/>
  <c r="P39" i="7" s="1"/>
  <c r="P27" i="7" a="1"/>
  <c r="P27" i="7" s="1"/>
  <c r="Q23" i="7" a="1"/>
  <c r="Q23" i="7" s="1"/>
  <c r="P38" i="7" a="1"/>
  <c r="P38" i="7" s="1"/>
  <c r="P26" i="7" a="1"/>
  <c r="P26" i="7" s="1"/>
  <c r="P14" i="7" a="1"/>
  <c r="P14" i="7" s="1"/>
  <c r="Q34" i="7" a="1"/>
  <c r="Q34" i="7" s="1"/>
  <c r="Q22" i="7" a="1"/>
  <c r="Q22" i="7" s="1"/>
  <c r="R42" i="7" a="1"/>
  <c r="R42" i="7" s="1"/>
  <c r="R30" i="7" a="1"/>
  <c r="R30" i="7" s="1"/>
  <c r="R18" i="7" a="1"/>
  <c r="R18" i="7" s="1"/>
  <c r="P37" i="7" a="1"/>
  <c r="P37" i="7" s="1"/>
  <c r="P25" i="7" a="1"/>
  <c r="P25" i="7" s="1"/>
  <c r="P13" i="7" a="1"/>
  <c r="P13" i="7" s="1"/>
  <c r="Q33" i="7" a="1"/>
  <c r="Q33" i="7" s="1"/>
  <c r="P34" i="7" a="1"/>
  <c r="P34" i="7" s="1"/>
  <c r="P22" i="7" a="1"/>
  <c r="P22" i="7" s="1"/>
  <c r="Q42" i="7" a="1"/>
  <c r="Q42" i="7" s="1"/>
  <c r="Q30" i="7" a="1"/>
  <c r="Q30" i="7" s="1"/>
  <c r="Q18" i="7" a="1"/>
  <c r="Q18" i="7" s="1"/>
  <c r="R38" i="7" a="1"/>
  <c r="R38" i="7" s="1"/>
  <c r="R26" i="7" a="1"/>
  <c r="R26" i="7" s="1"/>
  <c r="R14" i="7" a="1"/>
  <c r="R14" i="7" s="1"/>
  <c r="R24" i="7" a="1"/>
  <c r="R24" i="7" s="1"/>
  <c r="P33" i="7" a="1"/>
  <c r="P33" i="7" s="1"/>
  <c r="P21" i="7" a="1"/>
  <c r="P21" i="7" s="1"/>
  <c r="Q41" i="7" a="1"/>
  <c r="Q41" i="7" s="1"/>
  <c r="Q29" i="7" a="1"/>
  <c r="Q29" i="7" s="1"/>
  <c r="Q17" i="7" a="1"/>
  <c r="Q17" i="7" s="1"/>
  <c r="R37" i="7" a="1"/>
  <c r="R37" i="7" s="1"/>
  <c r="R25" i="7" a="1"/>
  <c r="R25" i="7" s="1"/>
  <c r="R13" i="7" a="1"/>
  <c r="R13" i="7" s="1"/>
  <c r="P20" i="7" a="1"/>
  <c r="P20" i="7" s="1"/>
  <c r="Q40" i="7" a="1"/>
  <c r="Q40" i="7" s="1"/>
  <c r="Q28" i="7" a="1"/>
  <c r="Q28" i="7" s="1"/>
  <c r="Q16" i="7" a="1"/>
  <c r="Q16" i="7" s="1"/>
  <c r="R36" i="7" a="1"/>
  <c r="R36" i="7" s="1"/>
  <c r="P19" i="7" a="1"/>
  <c r="P19" i="7" s="1"/>
  <c r="Q27" i="7" a="1"/>
  <c r="Q27" i="7" s="1"/>
  <c r="R35" i="7" a="1"/>
  <c r="R35" i="7" s="1"/>
  <c r="Q26" i="7" a="1"/>
  <c r="Q26" i="7" s="1"/>
  <c r="P43" i="7" a="1"/>
  <c r="P43" i="7" s="1"/>
  <c r="P32" i="7" a="1"/>
  <c r="P32" i="7" s="1"/>
  <c r="P42" i="7" a="1"/>
  <c r="P42" i="7" s="1"/>
  <c r="P31" i="7" a="1"/>
  <c r="P31" i="7" s="1"/>
  <c r="Q39" i="7" a="1"/>
  <c r="Q39" i="7" s="1"/>
  <c r="Q15" i="7" a="1"/>
  <c r="Q15" i="7" s="1"/>
  <c r="R23" i="7" a="1"/>
  <c r="R23" i="7" s="1"/>
  <c r="Q14" i="7" a="1"/>
  <c r="Q14" i="7" s="1"/>
  <c r="P30" i="7" a="1"/>
  <c r="P30" i="7" s="1"/>
  <c r="P18" i="7" a="1"/>
  <c r="P18" i="7" s="1"/>
  <c r="Q38" i="7" a="1"/>
  <c r="Q38" i="7" s="1"/>
  <c r="R34" i="7" a="1"/>
  <c r="R34" i="7" s="1"/>
  <c r="R22" i="7" a="1"/>
  <c r="R22" i="7" s="1"/>
  <c r="P17" i="7" a="1"/>
  <c r="P17" i="7" s="1"/>
  <c r="R40" i="7" a="1"/>
  <c r="R40" i="7" s="1"/>
  <c r="R39" i="7" a="1"/>
  <c r="R39" i="7" s="1"/>
  <c r="P29" i="7" a="1"/>
  <c r="P29" i="7" s="1"/>
  <c r="Q43" i="7" a="1"/>
  <c r="Q43" i="7" s="1"/>
  <c r="R33" i="7" a="1"/>
  <c r="R33" i="7" s="1"/>
  <c r="Q37" i="7" a="1"/>
  <c r="Q37" i="7" s="1"/>
  <c r="R29" i="7" a="1"/>
  <c r="R29" i="7" s="1"/>
  <c r="R19" i="7" a="1"/>
  <c r="R19" i="7" s="1"/>
  <c r="Q32" i="7" a="1"/>
  <c r="Q32" i="7" s="1"/>
  <c r="R28" i="7" a="1"/>
  <c r="R28" i="7" s="1"/>
  <c r="R27" i="7" a="1"/>
  <c r="R27" i="7" s="1"/>
  <c r="Q19" i="7" a="1"/>
  <c r="Q19" i="7" s="1"/>
  <c r="Q31" i="7" a="1"/>
  <c r="Q31" i="7" s="1"/>
  <c r="R16" i="7" a="1"/>
  <c r="R16" i="7" s="1"/>
  <c r="P41" i="7" a="1"/>
  <c r="P41" i="7" s="1"/>
  <c r="Q25" i="7" a="1"/>
  <c r="Q25" i="7" s="1"/>
  <c r="R21" i="7" a="1"/>
  <c r="R21" i="7" s="1"/>
  <c r="P36" i="7" a="1"/>
  <c r="P36" i="7" s="1"/>
  <c r="Q21" i="7" a="1"/>
  <c r="Q21" i="7" s="1"/>
  <c r="P35" i="7" a="1"/>
  <c r="P35" i="7" s="1"/>
  <c r="Q20" i="7" a="1"/>
  <c r="Q20" i="7" s="1"/>
  <c r="R17" i="7" a="1"/>
  <c r="R17" i="7" s="1"/>
  <c r="P24" i="7" a="1"/>
  <c r="P24" i="7" s="1"/>
  <c r="Q13" i="7" a="1"/>
  <c r="Q13" i="7" s="1"/>
  <c r="R15" i="7" a="1"/>
  <c r="R15" i="7" s="1"/>
  <c r="P23" i="7" a="1"/>
  <c r="P23" i="7" s="1"/>
  <c r="R41" i="7" a="1"/>
  <c r="R41" i="7" s="1"/>
  <c r="W12" i="7" a="1"/>
  <c r="W12" i="7" s="1"/>
  <c r="AF14" i="2"/>
  <c r="AB17" i="2"/>
  <c r="S16" i="2"/>
  <c r="Q16" i="2"/>
  <c r="R16" i="2"/>
  <c r="J17" i="2"/>
  <c r="T15" i="2"/>
  <c r="E18" i="2"/>
  <c r="J18" i="2" s="1"/>
  <c r="F18" i="2"/>
  <c r="B20" i="2"/>
  <c r="D19" i="2"/>
  <c r="Y10" i="9" l="1"/>
  <c r="L19" i="12"/>
  <c r="J19" i="12"/>
  <c r="S19" i="12" s="1"/>
  <c r="AB19" i="12"/>
  <c r="F20" i="12"/>
  <c r="E20" i="12"/>
  <c r="D21" i="12"/>
  <c r="B22" i="12"/>
  <c r="S17" i="2"/>
  <c r="AG12" i="7"/>
  <c r="X12" i="7" a="1"/>
  <c r="X12" i="7" s="1"/>
  <c r="M13" i="7" s="1" a="1"/>
  <c r="M13" i="7" s="1"/>
  <c r="Q12" i="7" a="1"/>
  <c r="Q12" i="7" s="1"/>
  <c r="R12" i="7" a="1"/>
  <c r="R12" i="7" s="1"/>
  <c r="P12" i="7" a="1"/>
  <c r="P12" i="7" s="1"/>
  <c r="O13" i="7" a="1"/>
  <c r="O13" i="7" s="1"/>
  <c r="AB18" i="2"/>
  <c r="AF15" i="2"/>
  <c r="T16" i="2"/>
  <c r="Q17" i="2"/>
  <c r="R17" i="2"/>
  <c r="Q18" i="2"/>
  <c r="R18" i="2"/>
  <c r="P17" i="2"/>
  <c r="S18" i="2"/>
  <c r="L18" i="2"/>
  <c r="P18" i="2"/>
  <c r="E19" i="2"/>
  <c r="L19" i="2" s="1"/>
  <c r="F19" i="2"/>
  <c r="B21" i="2"/>
  <c r="D20" i="2"/>
  <c r="L20" i="12" l="1"/>
  <c r="J20" i="12"/>
  <c r="S20" i="12" s="1"/>
  <c r="D22" i="12"/>
  <c r="B23" i="12"/>
  <c r="AB20" i="12"/>
  <c r="R19" i="12"/>
  <c r="Q19" i="12"/>
  <c r="P19" i="12"/>
  <c r="F21" i="12"/>
  <c r="E21" i="12"/>
  <c r="AH12" i="7"/>
  <c r="AB19" i="2"/>
  <c r="AF16" i="2"/>
  <c r="T17" i="2"/>
  <c r="J19" i="2"/>
  <c r="T18" i="2"/>
  <c r="E20" i="2"/>
  <c r="L20" i="2" s="1"/>
  <c r="F20" i="2"/>
  <c r="B22" i="2"/>
  <c r="D21" i="2"/>
  <c r="D23" i="12" l="1"/>
  <c r="B24" i="12"/>
  <c r="L21" i="12"/>
  <c r="J21" i="12"/>
  <c r="S21" i="12" s="1"/>
  <c r="F22" i="12"/>
  <c r="E22" i="12"/>
  <c r="AB21" i="12"/>
  <c r="R20" i="12"/>
  <c r="Q20" i="12"/>
  <c r="P20" i="12"/>
  <c r="J20" i="2"/>
  <c r="R20" i="2" s="1"/>
  <c r="S19" i="2"/>
  <c r="AB20" i="2"/>
  <c r="AF18" i="2"/>
  <c r="AF17" i="2"/>
  <c r="Q19" i="2"/>
  <c r="R19" i="2"/>
  <c r="P19" i="2"/>
  <c r="E21" i="2"/>
  <c r="J21" i="2" s="1"/>
  <c r="F21" i="2"/>
  <c r="B23" i="2"/>
  <c r="D22" i="2"/>
  <c r="Q20" i="2" l="1"/>
  <c r="S20" i="2"/>
  <c r="P20" i="2"/>
  <c r="L22" i="12"/>
  <c r="J22" i="12"/>
  <c r="AB22" i="12"/>
  <c r="R21" i="12"/>
  <c r="Q21" i="12"/>
  <c r="P21" i="12"/>
  <c r="F23" i="12"/>
  <c r="E23" i="12"/>
  <c r="B25" i="12"/>
  <c r="D24" i="12"/>
  <c r="T19" i="2"/>
  <c r="AB21" i="2"/>
  <c r="Q21" i="2"/>
  <c r="R21" i="2"/>
  <c r="S21" i="2"/>
  <c r="L21" i="2"/>
  <c r="P21" i="2"/>
  <c r="E22" i="2"/>
  <c r="J22" i="2" s="1"/>
  <c r="F22" i="2"/>
  <c r="B24" i="2"/>
  <c r="D23" i="2"/>
  <c r="T20" i="2" l="1"/>
  <c r="AF20" i="2" s="1"/>
  <c r="AB23" i="12"/>
  <c r="L23" i="12"/>
  <c r="J23" i="12"/>
  <c r="F24" i="12"/>
  <c r="E24" i="12"/>
  <c r="R22" i="12"/>
  <c r="P22" i="12"/>
  <c r="Q22" i="12"/>
  <c r="D25" i="12"/>
  <c r="B26" i="12"/>
  <c r="AB22" i="2"/>
  <c r="AF19" i="2"/>
  <c r="Q22" i="2"/>
  <c r="R22" i="2"/>
  <c r="T21" i="2"/>
  <c r="L22" i="2"/>
  <c r="P22" i="2"/>
  <c r="E23" i="2"/>
  <c r="L23" i="2" s="1"/>
  <c r="F23" i="2"/>
  <c r="B25" i="2"/>
  <c r="D24" i="2"/>
  <c r="J23" i="2" l="1"/>
  <c r="R23" i="2" s="1"/>
  <c r="L24" i="12"/>
  <c r="J24" i="12"/>
  <c r="AB24" i="12"/>
  <c r="R23" i="12"/>
  <c r="Q23" i="12"/>
  <c r="P23" i="12"/>
  <c r="B27" i="12"/>
  <c r="D26" i="12"/>
  <c r="F25" i="12"/>
  <c r="E25" i="12"/>
  <c r="AB23" i="2"/>
  <c r="AF21" i="2"/>
  <c r="E24" i="2"/>
  <c r="J24" i="2" s="1"/>
  <c r="F24" i="2"/>
  <c r="B26" i="2"/>
  <c r="D25" i="2"/>
  <c r="P23" i="2" l="1"/>
  <c r="Q23" i="2"/>
  <c r="D27" i="12"/>
  <c r="B28" i="12"/>
  <c r="R24" i="12"/>
  <c r="Q24" i="12"/>
  <c r="P24" i="12"/>
  <c r="L25" i="12"/>
  <c r="J25" i="12"/>
  <c r="AB25" i="12"/>
  <c r="F26" i="12"/>
  <c r="E26" i="12"/>
  <c r="AB24" i="2"/>
  <c r="R24" i="2"/>
  <c r="Q24" i="2"/>
  <c r="L24" i="2"/>
  <c r="E25" i="2"/>
  <c r="L25" i="2" s="1"/>
  <c r="F25" i="2"/>
  <c r="P24" i="2"/>
  <c r="B27" i="2"/>
  <c r="D26" i="2"/>
  <c r="R25" i="12" l="1"/>
  <c r="Q25" i="12"/>
  <c r="P25" i="12"/>
  <c r="L26" i="12"/>
  <c r="J26" i="12"/>
  <c r="S26" i="12" s="1"/>
  <c r="B29" i="12"/>
  <c r="D28" i="12"/>
  <c r="AB26" i="12"/>
  <c r="F27" i="12"/>
  <c r="E27" i="12"/>
  <c r="AB25" i="2"/>
  <c r="J25" i="2"/>
  <c r="E26" i="2"/>
  <c r="L26" i="2" s="1"/>
  <c r="F26" i="2"/>
  <c r="B28" i="2"/>
  <c r="D27" i="2"/>
  <c r="J26" i="2" l="1"/>
  <c r="P26" i="2" s="1"/>
  <c r="F28" i="12"/>
  <c r="E28" i="12"/>
  <c r="D29" i="12"/>
  <c r="B30" i="12"/>
  <c r="R26" i="12"/>
  <c r="Q26" i="12"/>
  <c r="P26" i="12"/>
  <c r="L27" i="12"/>
  <c r="J27" i="12"/>
  <c r="AB27" i="12"/>
  <c r="AB26" i="2"/>
  <c r="R25" i="2"/>
  <c r="Q25" i="2"/>
  <c r="E27" i="2"/>
  <c r="L27" i="2" s="1"/>
  <c r="F27" i="2"/>
  <c r="P25" i="2"/>
  <c r="B29" i="2"/>
  <c r="D28" i="2"/>
  <c r="R26" i="2" l="1"/>
  <c r="Q26" i="2"/>
  <c r="S27" i="12"/>
  <c r="U27" i="12"/>
  <c r="B31" i="12"/>
  <c r="D30" i="12"/>
  <c r="F29" i="12"/>
  <c r="E29" i="12"/>
  <c r="R27" i="12"/>
  <c r="Q27" i="12"/>
  <c r="P27" i="12"/>
  <c r="L28" i="12"/>
  <c r="J28" i="12"/>
  <c r="AB28" i="12"/>
  <c r="AB27" i="2"/>
  <c r="J27" i="2"/>
  <c r="E28" i="2"/>
  <c r="L28" i="2" s="1"/>
  <c r="F28" i="2"/>
  <c r="B30" i="2"/>
  <c r="D29" i="2"/>
  <c r="S28" i="12" l="1"/>
  <c r="U28" i="12"/>
  <c r="R28" i="12"/>
  <c r="Q28" i="12"/>
  <c r="P28" i="12"/>
  <c r="L29" i="12"/>
  <c r="J29" i="12"/>
  <c r="AB29" i="12"/>
  <c r="F30" i="12"/>
  <c r="E30" i="12"/>
  <c r="D31" i="12"/>
  <c r="B32" i="12"/>
  <c r="U27" i="7" a="1"/>
  <c r="U27" i="7" s="1"/>
  <c r="J28" i="2"/>
  <c r="AB28" i="2"/>
  <c r="R27" i="2"/>
  <c r="Q27" i="2"/>
  <c r="P27" i="2"/>
  <c r="E29" i="2"/>
  <c r="L29" i="2" s="1"/>
  <c r="F29" i="2"/>
  <c r="B31" i="2"/>
  <c r="D30" i="2"/>
  <c r="S29" i="12" l="1"/>
  <c r="U29" i="12"/>
  <c r="R29" i="12"/>
  <c r="Q29" i="12"/>
  <c r="P29" i="12"/>
  <c r="AB30" i="12"/>
  <c r="F31" i="12"/>
  <c r="E31" i="12"/>
  <c r="B33" i="12"/>
  <c r="D32" i="12"/>
  <c r="L30" i="12"/>
  <c r="J30" i="12"/>
  <c r="S30" i="12" s="1"/>
  <c r="R28" i="2"/>
  <c r="U28" i="7" a="1"/>
  <c r="U28" i="7" s="1"/>
  <c r="Q28" i="2"/>
  <c r="P28" i="2"/>
  <c r="AB29" i="2"/>
  <c r="J29" i="2"/>
  <c r="E30" i="2"/>
  <c r="L30" i="2" s="1"/>
  <c r="F30" i="2"/>
  <c r="B32" i="2"/>
  <c r="D31" i="2"/>
  <c r="AB31" i="12" l="1"/>
  <c r="L31" i="12"/>
  <c r="J31" i="12"/>
  <c r="F32" i="12"/>
  <c r="E32" i="12"/>
  <c r="D33" i="12"/>
  <c r="B34" i="12"/>
  <c r="R30" i="12"/>
  <c r="Q30" i="12"/>
  <c r="P30" i="12"/>
  <c r="J30" i="2"/>
  <c r="Q30" i="2" s="1"/>
  <c r="U29" i="7" a="1"/>
  <c r="U29" i="7" s="1"/>
  <c r="AB30" i="2"/>
  <c r="Q29" i="2"/>
  <c r="R29" i="2"/>
  <c r="P29" i="2"/>
  <c r="E31" i="2"/>
  <c r="L31" i="2" s="1"/>
  <c r="F31" i="2"/>
  <c r="B33" i="2"/>
  <c r="D32" i="2"/>
  <c r="S31" i="12" l="1"/>
  <c r="U31" i="12"/>
  <c r="P30" i="2"/>
  <c r="F33" i="12"/>
  <c r="E33" i="12"/>
  <c r="L32" i="12"/>
  <c r="J32" i="12"/>
  <c r="AB32" i="12"/>
  <c r="R31" i="12"/>
  <c r="Q31" i="12"/>
  <c r="P31" i="12"/>
  <c r="B35" i="12"/>
  <c r="D34" i="12"/>
  <c r="R30" i="2"/>
  <c r="AB31" i="2"/>
  <c r="J31" i="2"/>
  <c r="E32" i="2"/>
  <c r="L32" i="2" s="1"/>
  <c r="F32" i="2"/>
  <c r="B34" i="2"/>
  <c r="D33" i="2"/>
  <c r="S32" i="12" l="1"/>
  <c r="U32" i="12"/>
  <c r="D35" i="12"/>
  <c r="B36" i="12"/>
  <c r="R32" i="12"/>
  <c r="Q32" i="12"/>
  <c r="P32" i="12"/>
  <c r="F34" i="12"/>
  <c r="E34" i="12"/>
  <c r="L33" i="12"/>
  <c r="J33" i="12"/>
  <c r="AB33" i="12"/>
  <c r="J32" i="2"/>
  <c r="Q31" i="2"/>
  <c r="U31" i="7" a="1"/>
  <c r="U31" i="7" s="1"/>
  <c r="R31" i="2"/>
  <c r="AB32" i="2"/>
  <c r="P31" i="2"/>
  <c r="E33" i="2"/>
  <c r="J33" i="2" s="1"/>
  <c r="F33" i="2"/>
  <c r="B35" i="2"/>
  <c r="D34" i="2"/>
  <c r="S33" i="12" l="1"/>
  <c r="U33" i="12"/>
  <c r="AB34" i="12"/>
  <c r="L34" i="12"/>
  <c r="J34" i="12"/>
  <c r="S34" i="12" s="1"/>
  <c r="B37" i="12"/>
  <c r="D36" i="12"/>
  <c r="R33" i="12"/>
  <c r="Q33" i="12"/>
  <c r="P33" i="12"/>
  <c r="F35" i="12"/>
  <c r="E35" i="12"/>
  <c r="R32" i="2"/>
  <c r="Q32" i="2"/>
  <c r="P32" i="2"/>
  <c r="U32" i="7" a="1"/>
  <c r="U32" i="7" s="1"/>
  <c r="U33" i="7" a="1"/>
  <c r="U33" i="7" s="1"/>
  <c r="AB33" i="2"/>
  <c r="Q33" i="2"/>
  <c r="R33" i="2"/>
  <c r="L33" i="2"/>
  <c r="E34" i="2"/>
  <c r="L34" i="2" s="1"/>
  <c r="F34" i="2"/>
  <c r="P33" i="2"/>
  <c r="B36" i="2"/>
  <c r="D35" i="2"/>
  <c r="D37" i="12" l="1"/>
  <c r="B38" i="12"/>
  <c r="R34" i="12"/>
  <c r="Q34" i="12"/>
  <c r="P34" i="12"/>
  <c r="L35" i="12"/>
  <c r="J35" i="12"/>
  <c r="AB35" i="12"/>
  <c r="F36" i="12"/>
  <c r="E36" i="12"/>
  <c r="AB34" i="2"/>
  <c r="E35" i="2"/>
  <c r="J35" i="2" s="1"/>
  <c r="F35" i="2"/>
  <c r="J34" i="2"/>
  <c r="B37" i="2"/>
  <c r="D36" i="2"/>
  <c r="S35" i="12" l="1"/>
  <c r="U35" i="12"/>
  <c r="L35" i="2"/>
  <c r="R35" i="12"/>
  <c r="Q35" i="12"/>
  <c r="P35" i="12"/>
  <c r="L36" i="12"/>
  <c r="J36" i="12"/>
  <c r="AB36" i="12"/>
  <c r="B39" i="12"/>
  <c r="D38" i="12"/>
  <c r="F37" i="12"/>
  <c r="E37" i="12"/>
  <c r="U35" i="7" a="1"/>
  <c r="U35" i="7" s="1"/>
  <c r="AB35" i="2"/>
  <c r="Q34" i="2"/>
  <c r="R34" i="2"/>
  <c r="R35" i="2"/>
  <c r="Q35" i="2"/>
  <c r="P35" i="2"/>
  <c r="E36" i="2"/>
  <c r="L36" i="2" s="1"/>
  <c r="F36" i="2"/>
  <c r="P34" i="2"/>
  <c r="B38" i="2"/>
  <c r="D37" i="2"/>
  <c r="S36" i="12" l="1"/>
  <c r="U36" i="12"/>
  <c r="J36" i="2"/>
  <c r="R36" i="12"/>
  <c r="Q36" i="12"/>
  <c r="P36" i="12"/>
  <c r="D39" i="12"/>
  <c r="B40" i="12"/>
  <c r="F38" i="12"/>
  <c r="E38" i="12"/>
  <c r="L37" i="12"/>
  <c r="J37" i="12"/>
  <c r="S37" i="12" s="1"/>
  <c r="AB37" i="12"/>
  <c r="AB36" i="2"/>
  <c r="E37" i="2"/>
  <c r="J37" i="2" s="1"/>
  <c r="F37" i="2"/>
  <c r="B39" i="2"/>
  <c r="D38" i="2"/>
  <c r="U36" i="7" l="1" a="1"/>
  <c r="U36" i="7" s="1"/>
  <c r="P36" i="2"/>
  <c r="Q36" i="2"/>
  <c r="R36" i="2"/>
  <c r="B41" i="12"/>
  <c r="D40" i="12"/>
  <c r="AB38" i="12"/>
  <c r="R37" i="12"/>
  <c r="Q37" i="12"/>
  <c r="P37" i="12"/>
  <c r="L38" i="12"/>
  <c r="J38" i="12"/>
  <c r="F39" i="12"/>
  <c r="E39" i="12"/>
  <c r="AB37" i="2"/>
  <c r="R37" i="2"/>
  <c r="Q37" i="2"/>
  <c r="L37" i="2"/>
  <c r="P37" i="2"/>
  <c r="E38" i="2"/>
  <c r="L38" i="2" s="1"/>
  <c r="F38" i="2"/>
  <c r="B40" i="2"/>
  <c r="D39" i="2"/>
  <c r="S38" i="12" l="1"/>
  <c r="U38" i="12"/>
  <c r="J38" i="2"/>
  <c r="L39" i="12"/>
  <c r="J39" i="12"/>
  <c r="S39" i="12" s="1"/>
  <c r="AB39" i="12"/>
  <c r="F40" i="12"/>
  <c r="E40" i="12"/>
  <c r="R38" i="12"/>
  <c r="Q38" i="12"/>
  <c r="P38" i="12"/>
  <c r="D41" i="12"/>
  <c r="B42" i="12"/>
  <c r="AB38" i="2"/>
  <c r="E39" i="2"/>
  <c r="L39" i="2" s="1"/>
  <c r="F39" i="2"/>
  <c r="B41" i="2"/>
  <c r="D40" i="2"/>
  <c r="U38" i="7" l="1" a="1"/>
  <c r="U38" i="7" s="1"/>
  <c r="J39" i="2"/>
  <c r="R39" i="2" s="1"/>
  <c r="R38" i="2"/>
  <c r="P38" i="2"/>
  <c r="Q38" i="2"/>
  <c r="L40" i="12"/>
  <c r="J40" i="12"/>
  <c r="S40" i="12" s="1"/>
  <c r="AB40" i="12"/>
  <c r="R39" i="12"/>
  <c r="Q39" i="12"/>
  <c r="P39" i="12"/>
  <c r="B43" i="12"/>
  <c r="D42" i="12"/>
  <c r="F41" i="12"/>
  <c r="E41" i="12"/>
  <c r="AB39" i="2"/>
  <c r="E40" i="2"/>
  <c r="L40" i="2" s="1"/>
  <c r="F40" i="2"/>
  <c r="B42" i="2"/>
  <c r="D41" i="2"/>
  <c r="V13" i="12" l="1"/>
  <c r="V14" i="12" s="1"/>
  <c r="V15" i="12" s="1"/>
  <c r="V16" i="12" s="1"/>
  <c r="J40" i="2"/>
  <c r="Q40" i="2" s="1"/>
  <c r="P39" i="2"/>
  <c r="Q39" i="2"/>
  <c r="AB41" i="12"/>
  <c r="L41" i="12"/>
  <c r="J41" i="12"/>
  <c r="S41" i="12" s="1"/>
  <c r="F42" i="12"/>
  <c r="E42" i="12"/>
  <c r="R40" i="12"/>
  <c r="Q40" i="12"/>
  <c r="P40" i="12"/>
  <c r="D43" i="12"/>
  <c r="AB40" i="2"/>
  <c r="E41" i="2"/>
  <c r="L41" i="2" s="1"/>
  <c r="F41" i="2"/>
  <c r="B43" i="2"/>
  <c r="D42" i="2"/>
  <c r="D43" i="2" l="1"/>
  <c r="V13" i="2"/>
  <c r="W13" i="2" s="1"/>
  <c r="P40" i="2"/>
  <c r="R40" i="2"/>
  <c r="J41" i="2"/>
  <c r="P41" i="2" s="1"/>
  <c r="L42" i="12"/>
  <c r="J42" i="12"/>
  <c r="AB42" i="12"/>
  <c r="R41" i="12"/>
  <c r="Q41" i="12"/>
  <c r="P41" i="12"/>
  <c r="F43" i="12"/>
  <c r="E43" i="12"/>
  <c r="M43" i="12" s="1"/>
  <c r="AB41" i="2"/>
  <c r="E42" i="2"/>
  <c r="L42" i="2" s="1"/>
  <c r="F42" i="2"/>
  <c r="E43" i="2"/>
  <c r="M43" i="2" s="1"/>
  <c r="F43" i="2"/>
  <c r="V14" i="2" l="1"/>
  <c r="V15" i="2" s="1"/>
  <c r="V16" i="2" s="1"/>
  <c r="X13" i="2"/>
  <c r="O14" i="2"/>
  <c r="AG13" i="2"/>
  <c r="S42" i="12"/>
  <c r="U42" i="12"/>
  <c r="R41" i="2"/>
  <c r="Q41" i="2"/>
  <c r="J43" i="2"/>
  <c r="L43" i="12"/>
  <c r="J43" i="12"/>
  <c r="AB43" i="12"/>
  <c r="R42" i="12"/>
  <c r="Q42" i="12"/>
  <c r="P42" i="12"/>
  <c r="U43" i="7" a="1"/>
  <c r="U43" i="7" s="1"/>
  <c r="J42" i="2"/>
  <c r="AB42" i="2"/>
  <c r="AB43" i="2"/>
  <c r="L43" i="2"/>
  <c r="U14" i="2" l="1"/>
  <c r="U14" i="7" a="1"/>
  <c r="U14" i="7" s="1"/>
  <c r="AE14" i="2"/>
  <c r="AE14" i="7"/>
  <c r="AH13" i="2"/>
  <c r="M14" i="2"/>
  <c r="S43" i="12"/>
  <c r="U43" i="12"/>
  <c r="P43" i="2"/>
  <c r="Q43" i="2"/>
  <c r="R43" i="2"/>
  <c r="R43" i="12"/>
  <c r="Q43" i="12"/>
  <c r="P43" i="12"/>
  <c r="Q42" i="2"/>
  <c r="U42" i="7" a="1"/>
  <c r="U42" i="7" s="1"/>
  <c r="R42" i="2"/>
  <c r="P42" i="2"/>
  <c r="W14" i="2" l="1"/>
  <c r="AG14" i="2" l="1"/>
  <c r="X14" i="2"/>
  <c r="O15" i="2"/>
  <c r="AH14" i="2" l="1"/>
  <c r="M15" i="2"/>
  <c r="AE15" i="7"/>
  <c r="AE15" i="2"/>
  <c r="U15" i="2"/>
  <c r="U15" i="7" a="1"/>
  <c r="U15" i="7" s="1"/>
  <c r="W15" i="2" l="1"/>
  <c r="S28" i="2"/>
  <c r="T28" i="2" s="1"/>
  <c r="S27" i="2"/>
  <c r="T27" i="2" s="1"/>
  <c r="S29" i="2"/>
  <c r="T29" i="2" s="1"/>
  <c r="S26" i="2"/>
  <c r="T26" i="2" s="1"/>
  <c r="AG15" i="2" l="1"/>
  <c r="X15" i="2"/>
  <c r="O16" i="2"/>
  <c r="AF26" i="2"/>
  <c r="M16" i="2" l="1"/>
  <c r="AH15" i="2"/>
  <c r="AE16" i="7"/>
  <c r="AE16" i="2"/>
  <c r="V17" i="2"/>
  <c r="V18" i="2" s="1"/>
  <c r="V19" i="2" s="1"/>
  <c r="U16" i="2"/>
  <c r="U16" i="7" a="1"/>
  <c r="U16" i="7" s="1"/>
  <c r="AF27" i="2"/>
  <c r="W16" i="2" l="1"/>
  <c r="AF28" i="2"/>
  <c r="AF29" i="2"/>
  <c r="AG16" i="2" l="1"/>
  <c r="X16" i="2"/>
  <c r="O17" i="2"/>
  <c r="U27" i="2"/>
  <c r="AH16" i="2" l="1"/>
  <c r="M17" i="2"/>
  <c r="AE17" i="7"/>
  <c r="AE17" i="2"/>
  <c r="U17" i="7" a="1"/>
  <c r="U17" i="7" s="1"/>
  <c r="U17" i="2"/>
  <c r="W17" i="2" l="1"/>
  <c r="AG17" i="2" l="1"/>
  <c r="X17" i="2"/>
  <c r="O18" i="2"/>
  <c r="U28" i="2"/>
  <c r="AH17" i="2" l="1"/>
  <c r="M18" i="2"/>
  <c r="AE18" i="2"/>
  <c r="AE18" i="7"/>
  <c r="U18" i="7" a="1"/>
  <c r="U18" i="7" s="1"/>
  <c r="U18" i="2"/>
  <c r="U29" i="2"/>
  <c r="W18" i="2" l="1"/>
  <c r="S30" i="2"/>
  <c r="T30" i="2" s="1"/>
  <c r="S31" i="2"/>
  <c r="T31" i="2" s="1"/>
  <c r="S33" i="2"/>
  <c r="T33" i="2" s="1"/>
  <c r="S32" i="2"/>
  <c r="T32" i="2" s="1"/>
  <c r="AG18" i="2" l="1"/>
  <c r="X18" i="2"/>
  <c r="O19" i="2"/>
  <c r="AF32" i="2"/>
  <c r="AF31" i="2"/>
  <c r="AF30" i="2"/>
  <c r="AF33" i="2"/>
  <c r="AH18" i="2" l="1"/>
  <c r="M19" i="2"/>
  <c r="AE19" i="7"/>
  <c r="AE19" i="2"/>
  <c r="V20" i="2"/>
  <c r="V21" i="2" s="1"/>
  <c r="U19" i="2"/>
  <c r="U19" i="7" a="1"/>
  <c r="U19" i="7" s="1"/>
  <c r="U31" i="2"/>
  <c r="W19" i="2" l="1"/>
  <c r="U32" i="2"/>
  <c r="AG19" i="2" l="1"/>
  <c r="X19" i="2"/>
  <c r="O20" i="2"/>
  <c r="U33" i="2"/>
  <c r="M20" i="2" l="1"/>
  <c r="AH19" i="2"/>
  <c r="AE20" i="7"/>
  <c r="AE20" i="2"/>
  <c r="U20" i="2"/>
  <c r="U20" i="7" a="1"/>
  <c r="U20" i="7" s="1"/>
  <c r="S34" i="2"/>
  <c r="T34" i="2" s="1"/>
  <c r="S35" i="2"/>
  <c r="T35" i="2" s="1"/>
  <c r="S36" i="2"/>
  <c r="T36" i="2" s="1"/>
  <c r="W20" i="2" l="1"/>
  <c r="AF36" i="2"/>
  <c r="AF35" i="2"/>
  <c r="AF34" i="2"/>
  <c r="X20" i="2" l="1"/>
  <c r="AG20" i="2"/>
  <c r="O21" i="2"/>
  <c r="U35" i="2"/>
  <c r="AE21" i="2" l="1"/>
  <c r="AE21" i="7"/>
  <c r="U21" i="7" a="1"/>
  <c r="U21" i="7" s="1"/>
  <c r="U21" i="2"/>
  <c r="AH20" i="2"/>
  <c r="M21" i="2"/>
  <c r="U36" i="2"/>
  <c r="W21" i="2" l="1"/>
  <c r="S37" i="2"/>
  <c r="T37" i="2" s="1"/>
  <c r="S38" i="2"/>
  <c r="T38" i="2" s="1"/>
  <c r="X21" i="2" l="1"/>
  <c r="AG21" i="2"/>
  <c r="O22" i="2"/>
  <c r="AF38" i="2"/>
  <c r="AF37" i="2"/>
  <c r="AE22" i="2" l="1"/>
  <c r="AE22" i="7"/>
  <c r="AH21" i="2"/>
  <c r="M22" i="2"/>
  <c r="N22" i="2" s="1"/>
  <c r="U38" i="2"/>
  <c r="S25" i="2" l="1"/>
  <c r="T25" i="2" s="1"/>
  <c r="AF25" i="2" s="1"/>
  <c r="S22" i="2"/>
  <c r="T22" i="2" s="1"/>
  <c r="S24" i="2"/>
  <c r="T24" i="2" s="1"/>
  <c r="AF24" i="2" s="1"/>
  <c r="S23" i="2"/>
  <c r="T23" i="2" s="1"/>
  <c r="AF23" i="2" s="1"/>
  <c r="V22" i="2"/>
  <c r="V23" i="2" s="1"/>
  <c r="S39" i="2"/>
  <c r="T39" i="2" s="1"/>
  <c r="AF22" i="2" l="1"/>
  <c r="U22" i="2"/>
  <c r="U22" i="7" a="1"/>
  <c r="U22" i="7" s="1"/>
  <c r="AF39" i="2"/>
  <c r="W22" i="2" l="1"/>
  <c r="S40" i="2"/>
  <c r="T40" i="2" s="1"/>
  <c r="X22" i="2" l="1"/>
  <c r="AG22" i="2"/>
  <c r="O23" i="2"/>
  <c r="AF40" i="2"/>
  <c r="AE23" i="2" l="1"/>
  <c r="AE23" i="7"/>
  <c r="V24" i="2"/>
  <c r="V25" i="2" s="1"/>
  <c r="U23" i="2"/>
  <c r="U23" i="7" a="1"/>
  <c r="U23" i="7" s="1"/>
  <c r="AH22" i="2"/>
  <c r="M23" i="2"/>
  <c r="S42" i="2"/>
  <c r="T42" i="2" s="1"/>
  <c r="S41" i="2"/>
  <c r="T41" i="2" s="1"/>
  <c r="S43" i="2"/>
  <c r="T43" i="2" s="1"/>
  <c r="W23" i="2" l="1"/>
  <c r="AF43" i="2"/>
  <c r="AF42" i="2"/>
  <c r="AF41" i="2"/>
  <c r="AG23" i="2" l="1"/>
  <c r="X23" i="2"/>
  <c r="O24" i="2"/>
  <c r="U42" i="2"/>
  <c r="AE24" i="2" l="1"/>
  <c r="AE24" i="7"/>
  <c r="U24" i="7" a="1"/>
  <c r="U24" i="7" s="1"/>
  <c r="U24" i="2"/>
  <c r="M24" i="2"/>
  <c r="AH23" i="2"/>
  <c r="Y42" i="2"/>
  <c r="W24" i="2" l="1"/>
  <c r="AI42" i="2"/>
  <c r="U43" i="2"/>
  <c r="X24" i="2" l="1"/>
  <c r="AG24" i="2"/>
  <c r="O25" i="2"/>
  <c r="AE25" i="7" l="1"/>
  <c r="AE25" i="2"/>
  <c r="U25" i="7" a="1"/>
  <c r="U25" i="7" s="1"/>
  <c r="U25" i="2"/>
  <c r="W25" i="2" s="1"/>
  <c r="AH24" i="2"/>
  <c r="M25" i="2"/>
  <c r="O26" i="2" l="1"/>
  <c r="X25" i="2"/>
  <c r="AG25" i="2"/>
  <c r="M26" i="2" l="1"/>
  <c r="N26" i="2" s="1"/>
  <c r="AH25" i="2"/>
  <c r="AE26" i="7"/>
  <c r="AE26" i="2"/>
  <c r="U26" i="2" l="1"/>
  <c r="U26" i="7" a="1"/>
  <c r="U26" i="7" s="1"/>
  <c r="V26" i="2"/>
  <c r="W26" i="2" l="1"/>
  <c r="X26" i="2" l="1"/>
  <c r="AG26" i="2"/>
  <c r="V27" i="2"/>
  <c r="W27" i="2" s="1"/>
  <c r="O27" i="2"/>
  <c r="O28" i="2" l="1"/>
  <c r="AE27" i="7"/>
  <c r="AE27" i="2"/>
  <c r="V28" i="2"/>
  <c r="W28" i="2" s="1"/>
  <c r="V29" i="2" s="1"/>
  <c r="W29" i="2" s="1"/>
  <c r="AG27" i="2"/>
  <c r="X27" i="2"/>
  <c r="AH26" i="2"/>
  <c r="M27" i="2"/>
  <c r="M28" i="2" l="1"/>
  <c r="AH27" i="2"/>
  <c r="AG28" i="2"/>
  <c r="X28" i="2"/>
  <c r="AG29" i="2"/>
  <c r="X29" i="2"/>
  <c r="AE28" i="7"/>
  <c r="AE28" i="2"/>
  <c r="O29" i="2"/>
  <c r="AE29" i="7" l="1"/>
  <c r="AE29" i="2"/>
  <c r="AH29" i="2"/>
  <c r="M30" i="2"/>
  <c r="N30" i="2" s="1"/>
  <c r="O30" i="2"/>
  <c r="M29" i="2"/>
  <c r="AH28" i="2"/>
  <c r="AE30" i="2" l="1"/>
  <c r="AE30" i="7"/>
  <c r="U30" i="2"/>
  <c r="U30" i="7" a="1"/>
  <c r="U30" i="7" s="1"/>
  <c r="V30" i="2"/>
  <c r="W30" i="2" l="1"/>
  <c r="X30" i="2" l="1"/>
  <c r="AG30" i="2"/>
  <c r="V31" i="2"/>
  <c r="W31" i="2" s="1"/>
  <c r="O31" i="2"/>
  <c r="V32" i="2" l="1"/>
  <c r="W32" i="2" s="1"/>
  <c r="X31" i="2"/>
  <c r="AG31" i="2"/>
  <c r="AE31" i="2"/>
  <c r="AE31" i="7"/>
  <c r="O32" i="2"/>
  <c r="AH30" i="2"/>
  <c r="M31" i="2"/>
  <c r="V33" i="2" l="1"/>
  <c r="W33" i="2" s="1"/>
  <c r="X33" i="2" s="1"/>
  <c r="AE32" i="7"/>
  <c r="AE32" i="2"/>
  <c r="O33" i="2"/>
  <c r="M32" i="2"/>
  <c r="AH31" i="2"/>
  <c r="X32" i="2"/>
  <c r="AG32" i="2"/>
  <c r="AG33" i="2" l="1"/>
  <c r="M33" i="2"/>
  <c r="AH32" i="2"/>
  <c r="AE33" i="2"/>
  <c r="AE33" i="7"/>
  <c r="O34" i="2"/>
  <c r="AH33" i="2"/>
  <c r="M34" i="2"/>
  <c r="N34" i="2" s="1"/>
  <c r="AE34" i="7" l="1"/>
  <c r="AE34" i="2"/>
  <c r="U34" i="2"/>
  <c r="U34" i="7" a="1"/>
  <c r="U34" i="7" s="1"/>
  <c r="V34" i="2"/>
  <c r="W34" i="2" l="1"/>
  <c r="O35" i="2" l="1"/>
  <c r="V35" i="2"/>
  <c r="W35" i="2" s="1"/>
  <c r="X34" i="2"/>
  <c r="AG34" i="2"/>
  <c r="M35" i="2" l="1"/>
  <c r="AH34" i="2"/>
  <c r="X35" i="2"/>
  <c r="AG35" i="2"/>
  <c r="O36" i="2"/>
  <c r="AE35" i="7"/>
  <c r="AE35" i="2"/>
  <c r="V36" i="2"/>
  <c r="W36" i="2" s="1"/>
  <c r="O37" i="2" l="1"/>
  <c r="AE36" i="2"/>
  <c r="AE36" i="7"/>
  <c r="M36" i="2"/>
  <c r="AH35" i="2"/>
  <c r="X36" i="2"/>
  <c r="AG36" i="2"/>
  <c r="M37" i="2" l="1"/>
  <c r="N37" i="2" s="1"/>
  <c r="AH36" i="2"/>
  <c r="AE37" i="2"/>
  <c r="AE37" i="7"/>
  <c r="V37" i="2" l="1"/>
  <c r="U37" i="2"/>
  <c r="U37" i="7" a="1"/>
  <c r="U37" i="7" s="1"/>
  <c r="W37" i="2" l="1"/>
  <c r="X37" i="2" l="1"/>
  <c r="AG37" i="2"/>
  <c r="V38" i="2"/>
  <c r="W38" i="2" s="1"/>
  <c r="O38" i="2"/>
  <c r="O39" i="2" l="1"/>
  <c r="AE38" i="2"/>
  <c r="AE38" i="7"/>
  <c r="AG38" i="2"/>
  <c r="X38" i="2"/>
  <c r="M38" i="2"/>
  <c r="AH37" i="2"/>
  <c r="M39" i="2" l="1"/>
  <c r="N39" i="2" s="1"/>
  <c r="V39" i="2" s="1"/>
  <c r="AH38" i="2"/>
  <c r="AE39" i="2"/>
  <c r="AE39" i="7"/>
  <c r="U39" i="7" l="1" a="1"/>
  <c r="U39" i="7" s="1"/>
  <c r="U39" i="2"/>
  <c r="W39" i="2" s="1"/>
  <c r="X39" i="2" l="1"/>
  <c r="AG39" i="2"/>
  <c r="O40" i="2"/>
  <c r="AE40" i="2" l="1"/>
  <c r="AE40" i="7"/>
  <c r="AH39" i="2"/>
  <c r="M40" i="2"/>
  <c r="N40" i="2" l="1"/>
  <c r="U40" i="7" l="1" a="1"/>
  <c r="U40" i="7" s="1"/>
  <c r="U40" i="2"/>
  <c r="V40" i="2"/>
  <c r="W40" i="2" l="1"/>
  <c r="AG40" i="2" l="1"/>
  <c r="X40" i="2"/>
  <c r="O41" i="2"/>
  <c r="AE41" i="2" l="1"/>
  <c r="AE41" i="7"/>
  <c r="M41" i="2"/>
  <c r="AH40" i="2"/>
  <c r="N41" i="2" l="1"/>
  <c r="U41" i="7" l="1" a="1"/>
  <c r="U41" i="7" s="1"/>
  <c r="U41" i="2"/>
  <c r="V41" i="2"/>
  <c r="W41" i="2" l="1"/>
  <c r="AG41" i="2" l="1"/>
  <c r="X41" i="2"/>
  <c r="V42" i="2"/>
  <c r="W42" i="2" s="1"/>
  <c r="AG42" i="2" s="1"/>
  <c r="O42" i="2"/>
  <c r="M42" i="2" l="1"/>
  <c r="AH41" i="2"/>
  <c r="O43" i="2"/>
  <c r="AE42" i="2"/>
  <c r="AE42" i="7"/>
  <c r="V43" i="2"/>
  <c r="W43" i="2" s="1"/>
  <c r="AG43" i="2" l="1"/>
  <c r="Y43" i="2"/>
  <c r="AI43" i="2" s="1"/>
  <c r="A10" i="2" s="1"/>
  <c r="AE43" i="7"/>
  <c r="AE43" i="2"/>
  <c r="W20" i="7" l="1" a="1"/>
  <c r="W20" i="7" s="1"/>
  <c r="W19" i="7" a="1"/>
  <c r="W19" i="7" s="1"/>
  <c r="W18" i="7" a="1"/>
  <c r="W18" i="7" s="1"/>
  <c r="X18" i="7" s="1" a="1"/>
  <c r="X18" i="7" s="1"/>
  <c r="W17" i="7" a="1"/>
  <c r="W17" i="7" s="1"/>
  <c r="W16" i="7" a="1"/>
  <c r="W16" i="7" s="1"/>
  <c r="W15" i="7" a="1"/>
  <c r="W15" i="7" s="1"/>
  <c r="X15" i="7" s="1" a="1"/>
  <c r="X15" i="7" s="1"/>
  <c r="W14" i="7" a="1"/>
  <c r="W14" i="7" s="1"/>
  <c r="W13" i="7" a="1"/>
  <c r="W13" i="7" s="1"/>
  <c r="X13" i="7" s="1" a="1"/>
  <c r="X13" i="7" s="1"/>
  <c r="W21" i="7" a="1"/>
  <c r="W21" i="7" s="1"/>
  <c r="AG14" i="7" l="1"/>
  <c r="X14" i="7" a="1"/>
  <c r="X14" i="7" s="1"/>
  <c r="AH14" i="7" s="1"/>
  <c r="AG17" i="7"/>
  <c r="X17" i="7" a="1"/>
  <c r="X17" i="7" s="1"/>
  <c r="M18" i="7" s="1" a="1"/>
  <c r="M18" i="7" s="1"/>
  <c r="AG20" i="7"/>
  <c r="X20" i="7" a="1"/>
  <c r="X20" i="7" s="1"/>
  <c r="M21" i="7" s="1" a="1"/>
  <c r="M21" i="7" s="1"/>
  <c r="M19" i="7" a="1"/>
  <c r="M19" i="7" s="1"/>
  <c r="AH18" i="7"/>
  <c r="AH13" i="7"/>
  <c r="M14" i="7" a="1"/>
  <c r="M14" i="7" s="1"/>
  <c r="AG21" i="7"/>
  <c r="X21" i="7" a="1"/>
  <c r="X21" i="7" s="1"/>
  <c r="AG19" i="7"/>
  <c r="X19" i="7" a="1"/>
  <c r="X19" i="7" s="1"/>
  <c r="M16" i="7" a="1"/>
  <c r="M16" i="7" s="1"/>
  <c r="AH15" i="7"/>
  <c r="X16" i="7" a="1"/>
  <c r="X16" i="7" s="1"/>
  <c r="AG16" i="7"/>
  <c r="O14" i="7" a="1"/>
  <c r="O14" i="7" s="1"/>
  <c r="O15" i="7" s="1" a="1"/>
  <c r="O15" i="7" s="1"/>
  <c r="O16" i="7" s="1" a="1"/>
  <c r="O16" i="7" s="1"/>
  <c r="O17" i="7" s="1" a="1"/>
  <c r="O17" i="7" s="1"/>
  <c r="O18" i="7" s="1" a="1"/>
  <c r="O18" i="7" s="1"/>
  <c r="O19" i="7" s="1" a="1"/>
  <c r="O19" i="7" s="1"/>
  <c r="O20" i="7" s="1" a="1"/>
  <c r="O20" i="7" s="1"/>
  <c r="O21" i="7" s="1" a="1"/>
  <c r="O21" i="7" s="1"/>
  <c r="O22" i="7" s="1" a="1"/>
  <c r="O22" i="7" s="1"/>
  <c r="AG13" i="7"/>
  <c r="AG15" i="7"/>
  <c r="AG18" i="7"/>
  <c r="M15" i="7" l="1" a="1"/>
  <c r="M15" i="7" s="1"/>
  <c r="AH20" i="7"/>
  <c r="AH17" i="7"/>
  <c r="M22" i="7" a="1"/>
  <c r="M22" i="7" s="1"/>
  <c r="N22" i="7" s="1" a="1"/>
  <c r="N22" i="7" s="1"/>
  <c r="AH21" i="7"/>
  <c r="AH19" i="7"/>
  <c r="M20" i="7" a="1"/>
  <c r="M20" i="7" s="1"/>
  <c r="AH16" i="7"/>
  <c r="M17" i="7" a="1"/>
  <c r="M17" i="7" s="1"/>
  <c r="V22" i="7" l="1" a="1"/>
  <c r="V22" i="7" s="1"/>
  <c r="W22" i="7" l="1" a="1"/>
  <c r="W22" i="7" s="1"/>
  <c r="V23" i="7" a="1"/>
  <c r="V23" i="7" s="1"/>
  <c r="V24" i="7" l="1" a="1"/>
  <c r="V24" i="7" s="1"/>
  <c r="W23" i="7" a="1"/>
  <c r="W23" i="7" s="1"/>
  <c r="X22" i="7" a="1"/>
  <c r="X22" i="7" s="1"/>
  <c r="AG22" i="7"/>
  <c r="O23" i="7" a="1"/>
  <c r="O23" i="7" s="1"/>
  <c r="O24" i="7" l="1" a="1"/>
  <c r="O24" i="7" s="1"/>
  <c r="M23" i="7" a="1"/>
  <c r="M23" i="7" s="1"/>
  <c r="AH22" i="7"/>
  <c r="AG23" i="7"/>
  <c r="X23" i="7" a="1"/>
  <c r="X23" i="7" s="1"/>
  <c r="V25" i="7" a="1"/>
  <c r="V25" i="7" s="1"/>
  <c r="W25" i="7" s="1" a="1"/>
  <c r="W25" i="7" s="1"/>
  <c r="W24" i="7" a="1"/>
  <c r="W24" i="7" s="1"/>
  <c r="X24" i="7" l="1" a="1"/>
  <c r="X24" i="7" s="1"/>
  <c r="AG24" i="7"/>
  <c r="X25" i="7" a="1"/>
  <c r="X25" i="7" s="1"/>
  <c r="AG25" i="7"/>
  <c r="M24" i="7" a="1"/>
  <c r="M24" i="7" s="1"/>
  <c r="AH23" i="7"/>
  <c r="O25" i="7" a="1"/>
  <c r="O25" i="7" s="1"/>
  <c r="O26" i="7" l="1" a="1"/>
  <c r="O26" i="7" s="1"/>
  <c r="AH25" i="7"/>
  <c r="M26" i="7" a="1"/>
  <c r="M26" i="7" s="1"/>
  <c r="N26" i="7" s="1" a="1"/>
  <c r="N26" i="7" s="1"/>
  <c r="AH24" i="7"/>
  <c r="M25" i="7" a="1"/>
  <c r="M25" i="7" s="1"/>
  <c r="V26" i="7" l="1" a="1"/>
  <c r="V26" i="7" s="1"/>
  <c r="W26" i="7" s="1" a="1"/>
  <c r="W26" i="7" s="1"/>
  <c r="O27" i="7" s="1" a="1"/>
  <c r="O27" i="7" s="1"/>
  <c r="V27" i="7" l="1" a="1"/>
  <c r="V27" i="7" s="1"/>
  <c r="W27" i="7" s="1" a="1"/>
  <c r="W27" i="7" s="1"/>
  <c r="AG26" i="7"/>
  <c r="X26" i="7" a="1"/>
  <c r="X26" i="7" s="1"/>
  <c r="M27" i="7" l="1" a="1"/>
  <c r="M27" i="7" s="1"/>
  <c r="AH26" i="7"/>
  <c r="AG27" i="7"/>
  <c r="X27" i="7" a="1"/>
  <c r="X27" i="7" s="1"/>
  <c r="V28" i="7" a="1"/>
  <c r="V28" i="7" s="1"/>
  <c r="W28" i="7" s="1" a="1"/>
  <c r="W28" i="7" s="1"/>
  <c r="O28" i="7" a="1"/>
  <c r="O28" i="7" s="1"/>
  <c r="V29" i="7" l="1" a="1"/>
  <c r="V29" i="7" s="1"/>
  <c r="W29" i="7" s="1" a="1"/>
  <c r="W29" i="7" s="1"/>
  <c r="AG28" i="7"/>
  <c r="X28" i="7" a="1"/>
  <c r="X28" i="7" s="1"/>
  <c r="O29" i="7" a="1"/>
  <c r="O29" i="7" s="1"/>
  <c r="AH27" i="7"/>
  <c r="M28" i="7" a="1"/>
  <c r="M28" i="7" s="1"/>
  <c r="O30" i="7" l="1" a="1"/>
  <c r="O30" i="7" s="1"/>
  <c r="M29" i="7" a="1"/>
  <c r="M29" i="7" s="1"/>
  <c r="AH28" i="7"/>
  <c r="AG29" i="7"/>
  <c r="X29" i="7" a="1"/>
  <c r="X29" i="7" s="1"/>
  <c r="M30" i="7" l="1" a="1"/>
  <c r="M30" i="7" s="1"/>
  <c r="N30" i="7" s="1" a="1"/>
  <c r="N30" i="7" s="1"/>
  <c r="AH29" i="7"/>
  <c r="V30" i="7" l="1" a="1"/>
  <c r="V30" i="7" s="1"/>
  <c r="W30" i="7" s="1" a="1"/>
  <c r="W30" i="7" s="1"/>
  <c r="X30" i="7" l="1" a="1"/>
  <c r="X30" i="7" s="1"/>
  <c r="AG30" i="7"/>
  <c r="V31" i="7" a="1"/>
  <c r="V31" i="7" s="1"/>
  <c r="W31" i="7" s="1" a="1"/>
  <c r="W31" i="7" s="1"/>
  <c r="O31" i="7" a="1"/>
  <c r="O31" i="7" s="1"/>
  <c r="O32" i="7" l="1" a="1"/>
  <c r="O32" i="7" s="1"/>
  <c r="V32" i="7" a="1"/>
  <c r="V32" i="7" s="1"/>
  <c r="W32" i="7" s="1" a="1"/>
  <c r="W32" i="7" s="1"/>
  <c r="AG31" i="7"/>
  <c r="X31" i="7" a="1"/>
  <c r="X31" i="7" s="1"/>
  <c r="AH30" i="7"/>
  <c r="M31" i="7" a="1"/>
  <c r="M31" i="7" s="1"/>
  <c r="V33" i="7" l="1" a="1"/>
  <c r="V33" i="7" s="1"/>
  <c r="W33" i="7" s="1" a="1"/>
  <c r="W33" i="7" s="1"/>
  <c r="AG33" i="7" s="1"/>
  <c r="AH31" i="7"/>
  <c r="M32" i="7" a="1"/>
  <c r="M32" i="7" s="1"/>
  <c r="X32" i="7" a="1"/>
  <c r="X32" i="7" s="1"/>
  <c r="AG32" i="7"/>
  <c r="O33" i="7" a="1"/>
  <c r="O33" i="7" s="1"/>
  <c r="X33" i="7" l="1" a="1"/>
  <c r="X33" i="7" s="1"/>
  <c r="M34" i="7" s="1" a="1"/>
  <c r="M34" i="7" s="1"/>
  <c r="N34" i="7" s="1" a="1"/>
  <c r="N34" i="7" s="1"/>
  <c r="O34" i="7" a="1"/>
  <c r="O34" i="7" s="1"/>
  <c r="M33" i="7" a="1"/>
  <c r="M33" i="7" s="1"/>
  <c r="AH32" i="7"/>
  <c r="AH33" i="7" l="1"/>
  <c r="V34" i="7" a="1"/>
  <c r="V34" i="7" s="1"/>
  <c r="W34" i="7" s="1" a="1"/>
  <c r="W34" i="7" s="1"/>
  <c r="O35" i="7" s="1" a="1"/>
  <c r="O35" i="7" s="1"/>
  <c r="X34" i="7" l="1" a="1"/>
  <c r="X34" i="7" s="1"/>
  <c r="AG34" i="7"/>
  <c r="V35" i="7" a="1"/>
  <c r="V35" i="7" s="1"/>
  <c r="W35" i="7" s="1" a="1"/>
  <c r="W35" i="7" s="1"/>
  <c r="AG35" i="7" l="1"/>
  <c r="X35" i="7" a="1"/>
  <c r="X35" i="7" s="1"/>
  <c r="M35" i="7" a="1"/>
  <c r="M35" i="7" s="1"/>
  <c r="AH34" i="7"/>
  <c r="V36" i="7" a="1"/>
  <c r="V36" i="7" s="1"/>
  <c r="W36" i="7" s="1" a="1"/>
  <c r="W36" i="7" s="1"/>
  <c r="O36" i="7" a="1"/>
  <c r="O36" i="7" s="1"/>
  <c r="X36" i="7" l="1" a="1"/>
  <c r="X36" i="7" s="1"/>
  <c r="AG36" i="7"/>
  <c r="O37" i="7" a="1"/>
  <c r="O37" i="7" s="1"/>
  <c r="AH35" i="7"/>
  <c r="M36" i="7" a="1"/>
  <c r="M36" i="7" s="1"/>
  <c r="M37" i="7" l="1" a="1"/>
  <c r="M37" i="7" s="1"/>
  <c r="N37" i="7" s="1" a="1"/>
  <c r="N37" i="7" s="1"/>
  <c r="AH36" i="7"/>
  <c r="V37" i="7" l="1" a="1"/>
  <c r="V37" i="7" s="1"/>
  <c r="W37" i="7" s="1" a="1"/>
  <c r="W37" i="7" s="1"/>
  <c r="X37" i="7" l="1" a="1"/>
  <c r="X37" i="7" s="1"/>
  <c r="AG37" i="7"/>
  <c r="V38" i="7" a="1"/>
  <c r="V38" i="7" s="1"/>
  <c r="W38" i="7" s="1" a="1"/>
  <c r="W38" i="7" s="1"/>
  <c r="O38" i="7" a="1"/>
  <c r="O38" i="7" s="1"/>
  <c r="X38" i="7" l="1" a="1"/>
  <c r="X38" i="7" s="1"/>
  <c r="AG38" i="7"/>
  <c r="O39" i="7" a="1"/>
  <c r="O39" i="7" s="1"/>
  <c r="V39" i="7" a="1"/>
  <c r="V39" i="7" s="1"/>
  <c r="W39" i="7" s="1" a="1"/>
  <c r="W39" i="7" s="1"/>
  <c r="M38" i="7" a="1"/>
  <c r="M38" i="7" s="1"/>
  <c r="AH37" i="7"/>
  <c r="AG39" i="7" l="1"/>
  <c r="X39" i="7" a="1"/>
  <c r="X39" i="7" s="1"/>
  <c r="V40" i="7" a="1"/>
  <c r="V40" i="7" s="1"/>
  <c r="W40" i="7" s="1" a="1"/>
  <c r="W40" i="7" s="1"/>
  <c r="O40" i="7" a="1"/>
  <c r="O40" i="7" s="1"/>
  <c r="M39" i="7" a="1"/>
  <c r="M39" i="7" s="1"/>
  <c r="N39" i="7" s="1" a="1"/>
  <c r="N39" i="7" s="1"/>
  <c r="AH38" i="7"/>
  <c r="O41" i="7" l="1" a="1"/>
  <c r="O41" i="7" s="1"/>
  <c r="V41" i="7" a="1"/>
  <c r="V41" i="7" s="1"/>
  <c r="W41" i="7" s="1" a="1"/>
  <c r="W41" i="7" s="1"/>
  <c r="AG40" i="7"/>
  <c r="X40" i="7" a="1"/>
  <c r="X40" i="7" s="1"/>
  <c r="M40" i="7" a="1"/>
  <c r="M40" i="7" s="1"/>
  <c r="N40" i="7" s="1" a="1"/>
  <c r="N40" i="7" s="1"/>
  <c r="AH39" i="7"/>
  <c r="AH40" i="7" l="1"/>
  <c r="M41" i="7" a="1"/>
  <c r="M41" i="7" s="1"/>
  <c r="N41" i="7" s="1" a="1"/>
  <c r="N41" i="7" s="1"/>
  <c r="S12" i="7" s="1" a="1"/>
  <c r="AG41" i="7"/>
  <c r="X41" i="7" a="1"/>
  <c r="X41" i="7" s="1"/>
  <c r="V42" i="7" a="1"/>
  <c r="V42" i="7" s="1"/>
  <c r="W42" i="7" s="1" a="1"/>
  <c r="W42" i="7" s="1"/>
  <c r="AG42" i="7" s="1"/>
  <c r="O42" i="7" a="1"/>
  <c r="O42" i="7" s="1"/>
  <c r="O43" i="7" l="1" a="1"/>
  <c r="O43" i="7" s="1"/>
  <c r="V43" i="7" a="1"/>
  <c r="V43" i="7" s="1"/>
  <c r="W43" i="7" s="1" a="1"/>
  <c r="W43" i="7" s="1"/>
  <c r="AH41" i="7"/>
  <c r="M42" i="7" a="1"/>
  <c r="M42" i="7" s="1"/>
  <c r="T30" i="7" a="1"/>
  <c r="T30" i="7" s="1"/>
  <c r="AF30" i="7" s="1"/>
  <c r="T15" i="7" a="1"/>
  <c r="T15" i="7" s="1"/>
  <c r="AF15" i="7" s="1"/>
  <c r="T25" i="7" a="1"/>
  <c r="T25" i="7" s="1"/>
  <c r="AF25" i="7" s="1"/>
  <c r="T43" i="7" a="1"/>
  <c r="T43" i="7" s="1"/>
  <c r="AF43" i="7" s="1"/>
  <c r="T17" i="7" a="1"/>
  <c r="T17" i="7" s="1"/>
  <c r="AF17" i="7" s="1"/>
  <c r="T37" i="7" a="1"/>
  <c r="T37" i="7" s="1"/>
  <c r="AF37" i="7" s="1"/>
  <c r="T33" i="7" a="1"/>
  <c r="T33" i="7" s="1"/>
  <c r="AF33" i="7" s="1"/>
  <c r="S12" i="7"/>
  <c r="T12" i="7" s="1" a="1"/>
  <c r="T12" i="7" s="1"/>
  <c r="AF12" i="7" s="1"/>
  <c r="T18" i="7" a="1"/>
  <c r="T18" i="7" s="1"/>
  <c r="AF18" i="7" s="1"/>
  <c r="T23" i="7" a="1"/>
  <c r="T23" i="7" s="1"/>
  <c r="AF23" i="7" s="1"/>
  <c r="T20" i="7" a="1"/>
  <c r="T20" i="7" s="1"/>
  <c r="AF20" i="7" s="1"/>
  <c r="T36" i="7" a="1"/>
  <c r="T36" i="7" s="1"/>
  <c r="AF36" i="7" s="1"/>
  <c r="T40" i="7" a="1"/>
  <c r="T40" i="7" s="1"/>
  <c r="AF40" i="7" s="1"/>
  <c r="T29" i="7" a="1"/>
  <c r="T29" i="7" s="1"/>
  <c r="AF29" i="7" s="1"/>
  <c r="T39" i="7" a="1"/>
  <c r="T39" i="7" s="1"/>
  <c r="AF39" i="7" s="1"/>
  <c r="T13" i="7" a="1"/>
  <c r="T13" i="7" s="1"/>
  <c r="AF13" i="7" s="1"/>
  <c r="T24" i="7" a="1"/>
  <c r="T24" i="7" s="1"/>
  <c r="AF24" i="7" s="1"/>
  <c r="T34" i="7" a="1"/>
  <c r="T34" i="7" s="1"/>
  <c r="AF34" i="7" s="1"/>
  <c r="T21" i="7" a="1"/>
  <c r="T21" i="7" s="1"/>
  <c r="AF21" i="7" s="1"/>
  <c r="T42" i="7" a="1"/>
  <c r="T42" i="7" s="1"/>
  <c r="AF42" i="7" s="1"/>
  <c r="T19" i="7" a="1"/>
  <c r="T19" i="7" s="1"/>
  <c r="AF19" i="7" s="1"/>
  <c r="T32" i="7" a="1"/>
  <c r="T32" i="7" s="1"/>
  <c r="AF32" i="7" s="1"/>
  <c r="T27" i="7" a="1"/>
  <c r="T27" i="7" s="1"/>
  <c r="AF27" i="7" s="1"/>
  <c r="T28" i="7" a="1"/>
  <c r="T28" i="7" s="1"/>
  <c r="AF28" i="7" s="1"/>
  <c r="T31" i="7" a="1"/>
  <c r="T31" i="7" s="1"/>
  <c r="AF31" i="7" s="1"/>
  <c r="T16" i="7" a="1"/>
  <c r="T16" i="7" s="1"/>
  <c r="AF16" i="7" s="1"/>
  <c r="T26" i="7" a="1"/>
  <c r="T26" i="7" s="1"/>
  <c r="AF26" i="7" s="1"/>
  <c r="T14" i="7" a="1"/>
  <c r="T14" i="7" s="1"/>
  <c r="AF14" i="7" s="1"/>
  <c r="T35" i="7" a="1"/>
  <c r="T35" i="7" s="1"/>
  <c r="AF35" i="7" s="1"/>
  <c r="T22" i="7" a="1"/>
  <c r="T22" i="7" s="1"/>
  <c r="AF22" i="7" s="1"/>
  <c r="T41" i="7" a="1"/>
  <c r="T41" i="7" s="1"/>
  <c r="AF41" i="7" s="1"/>
  <c r="T38" i="7" a="1"/>
  <c r="T38" i="7" s="1"/>
  <c r="AF38" i="7" s="1"/>
  <c r="AG43" i="7" l="1"/>
  <c r="Y43" i="7" a="1"/>
  <c r="Y43" i="7" s="1"/>
  <c r="AI43" i="7" s="1"/>
  <c r="T43" i="12" l="1"/>
  <c r="AF43" i="12" s="1"/>
  <c r="T42" i="12"/>
  <c r="AF42" i="12" s="1"/>
  <c r="T41" i="12"/>
  <c r="AF41" i="12" s="1"/>
  <c r="T40" i="12"/>
  <c r="AF40" i="12" s="1"/>
  <c r="T39" i="12"/>
  <c r="AF39" i="12" s="1"/>
  <c r="T38" i="12"/>
  <c r="AF38" i="12" s="1"/>
  <c r="T37" i="12"/>
  <c r="AF37" i="12" s="1"/>
  <c r="T36" i="12"/>
  <c r="AF36" i="12" s="1"/>
  <c r="T35" i="12"/>
  <c r="AF35" i="12" s="1"/>
  <c r="T34" i="12"/>
  <c r="AF34" i="12" s="1"/>
  <c r="T33" i="12"/>
  <c r="AF33" i="12" s="1"/>
  <c r="T32" i="12"/>
  <c r="AF32" i="12" s="1"/>
  <c r="T31" i="12"/>
  <c r="AF31" i="12" s="1"/>
  <c r="T30" i="12"/>
  <c r="AF30" i="12" s="1"/>
  <c r="T29" i="12"/>
  <c r="AF29" i="12" s="1"/>
  <c r="T28" i="12"/>
  <c r="AF28" i="12" s="1"/>
  <c r="T27" i="12"/>
  <c r="AF27" i="12" s="1"/>
  <c r="T26" i="12"/>
  <c r="AF26" i="12" s="1"/>
  <c r="T21" i="12"/>
  <c r="AF21" i="12" s="1"/>
  <c r="T20" i="12"/>
  <c r="AF20" i="12" s="1"/>
  <c r="T19" i="12"/>
  <c r="AF19" i="12" s="1"/>
  <c r="T18" i="12"/>
  <c r="AF18" i="12" s="1"/>
  <c r="T17" i="12"/>
  <c r="AF17" i="12" s="1"/>
  <c r="T16" i="12"/>
  <c r="AF16" i="12" s="1"/>
  <c r="T15" i="12"/>
  <c r="AF15" i="12" s="1"/>
  <c r="T13" i="12"/>
  <c r="AF13" i="12" s="1"/>
  <c r="U13" i="12"/>
  <c r="W13" i="12" s="1"/>
  <c r="T14" i="12"/>
  <c r="AF14" i="12" s="1"/>
  <c r="X13" i="12" l="1"/>
  <c r="AG13" i="12"/>
  <c r="O14" i="12"/>
  <c r="AE14" i="12" l="1"/>
  <c r="U14" i="12"/>
  <c r="AH13" i="12"/>
  <c r="M14" i="12"/>
  <c r="W14" i="12" l="1"/>
  <c r="X14" i="12" l="1"/>
  <c r="AG14" i="12"/>
  <c r="O15" i="12"/>
  <c r="AE15" i="12" l="1"/>
  <c r="U15" i="12"/>
  <c r="AH14" i="12"/>
  <c r="M15" i="12"/>
  <c r="W15" i="12" l="1"/>
  <c r="AG15" i="12" l="1"/>
  <c r="X15" i="12"/>
  <c r="O16" i="12"/>
  <c r="AE16" i="12" l="1"/>
  <c r="V17" i="12"/>
  <c r="V18" i="12" s="1"/>
  <c r="V19" i="12" s="1"/>
  <c r="U16" i="12"/>
  <c r="M16" i="12"/>
  <c r="AH15" i="12"/>
  <c r="W16" i="12" l="1"/>
  <c r="X16" i="12" l="1"/>
  <c r="AG16" i="12"/>
  <c r="O17" i="12"/>
  <c r="AE17" i="12" l="1"/>
  <c r="U17" i="12"/>
  <c r="AH16" i="12"/>
  <c r="M17" i="12"/>
  <c r="W17" i="12" l="1"/>
  <c r="X17" i="12" l="1"/>
  <c r="AG17" i="12"/>
  <c r="O18" i="12"/>
  <c r="AE18" i="12" l="1"/>
  <c r="U18" i="12"/>
  <c r="AH17" i="12"/>
  <c r="M18" i="12"/>
  <c r="W18" i="12" l="1"/>
  <c r="X18" i="12" l="1"/>
  <c r="AG18" i="12"/>
  <c r="O19" i="12"/>
  <c r="AE19" i="12" l="1"/>
  <c r="V20" i="12"/>
  <c r="V21" i="12"/>
  <c r="U19" i="12"/>
  <c r="AH18" i="12"/>
  <c r="M19" i="12"/>
  <c r="W19" i="12" l="1"/>
  <c r="AG19" i="12" l="1"/>
  <c r="X19" i="12"/>
  <c r="O20" i="12"/>
  <c r="AE20" i="12" l="1"/>
  <c r="U20" i="12"/>
  <c r="AH19" i="12"/>
  <c r="M20" i="12"/>
  <c r="W20" i="12" l="1"/>
  <c r="X20" i="12" l="1"/>
  <c r="AG20" i="12"/>
  <c r="O21" i="12"/>
  <c r="AE21" i="12" l="1"/>
  <c r="U21" i="12"/>
  <c r="AH20" i="12"/>
  <c r="M21" i="12"/>
  <c r="W21" i="12" l="1"/>
  <c r="X21" i="12" l="1"/>
  <c r="AG21" i="12"/>
  <c r="O22" i="12"/>
  <c r="AE22" i="12" l="1"/>
  <c r="M22" i="12"/>
  <c r="N22" i="12" s="1"/>
  <c r="AH21" i="12"/>
  <c r="S22" i="12" l="1"/>
  <c r="T22" i="12" s="1"/>
  <c r="S25" i="12"/>
  <c r="T25" i="12" s="1"/>
  <c r="AF25" i="12" s="1"/>
  <c r="S23" i="12"/>
  <c r="T23" i="12" s="1"/>
  <c r="AF23" i="12" s="1"/>
  <c r="S24" i="12"/>
  <c r="T24" i="12" s="1"/>
  <c r="AF24" i="12" s="1"/>
  <c r="V22" i="12"/>
  <c r="V23" i="12" s="1"/>
  <c r="AF22" i="12" l="1"/>
  <c r="U22" i="12"/>
  <c r="W22" i="12" l="1"/>
  <c r="X22" i="12" l="1"/>
  <c r="AG22" i="12"/>
  <c r="O23" i="12"/>
  <c r="AE23" i="12" l="1"/>
  <c r="V24" i="12"/>
  <c r="V25" i="12" s="1"/>
  <c r="U23" i="12"/>
  <c r="AH22" i="12"/>
  <c r="M23" i="12"/>
  <c r="W23" i="12" l="1"/>
  <c r="X23" i="12" l="1"/>
  <c r="AG23" i="12"/>
  <c r="O24" i="12"/>
  <c r="AE24" i="12" l="1"/>
  <c r="U24" i="12"/>
  <c r="AH23" i="12"/>
  <c r="M24" i="12"/>
  <c r="W24" i="12" l="1"/>
  <c r="AG24" i="12" l="1"/>
  <c r="X24" i="12"/>
  <c r="O25" i="12"/>
  <c r="AE25" i="12" l="1"/>
  <c r="U25" i="12"/>
  <c r="W25" i="12" s="1"/>
  <c r="AH24" i="12"/>
  <c r="M25" i="12"/>
  <c r="X25" i="12" l="1"/>
  <c r="AG25" i="12"/>
  <c r="O26" i="12"/>
  <c r="AE26" i="12" l="1"/>
  <c r="AH25" i="12"/>
  <c r="M26" i="12"/>
  <c r="N26" i="12" s="1"/>
  <c r="U26" i="12" l="1"/>
  <c r="V26" i="12"/>
  <c r="W26" i="12" l="1"/>
  <c r="X26" i="12" l="1"/>
  <c r="AG26" i="12"/>
  <c r="V27" i="12"/>
  <c r="W27" i="12" s="1"/>
  <c r="O27" i="12"/>
  <c r="AG27" i="12" l="1"/>
  <c r="X27" i="12"/>
  <c r="AE27" i="12"/>
  <c r="O28" i="12"/>
  <c r="V28" i="12"/>
  <c r="W28" i="12" s="1"/>
  <c r="V29" i="12" s="1"/>
  <c r="W29" i="12" s="1"/>
  <c r="M27" i="12"/>
  <c r="AH26" i="12"/>
  <c r="AG29" i="12" l="1"/>
  <c r="X29" i="12"/>
  <c r="AG28" i="12"/>
  <c r="X28" i="12"/>
  <c r="O29" i="12"/>
  <c r="AE28" i="12"/>
  <c r="AH27" i="12"/>
  <c r="M28" i="12"/>
  <c r="AE29" i="12" l="1"/>
  <c r="O30" i="12"/>
  <c r="AH28" i="12"/>
  <c r="M29" i="12"/>
  <c r="AH29" i="12"/>
  <c r="M30" i="12"/>
  <c r="N30" i="12" s="1"/>
  <c r="U30" i="12" l="1"/>
  <c r="V30" i="12"/>
  <c r="AE30" i="12"/>
  <c r="W30" i="12" l="1"/>
  <c r="X30" i="12" l="1"/>
  <c r="AG30" i="12"/>
  <c r="O31" i="12"/>
  <c r="V31" i="12"/>
  <c r="W31" i="12" s="1"/>
  <c r="AE31" i="12" l="1"/>
  <c r="O32" i="12"/>
  <c r="X31" i="12"/>
  <c r="AG31" i="12"/>
  <c r="V32" i="12"/>
  <c r="W32" i="12" s="1"/>
  <c r="AH30" i="12"/>
  <c r="M31" i="12"/>
  <c r="X32" i="12" l="1"/>
  <c r="AG32" i="12"/>
  <c r="AE32" i="12"/>
  <c r="O33" i="12"/>
  <c r="AH31" i="12"/>
  <c r="M32" i="12"/>
  <c r="V33" i="12"/>
  <c r="W33" i="12" s="1"/>
  <c r="X33" i="12" l="1"/>
  <c r="AG33" i="12"/>
  <c r="O34" i="12"/>
  <c r="AE33" i="12"/>
  <c r="M33" i="12"/>
  <c r="AH32" i="12"/>
  <c r="AE34" i="12" l="1"/>
  <c r="AH33" i="12"/>
  <c r="M34" i="12"/>
  <c r="N34" i="12" s="1"/>
  <c r="U34" i="12" l="1"/>
  <c r="V34" i="12"/>
  <c r="W34" i="12" l="1"/>
  <c r="AG34" i="12" l="1"/>
  <c r="X34" i="12"/>
  <c r="V35" i="12"/>
  <c r="W35" i="12" s="1"/>
  <c r="O35" i="12"/>
  <c r="X35" i="12" l="1"/>
  <c r="AG35" i="12"/>
  <c r="O36" i="12"/>
  <c r="AE35" i="12"/>
  <c r="V36" i="12"/>
  <c r="W36" i="12" s="1"/>
  <c r="AH34" i="12"/>
  <c r="M35" i="12"/>
  <c r="X36" i="12" l="1"/>
  <c r="AG36" i="12"/>
  <c r="O37" i="12"/>
  <c r="AE36" i="12"/>
  <c r="AH35" i="12"/>
  <c r="M36" i="12"/>
  <c r="AE37" i="12" l="1"/>
  <c r="AH36" i="12"/>
  <c r="M37" i="12"/>
  <c r="N37" i="12" s="1"/>
  <c r="U37" i="12" l="1"/>
  <c r="V37" i="12"/>
  <c r="W37" i="12" l="1"/>
  <c r="X37" i="12" l="1"/>
  <c r="AG37" i="12"/>
  <c r="V38" i="12"/>
  <c r="W38" i="12" s="1"/>
  <c r="O38" i="12"/>
  <c r="O39" i="12" l="1"/>
  <c r="AE38" i="12"/>
  <c r="AG38" i="12"/>
  <c r="X38" i="12"/>
  <c r="AH37" i="12"/>
  <c r="M38" i="12"/>
  <c r="AH38" i="12" l="1"/>
  <c r="M39" i="12"/>
  <c r="N39" i="12" s="1"/>
  <c r="AE39" i="12"/>
  <c r="U39" i="12" l="1"/>
  <c r="V39" i="12"/>
  <c r="W39" i="12" l="1"/>
  <c r="X39" i="12" l="1"/>
  <c r="AG39" i="12"/>
  <c r="O40" i="12"/>
  <c r="AE40" i="12" l="1"/>
  <c r="M40" i="12"/>
  <c r="N40" i="12" s="1"/>
  <c r="AH39" i="12"/>
  <c r="U40" i="12" l="1"/>
  <c r="V40" i="12"/>
  <c r="W40" i="12" l="1"/>
  <c r="X40" i="12" l="1"/>
  <c r="AG40" i="12"/>
  <c r="O41" i="12"/>
  <c r="AE41" i="12" l="1"/>
  <c r="AH40" i="12"/>
  <c r="M41" i="12"/>
  <c r="N41" i="12" s="1"/>
  <c r="U41" i="12" l="1"/>
  <c r="T12" i="12"/>
  <c r="AF12" i="12" s="1"/>
  <c r="V41" i="12"/>
  <c r="W41" i="12" l="1"/>
  <c r="AG41" i="12" l="1"/>
  <c r="X41" i="12"/>
  <c r="V42" i="12"/>
  <c r="W42" i="12" s="1"/>
  <c r="AG42" i="12" s="1"/>
  <c r="O42" i="12"/>
  <c r="AE42" i="12" l="1"/>
  <c r="O43" i="12"/>
  <c r="AE43" i="12" s="1"/>
  <c r="V43" i="12"/>
  <c r="W43" i="12" s="1"/>
  <c r="M42" i="12"/>
  <c r="AH41" i="12"/>
  <c r="Y43" i="12" l="1"/>
  <c r="AI43" i="12" s="1"/>
  <c r="AG43" i="12"/>
  <c r="A10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tc={D8C92119-0668-4C6F-9865-E4AB3A78806D}</author>
    <author>tc={FFBD731E-FE02-4EC9-8135-254F8D04D25D}</author>
    <author>tc={1C78431E-280F-4B25-B5C8-9C5E3FD20E2A}</author>
    <author>tc={A6C92B18-6F4A-4C7F-917A-B3F4DA38CBDD}</author>
    <author>tc={B9FCF77A-44A3-41EE-A126-02D06A15CAF8}</author>
  </authors>
  <commentList>
    <comment ref="B6" authorId="0" shapeId="0" xr:uid="{D8C92119-0668-4C6F-9865-E4AB3A78806D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FFBD731E-FE02-4EC9-8135-254F8D04D25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1C78431E-280F-4B25-B5C8-9C5E3FD20E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A6C92B18-6F4A-4C7F-917A-B3F4DA38CBDD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B9FCF77A-44A3-41EE-A126-02D06A15CAF8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tc={2A722F17-84E9-48A8-9467-707941403070}</author>
    <author>tc={7580B706-8302-4071-9492-5B62F08639B6}</author>
    <author>tc={AE068C75-4E5A-46B6-A5C7-50D0E8EFC4C9}</author>
    <author>tc={7C19DC2E-C9F1-4C0B-9D72-4A4BFDF3FAE8}</author>
    <author>tc={E1241473-E6EC-4B09-A529-6E5298DFE906}</author>
  </authors>
  <commentList>
    <comment ref="B6" authorId="0" shapeId="0" xr:uid="{2A722F17-84E9-48A8-9467-707941403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Lifetime Income before each Benefit Year Anniversary up to the Activation Date, an annual Minimum Income Base Percentage of 5%
Minimum Income
Base: 5% simple
interest applied
annually to Purchase
Payments received
prior to the Activation
Date.</t>
      </text>
    </comment>
    <comment ref="L12" authorId="1" shapeId="0" xr:uid="{7580B706-8302-4071-9492-5B62F086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M12" authorId="2" shapeId="0" xr:uid="{AE068C75-4E5A-46B6-A5C7-50D0E8EFC4C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withdrawals at the start of the projection</t>
      </text>
    </comment>
    <comment ref="AP20" authorId="3" shapeId="0" xr:uid="{7C19DC2E-C9F1-4C0B-9D72-4A4BFDF3FAE8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4" shapeId="0" xr:uid="{E1241473-E6EC-4B09-A529-6E5298DFE906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tc={01962224-E91A-4C1F-AC07-1E7B40DFD287}</author>
    <author>tc={A037FA31-5461-424B-B5D6-6DDBAF66760C}</author>
  </authors>
  <commentList>
    <comment ref="AP20" authorId="0" shapeId="0" xr:uid="{01962224-E91A-4C1F-AC07-1E7B40DFD28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R42" authorId="1" shapeId="0" xr:uid="{A037FA31-5461-424B-B5D6-6DDBAF66760C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tc={36FB91C0-6B19-478D-94DC-0FB35D59F884}</author>
    <author>tc={9F44B937-087E-4DFC-8BE6-E822DA51CAD0}</author>
  </authors>
  <commentList>
    <comment ref="AN20" authorId="0" shapeId="0" xr:uid="{36FB91C0-6B19-478D-94DC-0FB35D59F884}">
      <text>
        <t>[Threaded comment]
Your version of Excel allows you to read this threaded comment; however, any edits to it will get removed if the file is opened in a newer version of Excel. Learn more: https://go.microsoft.com/fwlink/?linkid=870924
Comment:
    Off By 400</t>
      </text>
    </comment>
    <comment ref="AP42" authorId="1" shapeId="0" xr:uid="{9F44B937-087E-4DFC-8BE6-E822DA51CAD0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value in the original prospectus of 19059 was an error because the contract value is zero. They are now in the protected income period.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<sst xmlns="http://schemas.openxmlformats.org/spreadsheetml/2006/main" count="540" uniqueCount="96">
  <si>
    <t>Step-up Value</t>
  </si>
  <si>
    <t>Benefit Effective Date</t>
  </si>
  <si>
    <t>Year 1 – Day 25</t>
  </si>
  <si>
    <t>Year 1 – Day 105</t>
  </si>
  <si>
    <t>Year 1 – Day 200</t>
  </si>
  <si>
    <t>Year 1 – Day 300</t>
  </si>
  <si>
    <t>1st Anniversary</t>
  </si>
  <si>
    <t>Year 2 – Day 180</t>
  </si>
  <si>
    <t>Year 2 – Day 250</t>
  </si>
  <si>
    <t>2nd Anniversary</t>
  </si>
  <si>
    <t>Withdrawal Taken</t>
  </si>
  <si>
    <t>Year 3 – Day 45</t>
  </si>
  <si>
    <t>Year 3 – Day 155</t>
  </si>
  <si>
    <t>Year 3 – Day 275</t>
  </si>
  <si>
    <t>3rd Anniversary</t>
  </si>
  <si>
    <t>6th Anniversary</t>
  </si>
  <si>
    <t>Year 7 – Day 37</t>
  </si>
  <si>
    <t>Year 7 – Day 362</t>
  </si>
  <si>
    <t>7th Anniversary</t>
  </si>
  <si>
    <t>Year 8 – Day 46</t>
  </si>
  <si>
    <t>8th Anniversary</t>
  </si>
  <si>
    <t>9th Anniversary</t>
  </si>
  <si>
    <t>10th Anniversary</t>
  </si>
  <si>
    <t>11th Anniversary</t>
  </si>
  <si>
    <t>Year 12 – Day 81</t>
  </si>
  <si>
    <t>12th Anniversary</t>
  </si>
  <si>
    <t xml:space="preserve">Values as of   </t>
  </si>
  <si>
    <t xml:space="preserve">Purchase Payments Invested </t>
  </si>
  <si>
    <t xml:space="preserve">Contract Value   </t>
  </si>
  <si>
    <t>Maximum Annual Withdrawal Amount upon Activation</t>
  </si>
  <si>
    <t xml:space="preserve">•          Benefit Effective Date </t>
  </si>
  <si>
    <t xml:space="preserve"> contract issue date</t>
  </si>
  <si>
    <t xml:space="preserve">•          Initial Purchase Payment </t>
  </si>
  <si>
    <t xml:space="preserve">•          Covered Person </t>
  </si>
  <si>
    <t xml:space="preserve">•          Maximum Annual Withdrawal Percentage </t>
  </si>
  <si>
    <t>Year 4 - Day 65</t>
  </si>
  <si>
    <t>Year 4 - Day 92</t>
  </si>
  <si>
    <t>Year 4 - Day 350</t>
  </si>
  <si>
    <t>4th Anniversary</t>
  </si>
  <si>
    <t>Year 5 - Day 75</t>
  </si>
  <si>
    <t>Year 5 - Day 80</t>
  </si>
  <si>
    <t>5th Anniversary</t>
  </si>
  <si>
    <t>Year 6 - Day 155</t>
  </si>
  <si>
    <t xml:space="preserve">Minimium Income Base   </t>
  </si>
  <si>
    <t xml:space="preserve">Income Base </t>
  </si>
  <si>
    <t>Raw Answers</t>
  </si>
  <si>
    <t>Year</t>
  </si>
  <si>
    <t>Day</t>
  </si>
  <si>
    <t>Check</t>
  </si>
  <si>
    <t>Withdrawal Penalty</t>
  </si>
  <si>
    <t xml:space="preserve">•          Protected Income Payment Percentage </t>
  </si>
  <si>
    <t xml:space="preserve">•          Minimum Income Base Percentage </t>
  </si>
  <si>
    <t>Protected Income Payment</t>
  </si>
  <si>
    <t>0th Anniversary</t>
  </si>
  <si>
    <t>Time From Valuation</t>
  </si>
  <si>
    <t>Activation Time</t>
  </si>
  <si>
    <t>Is Activation</t>
  </si>
  <si>
    <t>Has Lifetime Income Started</t>
  </si>
  <si>
    <t>Is Anniversary</t>
  </si>
  <si>
    <t>Pre-Activation Income Base</t>
  </si>
  <si>
    <t>Post-Activation Income Base</t>
  </si>
  <si>
    <t>Formulas</t>
  </si>
  <si>
    <t>Has a Withdrawal Occurred After Activation</t>
  </si>
  <si>
    <t>Withdrawal Haircut Before Activation</t>
  </si>
  <si>
    <t>Withdrawal Haircut After Activation</t>
  </si>
  <si>
    <t>Contract Value</t>
  </si>
  <si>
    <t>Income Base</t>
  </si>
  <si>
    <t>Starting Minimum Income Base</t>
  </si>
  <si>
    <t>Purchase Payment 1</t>
  </si>
  <si>
    <t>Purchase Pay 1</t>
  </si>
  <si>
    <t>Purchase Pay 1 Time</t>
  </si>
  <si>
    <t>Purchase Pay 2</t>
  </si>
  <si>
    <t>Purchase Payment 2</t>
  </si>
  <si>
    <t>Purchase Pay 2 Time</t>
  </si>
  <si>
    <t>Accum Withdrawal Penalty</t>
  </si>
  <si>
    <t>Minimum Income Base</t>
  </si>
  <si>
    <t>Values as of</t>
  </si>
  <si>
    <t>Purchase Payments Invested</t>
  </si>
  <si>
    <t>Purchase Pay 0 Time</t>
  </si>
  <si>
    <t xml:space="preserve">Payment </t>
  </si>
  <si>
    <t>Time</t>
  </si>
  <si>
    <t>Previous Year Max Step Up Value</t>
  </si>
  <si>
    <t>Running Max Step up Value</t>
  </si>
  <si>
    <t>Accumlative Purchase Payments</t>
  </si>
  <si>
    <t>Accumlative Purchase Payments With Interest</t>
  </si>
  <si>
    <t xml:space="preserve"> Protected Income Payment Percentage </t>
  </si>
  <si>
    <t>"</t>
  </si>
  <si>
    <t>=MAP(B12#,C12#,LAMBDA(year,day,year+day/365-1))</t>
  </si>
  <si>
    <t>=MAP($D12#,SEQUENCE(COUNT($D12#),,Activation_Time,0),LAMBDA(TimeFromValuation,ActivationTime,TimeFromValuation&gt;=ActivationTime))</t>
  </si>
  <si>
    <t>=LET(f,LAMBDA(TimeFromValuation,PurchasePayTime,PurchasePay,IF(ABS(TimeFromValuation-PurchasePayTime)&lt;0.001,PurchasePay,0)),
     MAP($D12#,LAMBDA(t,f(t,0,InitialPurchasePayment)+f(t,Purchase_Pay_1_Time,Purchase_Pay_1)+f(t,Purchase_Pay_2_Time,Purchase_Pay_2))))</t>
  </si>
  <si>
    <t>=AK12:AK43</t>
  </si>
  <si>
    <t>=AL12:AL43</t>
  </si>
  <si>
    <t>=G12#&lt;0.01</t>
  </si>
  <si>
    <t>=MAP(E12#, SCAN(FALSE,H12#,LAMBDA(prevAns,wdTaken,OR(prevAns,wdTaken&gt;0))),LAMBDA(isActivated,wdTaken,AND(isActivated,wdTaken)))</t>
  </si>
  <si>
    <t>=$C12#=0</t>
  </si>
  <si>
    <t>Is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</si>
</sst>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b/>
      <sz val="9"/>
      <color rgb="FF181717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5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9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43" fontId="0" fillId="0" borderId="0" xfId="1" applyFont="1"/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 applyAlignment="1">
      <alignment horizontal="center" vertical="center" wrapText="1"/>
    </xf>
    <xf numFmtId="43" fontId="0" fillId="0" borderId="0" xfId="0" applyNumberFormat="1"/>
    <xf numFmtId="164" fontId="2" fillId="0" borderId="1" xfId="0" applyNumberFormat="1" applyFont="1" applyBorder="1" applyAlignment="1">
      <alignment horizontal="center" vertical="center" wrapText="1"/>
    </xf>
    <xf numFmtId="43" fontId="0" fillId="5" borderId="0" xfId="1" applyFont="1" applyFill="1"/>
    <xf numFmtId="16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6" fontId="2" fillId="0" borderId="0" xfId="0" applyNumberFormat="1" applyFont="1" applyAlignment="1">
      <alignment horizontal="center" vertical="center" wrapText="1"/>
    </xf>
    <xf numFmtId="164" fontId="0" fillId="0" borderId="0" xfId="1" applyNumberFormat="1" applyFont="1" applyBorder="1"/>
    <xf numFmtId="0" fontId="2" fillId="0" borderId="0" xfId="0" applyFont="1" applyAlignment="1">
      <alignment horizontal="center" vertical="center" wrapText="1"/>
    </xf>
    <xf numFmtId="43" fontId="0" fillId="0" borderId="1" xfId="1" applyFont="1" applyBorder="1"/>
    <xf numFmtId="43" fontId="0" fillId="0" borderId="1" xfId="1" applyFont="1" applyFill="1" applyBorder="1"/>
    <xf numFmtId="43" fontId="2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wrapText="1"/>
    </xf>
    <xf numFmtId="43" fontId="1" fillId="0" borderId="1" xfId="1" applyFont="1" applyBorder="1" applyAlignment="1">
      <alignment wrapText="1"/>
    </xf>
    <xf numFmtId="43" fontId="1" fillId="0" borderId="1" xfId="1" applyFont="1" applyBorder="1"/>
    <xf numFmtId="43" fontId="1" fillId="5" borderId="1" xfId="1" applyFont="1" applyFill="1" applyBorder="1"/>
    <xf numFmtId="43" fontId="6" fillId="0" borderId="1" xfId="1" applyFont="1" applyBorder="1" applyAlignment="1">
      <alignment horizontal="center" vertical="center" wrapText="1"/>
    </xf>
    <xf numFmtId="43" fontId="0" fillId="0" borderId="0" xfId="1" applyFont="1" applyFill="1"/>
    <xf numFmtId="43" fontId="1" fillId="4" borderId="1" xfId="1" applyFont="1" applyFill="1" applyBorder="1" applyAlignment="1">
      <alignment horizontal="left" wrapText="1"/>
    </xf>
    <xf numFmtId="43" fontId="1" fillId="4" borderId="1" xfId="1" applyFont="1" applyFill="1" applyBorder="1" applyAlignment="1">
      <alignment wrapText="1"/>
    </xf>
    <xf numFmtId="43" fontId="6" fillId="4" borderId="1" xfId="1" applyFont="1" applyFill="1" applyBorder="1" applyAlignment="1">
      <alignment horizontal="center" vertical="center" wrapText="1"/>
    </xf>
    <xf numFmtId="43" fontId="6" fillId="4" borderId="1" xfId="1" applyFont="1" applyFill="1" applyBorder="1" applyAlignment="1">
      <alignment horizontal="left" vertical="center" wrapText="1"/>
    </xf>
    <xf numFmtId="43" fontId="1" fillId="4" borderId="1" xfId="1" applyFont="1" applyFill="1" applyBorder="1" applyAlignment="1">
      <alignment horizontal="left"/>
    </xf>
    <xf numFmtId="43" fontId="1" fillId="4" borderId="1" xfId="1" applyFont="1" applyFill="1" applyBorder="1"/>
    <xf numFmtId="43" fontId="0" fillId="4" borderId="1" xfId="1" applyFont="1" applyFill="1" applyBorder="1"/>
    <xf numFmtId="43" fontId="6" fillId="4" borderId="2" xfId="1" applyFont="1" applyFill="1" applyBorder="1" applyAlignment="1">
      <alignment horizontal="left" vertical="center" wrapText="1"/>
    </xf>
    <xf numFmtId="43" fontId="1" fillId="4" borderId="2" xfId="1" applyFont="1" applyFill="1" applyBorder="1" applyAlignment="1">
      <alignment horizontal="left"/>
    </xf>
    <xf numFmtId="43" fontId="2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0" fillId="0" borderId="0" xfId="1" applyNumberFormat="1" applyFont="1" applyFill="1" applyBorder="1"/>
    <xf numFmtId="43" fontId="0" fillId="0" borderId="0" xfId="1" applyFont="1" applyBorder="1"/>
    <xf numFmtId="43" fontId="6" fillId="5" borderId="1" xfId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3" fontId="0" fillId="0" borderId="0" xfId="1" applyFont="1" applyFill="1" applyBorder="1"/>
    <xf numFmtId="43" fontId="2" fillId="0" borderId="0" xfId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43" fontId="7" fillId="0" borderId="0" xfId="0" applyNumberFormat="1" applyFont="1"/>
    <xf numFmtId="3" fontId="0" fillId="0" borderId="0" xfId="0" applyNumberFormat="1"/>
    <xf numFmtId="0" fontId="9" fillId="6" borderId="7" xfId="0" applyFont="1" applyFill="1" applyBorder="1" applyAlignment="1">
      <alignment wrapText="1"/>
    </xf>
    <xf numFmtId="0" fontId="9" fillId="6" borderId="9" xfId="0" applyFont="1" applyFill="1" applyBorder="1" applyAlignment="1">
      <alignment wrapText="1"/>
    </xf>
    <xf numFmtId="164" fontId="11" fillId="7" borderId="7" xfId="0" applyNumberFormat="1" applyFont="1" applyFill="1" applyBorder="1" applyAlignment="1">
      <alignment horizontal="center" vertical="center" wrapText="1"/>
    </xf>
    <xf numFmtId="164" fontId="10" fillId="7" borderId="7" xfId="1" applyNumberFormat="1" applyFont="1" applyFill="1" applyBorder="1"/>
    <xf numFmtId="43" fontId="10" fillId="7" borderId="7" xfId="1" applyFont="1" applyFill="1" applyBorder="1"/>
    <xf numFmtId="0" fontId="10" fillId="7" borderId="7" xfId="0" applyFont="1" applyFill="1" applyBorder="1"/>
    <xf numFmtId="43" fontId="11" fillId="7" borderId="7" xfId="1" applyFont="1" applyFill="1" applyBorder="1" applyAlignment="1">
      <alignment horizontal="center" vertical="center" wrapText="1"/>
    </xf>
    <xf numFmtId="43" fontId="10" fillId="7" borderId="10" xfId="1" applyFont="1" applyFill="1" applyBorder="1"/>
    <xf numFmtId="43" fontId="10" fillId="7" borderId="11" xfId="1" applyFont="1" applyFill="1" applyBorder="1"/>
    <xf numFmtId="164" fontId="11" fillId="7" borderId="7" xfId="1" applyNumberFormat="1" applyFont="1" applyFill="1" applyBorder="1" applyAlignment="1">
      <alignment horizontal="center" vertical="center" wrapText="1"/>
    </xf>
    <xf numFmtId="43" fontId="11" fillId="7" borderId="9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164" fontId="10" fillId="0" borderId="7" xfId="1" applyNumberFormat="1" applyFont="1" applyBorder="1"/>
    <xf numFmtId="43" fontId="10" fillId="0" borderId="7" xfId="1" applyFont="1" applyBorder="1"/>
    <xf numFmtId="0" fontId="10" fillId="0" borderId="7" xfId="0" applyFont="1" applyBorder="1"/>
    <xf numFmtId="43" fontId="11" fillId="0" borderId="7" xfId="1" applyFont="1" applyBorder="1" applyAlignment="1">
      <alignment horizontal="center" vertical="center" wrapText="1"/>
    </xf>
    <xf numFmtId="43" fontId="10" fillId="0" borderId="10" xfId="1" applyFont="1" applyBorder="1"/>
    <xf numFmtId="43" fontId="10" fillId="0" borderId="11" xfId="1" applyFont="1" applyBorder="1"/>
    <xf numFmtId="43" fontId="10" fillId="0" borderId="11" xfId="0" applyNumberFormat="1" applyFont="1" applyBorder="1"/>
    <xf numFmtId="164" fontId="11" fillId="0" borderId="7" xfId="1" applyNumberFormat="1" applyFont="1" applyBorder="1" applyAlignment="1">
      <alignment horizontal="center" vertical="center" wrapText="1"/>
    </xf>
    <xf numFmtId="43" fontId="11" fillId="0" borderId="9" xfId="0" applyNumberFormat="1" applyFont="1" applyBorder="1" applyAlignment="1">
      <alignment horizontal="center" vertical="center" wrapText="1"/>
    </xf>
    <xf numFmtId="43" fontId="10" fillId="7" borderId="11" xfId="0" applyNumberFormat="1" applyFont="1" applyFill="1" applyBorder="1"/>
    <xf numFmtId="164" fontId="11" fillId="0" borderId="3" xfId="0" applyNumberFormat="1" applyFont="1" applyBorder="1" applyAlignment="1">
      <alignment horizontal="center" vertical="center" wrapText="1"/>
    </xf>
    <xf numFmtId="164" fontId="10" fillId="0" borderId="3" xfId="1" applyNumberFormat="1" applyFont="1" applyBorder="1"/>
    <xf numFmtId="43" fontId="10" fillId="0" borderId="3" xfId="1" applyFont="1" applyBorder="1"/>
    <xf numFmtId="0" fontId="10" fillId="0" borderId="3" xfId="0" applyFont="1" applyBorder="1"/>
    <xf numFmtId="43" fontId="11" fillId="0" borderId="3" xfId="1" applyFont="1" applyBorder="1" applyAlignment="1">
      <alignment horizontal="center" vertical="center" wrapText="1"/>
    </xf>
    <xf numFmtId="43" fontId="10" fillId="0" borderId="12" xfId="1" applyFont="1" applyBorder="1"/>
    <xf numFmtId="43" fontId="10" fillId="0" borderId="8" xfId="1" applyFont="1" applyBorder="1"/>
    <xf numFmtId="43" fontId="10" fillId="0" borderId="8" xfId="0" applyNumberFormat="1" applyFont="1" applyBorder="1"/>
    <xf numFmtId="164" fontId="11" fillId="0" borderId="3" xfId="1" applyNumberFormat="1" applyFont="1" applyBorder="1" applyAlignment="1">
      <alignment horizontal="center" vertical="center" wrapText="1"/>
    </xf>
    <xf numFmtId="43" fontId="11" fillId="0" borderId="1" xfId="0" applyNumberFormat="1" applyFont="1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43" fontId="10" fillId="7" borderId="11" xfId="1" quotePrefix="1" applyFont="1" applyFill="1" applyBorder="1"/>
    <xf numFmtId="0" fontId="0" fillId="8" borderId="0" xfId="0" applyFill="1"/>
    <xf numFmtId="43" fontId="10" fillId="0" borderId="11" xfId="1" quotePrefix="1" applyFont="1" applyFill="1" applyBorder="1"/>
    <xf numFmtId="2" fontId="0" fillId="0" borderId="0" xfId="0" applyNumberFormat="1"/>
    <xf numFmtId="43" fontId="10" fillId="9" borderId="7" xfId="1" applyFont="1" applyFill="1" applyBorder="1"/>
    <xf numFmtId="0" fontId="9" fillId="10" borderId="7" xfId="0" applyFont="1" applyFill="1" applyBorder="1" applyAlignment="1">
      <alignment wrapText="1"/>
    </xf>
    <xf numFmtId="0" fontId="9" fillId="10" borderId="9" xfId="0" applyFont="1" applyFill="1" applyBorder="1" applyAlignment="1">
      <alignment wrapText="1"/>
    </xf>
    <xf numFmtId="164" fontId="11" fillId="11" borderId="7" xfId="0" applyNumberFormat="1" applyFont="1" applyFill="1" applyBorder="1" applyAlignment="1">
      <alignment horizontal="center" vertical="center" wrapText="1"/>
    </xf>
    <xf numFmtId="164" fontId="10" fillId="11" borderId="7" xfId="1" applyNumberFormat="1" applyFont="1" applyFill="1" applyBorder="1"/>
    <xf numFmtId="43" fontId="10" fillId="11" borderId="7" xfId="1" applyFont="1" applyFill="1" applyBorder="1"/>
    <xf numFmtId="0" fontId="10" fillId="11" borderId="7" xfId="0" applyFont="1" applyFill="1" applyBorder="1"/>
    <xf numFmtId="43" fontId="11" fillId="11" borderId="7" xfId="1" applyFont="1" applyFill="1" applyBorder="1" applyAlignment="1">
      <alignment horizontal="center" vertical="center" wrapText="1"/>
    </xf>
    <xf numFmtId="43" fontId="10" fillId="11" borderId="10" xfId="1" applyFont="1" applyFill="1" applyBorder="1"/>
    <xf numFmtId="43" fontId="10" fillId="11" borderId="11" xfId="1" applyFont="1" applyFill="1" applyBorder="1"/>
    <xf numFmtId="43" fontId="11" fillId="11" borderId="9" xfId="0" applyNumberFormat="1" applyFont="1" applyFill="1" applyBorder="1" applyAlignment="1">
      <alignment horizontal="center" vertical="center" wrapText="1"/>
    </xf>
    <xf numFmtId="43" fontId="10" fillId="12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 vertical="center" wrapText="1"/>
    </xf>
    <xf numFmtId="43" fontId="10" fillId="13" borderId="7" xfId="1" applyFont="1" applyFill="1" applyBorder="1" applyAlignment="1">
      <alignment horizontal="left"/>
    </xf>
    <xf numFmtId="43" fontId="10" fillId="12" borderId="7" xfId="1" applyFont="1" applyFill="1" applyBorder="1" applyAlignment="1">
      <alignment horizontal="left"/>
    </xf>
    <xf numFmtId="43" fontId="10" fillId="13" borderId="3" xfId="1" applyFont="1" applyFill="1" applyBorder="1" applyAlignment="1">
      <alignment horizontal="left" vertical="center" wrapText="1"/>
    </xf>
    <xf numFmtId="43" fontId="10" fillId="12" borderId="7" xfId="1" applyFont="1" applyFill="1" applyBorder="1"/>
    <xf numFmtId="43" fontId="10" fillId="13" borderId="7" xfId="1" applyFont="1" applyFill="1" applyBorder="1"/>
    <xf numFmtId="43" fontId="10" fillId="13" borderId="3" xfId="1" applyFont="1" applyFill="1" applyBorder="1"/>
    <xf numFmtId="43" fontId="10" fillId="14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 vertical="center" wrapText="1"/>
    </xf>
    <xf numFmtId="43" fontId="10" fillId="15" borderId="7" xfId="1" applyFont="1" applyFill="1" applyBorder="1" applyAlignment="1">
      <alignment horizontal="left"/>
    </xf>
    <xf numFmtId="43" fontId="10" fillId="14" borderId="7" xfId="1" applyFont="1" applyFill="1" applyBorder="1" applyAlignment="1">
      <alignment horizontal="left"/>
    </xf>
    <xf numFmtId="43" fontId="10" fillId="15" borderId="3" xfId="1" applyFont="1" applyFill="1" applyBorder="1" applyAlignment="1">
      <alignment horizontal="left" vertical="center" wrapText="1"/>
    </xf>
    <xf numFmtId="43" fontId="10" fillId="14" borderId="7" xfId="1" applyFont="1" applyFill="1" applyBorder="1"/>
    <xf numFmtId="43" fontId="10" fillId="15" borderId="7" xfId="1" applyFont="1" applyFill="1" applyBorder="1"/>
    <xf numFmtId="43" fontId="10" fillId="15" borderId="3" xfId="1" applyFont="1" applyFill="1" applyBorder="1"/>
    <xf numFmtId="0" fontId="9" fillId="10" borderId="0" xfId="0" applyFont="1" applyFill="1" applyAlignment="1">
      <alignment wrapText="1"/>
    </xf>
    <xf numFmtId="43" fontId="10" fillId="11" borderId="1" xfId="1" applyFont="1" applyFill="1" applyBorder="1"/>
    <xf numFmtId="0" fontId="0" fillId="16" borderId="0" xfId="0" applyFill="1"/>
    <xf numFmtId="43" fontId="0" fillId="0" borderId="7" xfId="1" applyFont="1" applyBorder="1"/>
    <xf numFmtId="43" fontId="2" fillId="0" borderId="7" xfId="1" applyFont="1" applyBorder="1" applyAlignment="1">
      <alignment horizontal="center" vertical="center" wrapText="1"/>
    </xf>
    <xf numFmtId="43" fontId="0" fillId="0" borderId="10" xfId="1" applyFont="1" applyBorder="1"/>
    <xf numFmtId="43" fontId="0" fillId="0" borderId="11" xfId="1" applyFont="1" applyBorder="1"/>
    <xf numFmtId="43" fontId="0" fillId="0" borderId="11" xfId="0" applyNumberFormat="1" applyBorder="1"/>
    <xf numFmtId="164" fontId="2" fillId="0" borderId="7" xfId="1" applyNumberFormat="1" applyFont="1" applyBorder="1" applyAlignment="1">
      <alignment horizontal="center" vertical="center" wrapText="1"/>
    </xf>
    <xf numFmtId="43" fontId="2" fillId="0" borderId="20" xfId="0" applyNumberFormat="1" applyFont="1" applyBorder="1" applyAlignment="1">
      <alignment horizontal="center" vertical="center" wrapText="1"/>
    </xf>
    <xf numFmtId="43" fontId="0" fillId="0" borderId="3" xfId="1" applyFont="1" applyBorder="1"/>
    <xf numFmtId="43" fontId="2" fillId="0" borderId="3" xfId="1" applyFont="1" applyBorder="1" applyAlignment="1">
      <alignment horizontal="center" vertical="center" wrapText="1"/>
    </xf>
    <xf numFmtId="43" fontId="0" fillId="0" borderId="12" xfId="1" applyFont="1" applyBorder="1"/>
    <xf numFmtId="43" fontId="0" fillId="0" borderId="8" xfId="1" applyFont="1" applyBorder="1"/>
    <xf numFmtId="43" fontId="0" fillId="0" borderId="8" xfId="0" applyNumberFormat="1" applyBorder="1"/>
    <xf numFmtId="164" fontId="2" fillId="0" borderId="3" xfId="1" applyNumberFormat="1" applyFont="1" applyBorder="1" applyAlignment="1">
      <alignment horizontal="center" vertical="center" wrapText="1"/>
    </xf>
    <xf numFmtId="43" fontId="2" fillId="0" borderId="16" xfId="0" applyNumberFormat="1" applyFont="1" applyBorder="1" applyAlignment="1">
      <alignment horizontal="center" vertical="center" wrapText="1"/>
    </xf>
    <xf numFmtId="43" fontId="0" fillId="17" borderId="7" xfId="1" applyFont="1" applyFill="1" applyBorder="1"/>
    <xf numFmtId="43" fontId="2" fillId="17" borderId="7" xfId="1" applyFont="1" applyFill="1" applyBorder="1" applyAlignment="1">
      <alignment horizontal="center" vertical="center" wrapText="1"/>
    </xf>
    <xf numFmtId="43" fontId="0" fillId="17" borderId="13" xfId="1" applyFont="1" applyFill="1" applyBorder="1"/>
    <xf numFmtId="164" fontId="2" fillId="17" borderId="7" xfId="1" applyNumberFormat="1" applyFont="1" applyFill="1" applyBorder="1" applyAlignment="1">
      <alignment horizontal="center" vertical="center" wrapText="1"/>
    </xf>
    <xf numFmtId="43" fontId="2" fillId="17" borderId="20" xfId="0" applyNumberFormat="1" applyFont="1" applyFill="1" applyBorder="1" applyAlignment="1">
      <alignment horizontal="center" vertical="center" wrapText="1"/>
    </xf>
    <xf numFmtId="43" fontId="0" fillId="17" borderId="10" xfId="1" applyFont="1" applyFill="1" applyBorder="1"/>
    <xf numFmtId="43" fontId="0" fillId="17" borderId="11" xfId="1" applyFont="1" applyFill="1" applyBorder="1"/>
    <xf numFmtId="43" fontId="0" fillId="17" borderId="11" xfId="0" applyNumberFormat="1" applyFill="1" applyBorder="1"/>
    <xf numFmtId="0" fontId="9" fillId="18" borderId="15" xfId="0" applyFont="1" applyFill="1" applyBorder="1" applyAlignment="1">
      <alignment wrapText="1"/>
    </xf>
    <xf numFmtId="0" fontId="9" fillId="18" borderId="17" xfId="0" applyFont="1" applyFill="1" applyBorder="1" applyAlignment="1">
      <alignment wrapText="1"/>
    </xf>
    <xf numFmtId="0" fontId="9" fillId="18" borderId="18" xfId="0" applyFont="1" applyFill="1" applyBorder="1" applyAlignment="1">
      <alignment wrapText="1"/>
    </xf>
    <xf numFmtId="43" fontId="6" fillId="19" borderId="19" xfId="1" applyFont="1" applyFill="1" applyBorder="1" applyAlignment="1">
      <alignment horizontal="left" vertical="center" wrapText="1"/>
    </xf>
    <xf numFmtId="164" fontId="2" fillId="19" borderId="7" xfId="0" applyNumberFormat="1" applyFont="1" applyFill="1" applyBorder="1" applyAlignment="1">
      <alignment horizontal="center" vertical="center" wrapText="1"/>
    </xf>
    <xf numFmtId="164" fontId="0" fillId="19" borderId="7" xfId="1" applyNumberFormat="1" applyFont="1" applyFill="1" applyBorder="1"/>
    <xf numFmtId="43" fontId="0" fillId="19" borderId="7" xfId="1" applyFont="1" applyFill="1" applyBorder="1"/>
    <xf numFmtId="0" fontId="0" fillId="19" borderId="7" xfId="0" applyFill="1" applyBorder="1"/>
    <xf numFmtId="43" fontId="6" fillId="20" borderId="19" xfId="1" applyFont="1" applyFill="1" applyBorder="1" applyAlignment="1">
      <alignment horizontal="left" vertical="center" wrapText="1"/>
    </xf>
    <xf numFmtId="164" fontId="2" fillId="20" borderId="7" xfId="0" applyNumberFormat="1" applyFont="1" applyFill="1" applyBorder="1" applyAlignment="1">
      <alignment horizontal="center" vertical="center" wrapText="1"/>
    </xf>
    <xf numFmtId="164" fontId="0" fillId="20" borderId="7" xfId="1" applyNumberFormat="1" applyFont="1" applyFill="1" applyBorder="1"/>
    <xf numFmtId="43" fontId="0" fillId="20" borderId="7" xfId="1" applyFont="1" applyFill="1" applyBorder="1"/>
    <xf numFmtId="0" fontId="0" fillId="20" borderId="7" xfId="0" applyFill="1" applyBorder="1"/>
    <xf numFmtId="43" fontId="0" fillId="20" borderId="19" xfId="1" applyFont="1" applyFill="1" applyBorder="1" applyAlignment="1">
      <alignment horizontal="left"/>
    </xf>
    <xf numFmtId="43" fontId="0" fillId="19" borderId="19" xfId="1" applyFont="1" applyFill="1" applyBorder="1" applyAlignment="1">
      <alignment horizontal="left"/>
    </xf>
    <xf numFmtId="43" fontId="6" fillId="20" borderId="21" xfId="1" applyFont="1" applyFill="1" applyBorder="1" applyAlignment="1">
      <alignment horizontal="left" vertical="center" wrapText="1"/>
    </xf>
    <xf numFmtId="164" fontId="2" fillId="20" borderId="3" xfId="0" applyNumberFormat="1" applyFont="1" applyFill="1" applyBorder="1" applyAlignment="1">
      <alignment horizontal="center" vertical="center" wrapText="1"/>
    </xf>
    <xf numFmtId="164" fontId="0" fillId="20" borderId="3" xfId="1" applyNumberFormat="1" applyFont="1" applyFill="1" applyBorder="1"/>
    <xf numFmtId="43" fontId="0" fillId="20" borderId="3" xfId="1" applyFont="1" applyFill="1" applyBorder="1"/>
    <xf numFmtId="0" fontId="0" fillId="20" borderId="3" xfId="0" applyFill="1" applyBorder="1"/>
    <xf numFmtId="3" fontId="0" fillId="0" borderId="1" xfId="0" applyNumberFormat="1" applyBorder="1"/>
    <xf numFmtId="0" fontId="5" fillId="0" borderId="1" xfId="0" applyFont="1" applyBorder="1"/>
    <xf numFmtId="0" fontId="9" fillId="10" borderId="14" xfId="0" applyFont="1" applyFill="1" applyBorder="1" applyAlignment="1">
      <alignment wrapText="1"/>
    </xf>
    <xf numFmtId="0" fontId="9" fillId="0" borderId="0" xfId="0" applyFont="1" applyAlignment="1">
      <alignment wrapText="1"/>
    </xf>
    <xf numFmtId="43" fontId="5" fillId="2" borderId="14" xfId="1" applyFont="1" applyFill="1" applyBorder="1" applyAlignment="1">
      <alignment wrapText="1"/>
    </xf>
    <xf numFmtId="0" fontId="9" fillId="21" borderId="14" xfId="0" applyFont="1" applyFill="1" applyBorder="1" applyAlignment="1">
      <alignment wrapText="1"/>
    </xf>
    <xf numFmtId="0" fontId="4" fillId="3" borderId="0" xfId="0" applyFont="1" applyFill="1"/>
    <xf numFmtId="0" fontId="0" fillId="0" borderId="0" xfId="0"/>
  </cellXfs>
  <cellStyles count="2">
    <cellStyle name="Comma" xfId="1" builtinId="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35" formatCode="_(* #,##0.00_);_(* \(#,##0.0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Times New Roman"/>
        <family val="1"/>
        <scheme val="none"/>
      </font>
      <numFmt numFmtId="164" formatCode="_(* #,##0_);_(* \(#,##0\);_(* &quot;-&quot;??_);_(@_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81717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</xdr:row>
          <xdr:rowOff>57150</xdr:rowOff>
        </xdr:from>
        <xdr:to>
          <xdr:col>18</xdr:col>
          <xdr:colOff>114300</xdr:colOff>
          <xdr:row>46</xdr:row>
          <xdr:rowOff>161925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0</xdr:row>
          <xdr:rowOff>114300</xdr:rowOff>
        </xdr:from>
        <xdr:to>
          <xdr:col>8</xdr:col>
          <xdr:colOff>95250</xdr:colOff>
          <xdr:row>9</xdr:row>
          <xdr:rowOff>38100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10</xdr:row>
          <xdr:rowOff>66675</xdr:rowOff>
        </xdr:from>
        <xdr:to>
          <xdr:col>10</xdr:col>
          <xdr:colOff>400050</xdr:colOff>
          <xdr:row>15</xdr:row>
          <xdr:rowOff>123825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16</xdr:row>
          <xdr:rowOff>114300</xdr:rowOff>
        </xdr:from>
        <xdr:to>
          <xdr:col>13</xdr:col>
          <xdr:colOff>114300</xdr:colOff>
          <xdr:row>53</xdr:row>
          <xdr:rowOff>123825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54</xdr:row>
          <xdr:rowOff>76200</xdr:rowOff>
        </xdr:from>
        <xdr:to>
          <xdr:col>13</xdr:col>
          <xdr:colOff>133350</xdr:colOff>
          <xdr:row>72</xdr:row>
          <xdr:rowOff>38100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72</xdr:row>
          <xdr:rowOff>171450</xdr:rowOff>
        </xdr:from>
        <xdr:to>
          <xdr:col>13</xdr:col>
          <xdr:colOff>161925</xdr:colOff>
          <xdr:row>107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428625</xdr:colOff>
          <xdr:row>107</xdr:row>
          <xdr:rowOff>57150</xdr:rowOff>
        </xdr:from>
        <xdr:to>
          <xdr:col>13</xdr:col>
          <xdr:colOff>161925</xdr:colOff>
          <xdr:row>123</xdr:row>
          <xdr:rowOff>38100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123</xdr:row>
          <xdr:rowOff>114300</xdr:rowOff>
        </xdr:from>
        <xdr:to>
          <xdr:col>13</xdr:col>
          <xdr:colOff>142875</xdr:colOff>
          <xdr:row>133</xdr:row>
          <xdr:rowOff>57150</xdr:rowOff>
        </xdr:to>
        <xdr:sp macro="" textlink="">
          <xdr:nvSpPr>
            <xdr:cNvPr id="8199" name="Object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19050</xdr:rowOff>
        </xdr:from>
        <xdr:to>
          <xdr:col>16</xdr:col>
          <xdr:colOff>304800</xdr:colOff>
          <xdr:row>29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</xdr:row>
          <xdr:rowOff>38100</xdr:rowOff>
        </xdr:from>
        <xdr:to>
          <xdr:col>13</xdr:col>
          <xdr:colOff>104775</xdr:colOff>
          <xdr:row>43</xdr:row>
          <xdr:rowOff>9525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4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9</xdr:col>
          <xdr:colOff>371475</xdr:colOff>
          <xdr:row>404</xdr:row>
          <xdr:rowOff>142875</xdr:rowOff>
        </xdr:to>
        <xdr:sp macro="" textlink="">
          <xdr:nvSpPr>
            <xdr:cNvPr id="2125" name="Object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4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0</xdr:colOff>
          <xdr:row>142</xdr:row>
          <xdr:rowOff>171450</xdr:rowOff>
        </xdr:from>
        <xdr:to>
          <xdr:col>44</xdr:col>
          <xdr:colOff>285750</xdr:colOff>
          <xdr:row>196</xdr:row>
          <xdr:rowOff>171450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5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390525</xdr:colOff>
          <xdr:row>190</xdr:row>
          <xdr:rowOff>123825</xdr:rowOff>
        </xdr:from>
        <xdr:to>
          <xdr:col>12</xdr:col>
          <xdr:colOff>762000</xdr:colOff>
          <xdr:row>404</xdr:row>
          <xdr:rowOff>142875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5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9132/Google%20Drive/ExcelAnswerKeys/ExcelRedo/Tweak/Week1/TheModel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/>
      <sheetData sheetId="1">
        <row r="3">
          <cell r="B3">
            <v>5.2499999999999998E-2</v>
          </cell>
        </row>
        <row r="22">
          <cell r="B22" t="str">
            <v>—</v>
          </cell>
        </row>
        <row r="23">
          <cell r="B23">
            <v>90000</v>
          </cell>
        </row>
      </sheetData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440D1E09-45BD-48FB-B84C-C2F71FA62AA7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2698F-F4C3-4EC1-A145-C3CBB17043DB}" name="Calculations" displayName="Calculations" ref="A11:Y43" totalsRowShown="0" headerRowDxfId="33" headerRowBorderDxfId="32" tableBorderDxfId="31">
  <autoFilter ref="A11:Y43" xr:uid="{8F52698F-F4C3-4EC1-A145-C3CBB17043DB}"/>
  <tableColumns count="25">
    <tableColumn id="1" xr3:uid="{35E11B06-AE94-4C04-99FD-A0719B092B9D}" name="Values as of" dataDxfId="30" dataCellStyle="Comma"/>
    <tableColumn id="2" xr3:uid="{B5FC35DC-3A4D-4360-AF36-96A1051CF114}" name="Year" dataDxfId="29">
      <calculatedColumnFormula>IFERROR(IF(FIND("Anniversary",A12)&gt;0,B11+1,B11),B11)</calculatedColumnFormula>
    </tableColumn>
    <tableColumn id="3" xr3:uid="{108645C7-0261-4664-B00F-76625279E549}" name="Day" dataDxfId="28" dataCellStyle="Comma">
      <calculatedColumnFormula>VALUE(IFERROR(TRIM(MID(Calculations[[#This Row],[Values as of]],FIND("Day ",Calculations[[#This Row],[Values as of]])+4,LEN(Calculations[[#This Row],[Values as of]])-FIND("Day ",Calculations[[#This Row],[Values as of]])+4)),0))</calculatedColumnFormula>
    </tableColumn>
    <tableColumn id="4" xr3:uid="{2AF1D656-7BDF-4B1F-BC38-347EE6AE417E}" name="Time From Valuation" dataDxfId="27" dataCellStyle="Comma">
      <calculatedColumnFormula>Calculations[[#This Row],[Year]]+Calculations[[#This Row],[Day]]/365-1</calculatedColumnFormula>
    </tableColumn>
    <tableColumn id="5" xr3:uid="{39B4B3DE-BE99-48BB-BE4A-ACABC8EB99A0}" name="Is Activation" dataDxfId="26" dataCellStyle="Comma">
      <calculatedColumnFormula>Calculations[[#This Row],[Time From Valuation]]&gt;=Activation_Time</calculatedColumnFormula>
    </tableColumn>
    <tableColumn id="6" xr3:uid="{64711989-135C-4E76-B57E-6C519C6E343E}" name="Purchase Payments Invested" dataDxfId="25" dataCellStyle="Comma">
      <calculatedColumnFormula>AL12</calculatedColumnFormula>
    </tableColumn>
    <tableColumn id="7" xr3:uid="{700E5071-B00D-4C49-AA06-56E85F70203D}" name="Contract Value" dataDxfId="24" dataCellStyle="Comma">
      <calculatedColumnFormula>AM12</calculatedColumnFormula>
    </tableColumn>
    <tableColumn id="8" xr3:uid="{BE64AA4B-9D1B-4276-8D9C-A775E3CCCEC1}" name="Withdrawal Taken" dataDxfId="23" dataCellStyle="Comma">
      <calculatedColumnFormula>AN12</calculatedColumnFormula>
    </tableColumn>
    <tableColumn id="16" xr3:uid="{CAA1A54A-B424-42B8-BB5A-A29CF8B80958}" name="Has Lifetime Income Started" dataDxfId="22" dataCellStyle="Comma">
      <calculatedColumnFormula>Calculations[[#This Row],[Contract Value]]&lt;=0.01</calculatedColumnFormula>
    </tableColumn>
    <tableColumn id="9" xr3:uid="{C5BAAA56-7976-4C9C-BD2B-200CE897CEC2}" name="Has a Withdrawal Occurred After Activation" dataDxfId="21">
      <calculatedColumnFormula>AND(Calculations[[#This Row],[Is Activation]],SUMIFS($H$12:$H12,$E$12:$E12,TRUE)&gt;0)</calculatedColumnFormula>
    </tableColumn>
    <tableColumn id="17" xr3:uid="{F1B4135C-82CC-4D45-ABCC-1EEE156C8A38}" name="Is Anniversary" dataDxfId="20">
      <calculatedColumnFormula>Calculations[[#This Row],[Day]]=0</calculatedColumnFormula>
    </tableColumn>
    <tableColumn id="19" xr3:uid="{FE6D7E2D-04BC-43F0-8FC9-B707546BAE6D}" name="Withdrawal Haircut Before Activation" dataDxfId="19"/>
    <tableColumn id="18" xr3:uid="{CC4BF814-2AF0-428B-BBF7-A0B4546D08AF}" name="Withdrawal Haircut After Activation" dataDxfId="18"/>
    <tableColumn id="10" xr3:uid="{DFEBBFE6-8F3B-442F-88CC-E77B63FBC7E4}" name="Withdrawal Penalty" dataDxfId="17" dataCellStyle="Comma">
      <calculatedColumnFormula>1-IF(AND(Calculations[[#This Row],[Has a Withdrawal Occurred After Activation]],Calculations[[#This Row],[Withdrawal Taken]]&gt;X11),(Calculations[[#This Row],[Withdrawal Taken]]-X11)/(Calculations[[#This Row],[Contract Value]]-X11),IF(NOT(Calculations[[#This Row],[Has a Withdrawal Occurred After Activation]]),X11/Calculations[[#This Row],[Contract Value]],0))</calculatedColumnFormula>
    </tableColumn>
    <tableColumn id="11" xr3:uid="{C025862D-219D-4439-9374-759B7BCA342C}" name="Step-up Value">
      <calculatedColumnFormula>#REF!+#REF!</calculatedColumnFormula>
    </tableColumn>
    <tableColumn id="24" xr3:uid="{98CD16DC-A17E-4164-8C7C-AE371779FD6E}" name="Starting Minimum Income Base" dataDxfId="16" dataCellStyle="Comma">
      <calculatedColumnFormula>IF(Calculations[[#This Row],[Has a Withdrawal Occurred After Activation]],0,(1+INT(Calculations[[#This Row],[Time From Valuation]])*Minimum_Income_Base_Percentage))*InitialPurchasePayment</calculatedColumnFormula>
    </tableColumn>
    <tableColumn id="23" xr3:uid="{E4BD7AED-5B54-4B45-A216-CEB9121197F7}" name="Purchase Payment 1" dataDxfId="15" dataCellStyle="Comma">
      <calculatedColumnFormula>IF(Calculations[[#This Row],[Has a Withdrawal Occurred After Activation]],0,(1+INT(Calculations[[#This Row],[Time From Valuation]])*Minimum_Income_Base_Percentage))*IF(Calculations[[#This Row],[Time From Valuation]]+0.001&gt;=Purchase_Pay_1_Time,Purchase_Pay_1,0)</calculatedColumnFormula>
    </tableColumn>
    <tableColumn id="22" xr3:uid="{644423E4-FACF-46EB-8BFE-8238508CFE1E}" name="Purchase Payment 2" dataDxfId="14" dataCellStyle="Comma">
      <calculatedColumnFormula>IF(Calculations[[#This Row],[Has a Withdrawal Occurred After Activation]],0,(1+INT(Calculations[[#This Row],[Time From Valuation]]-1)*Minimum_Income_Base_Percentage))*IF(Calculations[[#This Row],[Time From Valuation]]+0.001&gt;Purchase_Pay_2_Time,Purchase_Pay_2,0)</calculatedColumnFormula>
    </tableColumn>
    <tableColumn id="27" xr3:uid="{9A09F93F-032B-45B4-93DC-B1EBAAF4AAD3}" name="Accum Withdrawal Penalty" dataDxfId="13" dataCellStyle="Comma">
      <calculatedColumnFormula>IF(Calculations[[#This Row],[Has a Withdrawal Occurred After Activation]],0,PRODUCT($N$12:$N12))</calculatedColumnFormula>
    </tableColumn>
    <tableColumn id="12" xr3:uid="{68D7F5EB-3D09-4A54-8D37-D179F82792A3}" name="Minimum Income Base" dataDxfId="12" dataCellStyle="Comma">
      <calculatedColumnFormula>(Calculations[[#This Row],[Starting Minimum Income Base]]+Calculations[[#This Row],[Purchase Payment 1]]+Calculations[[#This Row],[Purchase Payment 2]])*Calculations[[#This Row],[Accum Withdrawal Penalty]]</calculatedColumnFormula>
    </tableColumn>
    <tableColumn id="21" xr3:uid="{8CB9744B-18F9-4319-9B3F-7ABABE0684C1}" name="Pre-Activation Income Base" dataDxfId="11" dataCellStyle="Comma">
      <calculatedColumnFormula>G12</calculatedColumnFormula>
    </tableColumn>
    <tableColumn id="20" xr3:uid="{610A19DD-3849-42BB-BB35-5828CF8A45D2}" name="Post-Activation Income Base" dataDxfId="10" dataCellStyle="Comma"/>
    <tableColumn id="13" xr3:uid="{51563730-A366-43FE-B9EC-5A049DABC4F4}" name="Income Base"/>
    <tableColumn id="14" xr3:uid="{4A7CB67C-4A28-427E-AD6C-7653B8C0A29E}" name="Maximum Annual Withdrawal Amount upon Activation" dataDxfId="9" dataCellStyle="Comma">
      <calculatedColumnFormula>IF(NOT(Calculations[[#This Row],[Has Lifetime Income Started]]),Calculations[[#This Row],[Income Base]]*MAW,0)</calculatedColumnFormula>
    </tableColumn>
    <tableColumn id="15" xr3:uid="{DDE7982C-9239-4996-80B6-B9BE5C2918CC}" name="Protected Income Payment" dataDxfId="8">
      <calculatedColumnFormula>IF(AND(Calculations[[#This Row],[Has Lifetime Income Started]],Calculations[[#This Row],[Is Anniversary]]),PIP*Calculations[[#This Row],[Income Base]],0)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D8C92119-0668-4C6F-9865-E4AB3A78806D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FFBD731E-FE02-4EC9-8135-254F8D04D25D}">
    <text>Assuming no withdrawals at the start of the projection</text>
  </threadedComment>
  <threadedComment ref="M12" dT="2022-01-06T17:32:48.04" personId="{440D1E09-45BD-48FB-B84C-C2F71FA62AA7}" id="{1C78431E-280F-4B25-B5C8-9C5E3FD20E2A}">
    <text>Assuming no withdrawals at the start of the projection</text>
  </threadedComment>
  <threadedComment ref="AP20" dT="2022-01-06T21:18:10.91" personId="{440D1E09-45BD-48FB-B84C-C2F71FA62AA7}" id="{A6C92B18-6F4A-4C7F-917A-B3F4DA38CBDD}">
    <text>Off By 400</text>
  </threadedComment>
  <threadedComment ref="AR42" dT="2022-01-06T22:07:51.75" personId="{440D1E09-45BD-48FB-B84C-C2F71FA62AA7}" id="{B9FCF77A-44A3-41EE-A126-02D06A15CAF8}">
    <text>I think the value in the original prospectus of 19059 was an error because the contract value is zero. They are now in the protected income period.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1-12-30T14:58:15.36" personId="{440D1E09-45BD-48FB-B84C-C2F71FA62AA7}" id="{2A722F17-84E9-48A8-9467-707941403070}">
    <text>Lifetime Income before each Benefit Year Anniversary up to the Activation Date, an annual Minimum Income Base Percentage of 5%
Minimum Income
Base: 5% simple
interest applied
annually to Purchase
Payments received
prior to the Activation
Date.</text>
  </threadedComment>
  <threadedComment ref="L12" dT="2022-01-06T17:32:48.04" personId="{440D1E09-45BD-48FB-B84C-C2F71FA62AA7}" id="{7580B706-8302-4071-9492-5B62F08639B6}">
    <text>Assuming no withdrawals at the start of the projection</text>
  </threadedComment>
  <threadedComment ref="M12" dT="2022-01-06T17:32:48.04" personId="{440D1E09-45BD-48FB-B84C-C2F71FA62AA7}" id="{AE068C75-4E5A-46B6-A5C7-50D0E8EFC4C9}">
    <text>Assuming no withdrawals at the start of the projection</text>
  </threadedComment>
  <threadedComment ref="AP20" dT="2022-01-06T21:18:10.91" personId="{440D1E09-45BD-48FB-B84C-C2F71FA62AA7}" id="{7C19DC2E-C9F1-4C0B-9D72-4A4BFDF3FAE8}">
    <text>Off By 400</text>
  </threadedComment>
  <threadedComment ref="AR42" dT="2022-01-06T22:07:51.75" personId="{440D1E09-45BD-48FB-B84C-C2F71FA62AA7}" id="{E1241473-E6EC-4B09-A529-6E5298DFE906}">
    <text>I think the value in the original prospectus of 19059 was an error because the contract value is zero. They are now in the protected income period.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20" dT="2022-01-06T21:18:10.91" personId="{440D1E09-45BD-48FB-B84C-C2F71FA62AA7}" id="{01962224-E91A-4C1F-AC07-1E7B40DFD287}">
    <text>Off By 400</text>
  </threadedComment>
  <threadedComment ref="AR42" dT="2022-01-06T22:07:51.75" personId="{440D1E09-45BD-48FB-B84C-C2F71FA62AA7}" id="{A037FA31-5461-424B-B5D6-6DDBAF66760C}">
    <text>I think the value in the original prospectus of 19059 was an error because the contract value is zero. They are now in the protected income period.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N20" dT="2022-01-06T21:18:10.91" personId="{440D1E09-45BD-48FB-B84C-C2F71FA62AA7}" id="{36FB91C0-6B19-478D-94DC-0FB35D59F884}">
    <text>Off By 400</text>
  </threadedComment>
  <threadedComment ref="AP42" dT="2022-01-06T22:07:51.75" personId="{440D1E09-45BD-48FB-B84C-C2F71FA62AA7}" id="{9F44B937-087E-4DFC-8BE6-E822DA51CAD0}">
    <text>I think the value in the original prospectus of 19059 was an error because the contract value is zero. They are now in the protected income period.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3652194-2E1C-4D78-B5DB-ADAF9F667629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17F66A6-C359-4C14-9222-3C4529CC0797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5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package" Target="../embeddings/Microsoft_Word_Document11.docx"/><Relationship Id="rId5" Type="http://schemas.openxmlformats.org/officeDocument/2006/relationships/image" Target="../media/image11.emf"/><Relationship Id="rId10" Type="http://schemas.microsoft.com/office/2017/10/relationships/threadedComment" Target="../threadedComments/threadedComment1.xml"/><Relationship Id="rId4" Type="http://schemas.openxmlformats.org/officeDocument/2006/relationships/package" Target="../embeddings/Microsoft_Word_Document10.docx"/><Relationship Id="rId9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6.vml"/><Relationship Id="rId7" Type="http://schemas.openxmlformats.org/officeDocument/2006/relationships/image" Target="../media/image14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package" Target="../embeddings/Microsoft_Word_Document13.docx"/><Relationship Id="rId5" Type="http://schemas.openxmlformats.org/officeDocument/2006/relationships/image" Target="../media/image13.emf"/><Relationship Id="rId4" Type="http://schemas.openxmlformats.org/officeDocument/2006/relationships/package" Target="../embeddings/Microsoft_Word_Document12.docx"/><Relationship Id="rId9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57BA-1FD5-4651-8444-32F880EA72A5}">
  <sheetPr>
    <tabColor theme="5" tint="0.79998168889431442"/>
  </sheetPr>
  <dimension ref="A1"/>
  <sheetViews>
    <sheetView topLeftCell="A7" workbookViewId="0">
      <selection activeCell="J49" sqref="J49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581025</xdr:colOff>
                <xdr:row>1</xdr:row>
                <xdr:rowOff>57150</xdr:rowOff>
              </from>
              <to>
                <xdr:col>18</xdr:col>
                <xdr:colOff>114300</xdr:colOff>
                <xdr:row>46</xdr:row>
                <xdr:rowOff>161925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07AA-EE3B-419C-B69C-B0A686201F6A}">
  <sheetPr>
    <tabColor theme="9" tint="0.79998168889431442"/>
  </sheetPr>
  <dimension ref="A1"/>
  <sheetViews>
    <sheetView workbookViewId="0">
      <selection activeCell="N5" sqref="N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8193" r:id="rId4">
          <objectPr defaultSize="0" r:id="rId5">
            <anchor moveWithCells="1">
              <from>
                <xdr:col>0</xdr:col>
                <xdr:colOff>590550</xdr:colOff>
                <xdr:row>0</xdr:row>
                <xdr:rowOff>114300</xdr:rowOff>
              </from>
              <to>
                <xdr:col>8</xdr:col>
                <xdr:colOff>95250</xdr:colOff>
                <xdr:row>9</xdr:row>
                <xdr:rowOff>38100</xdr:rowOff>
              </to>
            </anchor>
          </objectPr>
        </oleObject>
      </mc:Choice>
      <mc:Fallback>
        <oleObject progId="Word.Document.12" shapeId="8193" r:id="rId4"/>
      </mc:Fallback>
    </mc:AlternateContent>
    <mc:AlternateContent xmlns:mc="http://schemas.openxmlformats.org/markup-compatibility/2006">
      <mc:Choice Requires="x14">
        <oleObject progId="Word.Document.12" shapeId="8194" r:id="rId6">
          <objectPr defaultSize="0" r:id="rId7">
            <anchor moveWithCells="1">
              <from>
                <xdr:col>0</xdr:col>
                <xdr:colOff>552450</xdr:colOff>
                <xdr:row>10</xdr:row>
                <xdr:rowOff>66675</xdr:rowOff>
              </from>
              <to>
                <xdr:col>10</xdr:col>
                <xdr:colOff>400050</xdr:colOff>
                <xdr:row>15</xdr:row>
                <xdr:rowOff>123825</xdr:rowOff>
              </to>
            </anchor>
          </objectPr>
        </oleObject>
      </mc:Choice>
      <mc:Fallback>
        <oleObject progId="Word.Document.12" shapeId="8194" r:id="rId6"/>
      </mc:Fallback>
    </mc:AlternateContent>
    <mc:AlternateContent xmlns:mc="http://schemas.openxmlformats.org/markup-compatibility/2006">
      <mc:Choice Requires="x14">
        <oleObject progId="Word.Document.12" shapeId="8195" r:id="rId8">
          <objectPr defaultSize="0" r:id="rId9">
            <anchor moveWithCells="1">
              <from>
                <xdr:col>0</xdr:col>
                <xdr:colOff>533400</xdr:colOff>
                <xdr:row>16</xdr:row>
                <xdr:rowOff>114300</xdr:rowOff>
              </from>
              <to>
                <xdr:col>13</xdr:col>
                <xdr:colOff>114300</xdr:colOff>
                <xdr:row>53</xdr:row>
                <xdr:rowOff>123825</xdr:rowOff>
              </to>
            </anchor>
          </objectPr>
        </oleObject>
      </mc:Choice>
      <mc:Fallback>
        <oleObject progId="Word.Document.12" shapeId="8195" r:id="rId8"/>
      </mc:Fallback>
    </mc:AlternateContent>
    <mc:AlternateContent xmlns:mc="http://schemas.openxmlformats.org/markup-compatibility/2006">
      <mc:Choice Requires="x14">
        <oleObject progId="Word.Document.12" shapeId="8196" r:id="rId10">
          <objectPr defaultSize="0" r:id="rId11">
            <anchor moveWithCells="1">
              <from>
                <xdr:col>0</xdr:col>
                <xdr:colOff>523875</xdr:colOff>
                <xdr:row>54</xdr:row>
                <xdr:rowOff>76200</xdr:rowOff>
              </from>
              <to>
                <xdr:col>13</xdr:col>
                <xdr:colOff>133350</xdr:colOff>
                <xdr:row>72</xdr:row>
                <xdr:rowOff>38100</xdr:rowOff>
              </to>
            </anchor>
          </objectPr>
        </oleObject>
      </mc:Choice>
      <mc:Fallback>
        <oleObject progId="Word.Document.12" shapeId="8196" r:id="rId10"/>
      </mc:Fallback>
    </mc:AlternateContent>
    <mc:AlternateContent xmlns:mc="http://schemas.openxmlformats.org/markup-compatibility/2006">
      <mc:Choice Requires="x14">
        <oleObject progId="Word.Document.12" shapeId="8197" r:id="rId12">
          <objectPr defaultSize="0" r:id="rId13">
            <anchor moveWithCells="1">
              <from>
                <xdr:col>0</xdr:col>
                <xdr:colOff>381000</xdr:colOff>
                <xdr:row>72</xdr:row>
                <xdr:rowOff>171450</xdr:rowOff>
              </from>
              <to>
                <xdr:col>13</xdr:col>
                <xdr:colOff>161925</xdr:colOff>
                <xdr:row>107</xdr:row>
                <xdr:rowOff>0</xdr:rowOff>
              </to>
            </anchor>
          </objectPr>
        </oleObject>
      </mc:Choice>
      <mc:Fallback>
        <oleObject progId="Word.Document.12" shapeId="8197" r:id="rId12"/>
      </mc:Fallback>
    </mc:AlternateContent>
    <mc:AlternateContent xmlns:mc="http://schemas.openxmlformats.org/markup-compatibility/2006">
      <mc:Choice Requires="x14">
        <oleObject progId="Word.Document.12" shapeId="8198" r:id="rId14">
          <objectPr defaultSize="0" r:id="rId15">
            <anchor moveWithCells="1">
              <from>
                <xdr:col>0</xdr:col>
                <xdr:colOff>428625</xdr:colOff>
                <xdr:row>107</xdr:row>
                <xdr:rowOff>57150</xdr:rowOff>
              </from>
              <to>
                <xdr:col>13</xdr:col>
                <xdr:colOff>161925</xdr:colOff>
                <xdr:row>123</xdr:row>
                <xdr:rowOff>38100</xdr:rowOff>
              </to>
            </anchor>
          </objectPr>
        </oleObject>
      </mc:Choice>
      <mc:Fallback>
        <oleObject progId="Word.Document.12" shapeId="8198" r:id="rId14"/>
      </mc:Fallback>
    </mc:AlternateContent>
    <mc:AlternateContent xmlns:mc="http://schemas.openxmlformats.org/markup-compatibility/2006">
      <mc:Choice Requires="x14">
        <oleObject progId="Word.Document.12" shapeId="8199" r:id="rId16">
          <objectPr defaultSize="0" r:id="rId17">
            <anchor moveWithCells="1">
              <from>
                <xdr:col>0</xdr:col>
                <xdr:colOff>390525</xdr:colOff>
                <xdr:row>123</xdr:row>
                <xdr:rowOff>114300</xdr:rowOff>
              </from>
              <to>
                <xdr:col>13</xdr:col>
                <xdr:colOff>142875</xdr:colOff>
                <xdr:row>133</xdr:row>
                <xdr:rowOff>57150</xdr:rowOff>
              </to>
            </anchor>
          </objectPr>
        </oleObject>
      </mc:Choice>
      <mc:Fallback>
        <oleObject progId="Word.Document.12" shapeId="8199" r:id="rId1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13C9-4F93-45B7-AE49-4BEDC283764E}">
  <sheetPr>
    <tabColor theme="9" tint="0.79998168889431442"/>
  </sheetPr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autoPict="0" r:id="rId5">
            <anchor moveWithCells="1">
              <from>
                <xdr:col>1</xdr:col>
                <xdr:colOff>19050</xdr:colOff>
                <xdr:row>1</xdr:row>
                <xdr:rowOff>19050</xdr:rowOff>
              </from>
              <to>
                <xdr:col>16</xdr:col>
                <xdr:colOff>304800</xdr:colOff>
                <xdr:row>29</xdr:row>
                <xdr:rowOff>28575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E486-A6FF-4B8B-BAC6-7CE6A0F2F8D4}">
  <sheetPr>
    <tabColor theme="9" tint="0.79998168889431442"/>
  </sheetPr>
  <dimension ref="A1"/>
  <sheetViews>
    <sheetView topLeftCell="A13" workbookViewId="0">
      <selection activeCell="P31" sqref="P31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defaultSize="0" r:id="rId5">
            <anchor moveWithCells="1">
              <from>
                <xdr:col>1</xdr:col>
                <xdr:colOff>142875</xdr:colOff>
                <xdr:row>1</xdr:row>
                <xdr:rowOff>38100</xdr:rowOff>
              </from>
              <to>
                <xdr:col>13</xdr:col>
                <xdr:colOff>104775</xdr:colOff>
                <xdr:row>43</xdr:row>
                <xdr:rowOff>9525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C774-69E3-4926-BF0A-3644483A5AF8}">
  <sheetPr>
    <tabColor theme="2" tint="-0.499984740745262"/>
  </sheetPr>
  <dimension ref="A1:AS138"/>
  <sheetViews>
    <sheetView topLeftCell="A2" zoomScaleNormal="100" workbookViewId="0">
      <pane xSplit="1" ySplit="10" topLeftCell="B12" activePane="bottomRight" state="frozen"/>
      <selection activeCell="A2" sqref="A2"/>
      <selection pane="topRight" activeCell="B2" sqref="B2"/>
      <selection pane="bottomLeft" activeCell="A12" sqref="A12"/>
      <selection pane="bottomRight" activeCell="Q12" sqref="Q12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23.7109375" bestFit="1" customWidth="1" outlineLevel="1"/>
    <col min="4" max="4" width="12.7109375" bestFit="1" customWidth="1"/>
    <col min="5" max="5" width="12.28515625" bestFit="1" customWidth="1"/>
    <col min="6" max="6" width="12" bestFit="1" customWidth="1"/>
    <col min="7" max="7" width="16.42578125" bestFit="1" customWidth="1"/>
    <col min="8" max="8" width="13.7109375" bestFit="1" customWidth="1"/>
    <col min="9" max="9" width="13.7109375" customWidth="1"/>
    <col min="10" max="10" width="18.140625" bestFit="1" customWidth="1"/>
    <col min="11" max="11" width="18.140625" customWidth="1"/>
    <col min="12" max="13" width="18.140625" customWidth="1" outlineLevel="1"/>
    <col min="14" max="14" width="13.7109375" bestFit="1" customWidth="1"/>
    <col min="15" max="15" width="11.5703125" bestFit="1" customWidth="1"/>
    <col min="16" max="16" width="11.5703125" customWidth="1" outlineLevel="1"/>
    <col min="17" max="17" width="12.5703125" customWidth="1" outlineLevel="1"/>
    <col min="18" max="19" width="11.5703125" customWidth="1" outlineLevel="1"/>
    <col min="20" max="20" width="11.5703125" bestFit="1" customWidth="1"/>
    <col min="21" max="22" width="11.5703125" customWidth="1" outlineLevel="1"/>
    <col min="23" max="23" width="14.42578125" bestFit="1" customWidth="1"/>
    <col min="24" max="24" width="15.5703125" bestFit="1" customWidth="1"/>
    <col min="25" max="25" width="27.85546875" bestFit="1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55</v>
      </c>
      <c r="B2">
        <v>3.2</v>
      </c>
      <c r="C2" s="2"/>
      <c r="D2" s="157" t="s">
        <v>80</v>
      </c>
      <c r="E2" s="157" t="s">
        <v>79</v>
      </c>
    </row>
    <row r="3" spans="1:45" x14ac:dyDescent="0.25">
      <c r="A3" t="s">
        <v>33</v>
      </c>
      <c r="B3">
        <v>65</v>
      </c>
      <c r="C3" s="157" t="s">
        <v>78</v>
      </c>
      <c r="D3" s="2">
        <v>0</v>
      </c>
      <c r="E3" s="3">
        <v>100000</v>
      </c>
    </row>
    <row r="4" spans="1:45" x14ac:dyDescent="0.25">
      <c r="A4" t="s">
        <v>34</v>
      </c>
      <c r="B4">
        <v>0.06</v>
      </c>
      <c r="C4" s="157" t="s">
        <v>70</v>
      </c>
      <c r="D4" s="2">
        <v>0.54794520547945202</v>
      </c>
      <c r="E4" s="3">
        <v>60000</v>
      </c>
    </row>
    <row r="5" spans="1:45" x14ac:dyDescent="0.25">
      <c r="A5" t="s">
        <v>85</v>
      </c>
      <c r="B5">
        <v>0.04</v>
      </c>
      <c r="C5" s="157" t="s">
        <v>73</v>
      </c>
      <c r="D5" s="2">
        <v>1.493150684931507</v>
      </c>
      <c r="E5" s="156">
        <v>90000</v>
      </c>
    </row>
    <row r="6" spans="1:45" x14ac:dyDescent="0.25">
      <c r="A6" t="s">
        <v>51</v>
      </c>
      <c r="B6">
        <v>0.05</v>
      </c>
    </row>
    <row r="7" spans="1:45" ht="15" customHeight="1" x14ac:dyDescent="0.25">
      <c r="AK7" s="162" t="s">
        <v>45</v>
      </c>
      <c r="AL7" s="162"/>
      <c r="AM7" s="163"/>
      <c r="AN7" s="163"/>
    </row>
    <row r="8" spans="1:45" ht="15" customHeight="1" x14ac:dyDescent="0.25">
      <c r="A8" s="162" t="s">
        <v>61</v>
      </c>
      <c r="B8" s="162"/>
      <c r="C8" s="163"/>
      <c r="D8" s="163"/>
      <c r="AA8" s="162" t="s">
        <v>48</v>
      </c>
      <c r="AB8" s="162"/>
      <c r="AC8" s="163"/>
      <c r="AD8" s="163"/>
      <c r="AK8" s="162"/>
      <c r="AL8" s="162"/>
      <c r="AM8" s="163"/>
      <c r="AN8" s="163"/>
    </row>
    <row r="9" spans="1:45" x14ac:dyDescent="0.25">
      <c r="A9" s="162"/>
      <c r="B9" s="162"/>
      <c r="C9" s="163"/>
      <c r="D9" s="163"/>
      <c r="AA9" s="162"/>
      <c r="AB9" s="162"/>
      <c r="AC9" s="163"/>
      <c r="AD9" s="163"/>
    </row>
    <row r="10" spans="1:45" ht="18.75" x14ac:dyDescent="0.3">
      <c r="A10" s="44">
        <f ca="1">SUM(AB12:AI43)</f>
        <v>3.0409559320160042</v>
      </c>
      <c r="O10" s="113"/>
      <c r="V10" s="113"/>
    </row>
    <row r="11" spans="1:45" ht="86.25" customHeight="1" x14ac:dyDescent="0.25">
      <c r="A11" s="33" t="s">
        <v>76</v>
      </c>
      <c r="B11" s="34" t="s">
        <v>46</v>
      </c>
      <c r="C11" s="34" t="s">
        <v>47</v>
      </c>
      <c r="D11" s="34" t="s">
        <v>54</v>
      </c>
      <c r="E11" s="34" t="s">
        <v>56</v>
      </c>
      <c r="F11" s="34" t="s">
        <v>77</v>
      </c>
      <c r="G11" s="34" t="s">
        <v>65</v>
      </c>
      <c r="H11" s="34" t="s">
        <v>10</v>
      </c>
      <c r="I11" s="34" t="s">
        <v>57</v>
      </c>
      <c r="J11" s="34" t="s">
        <v>62</v>
      </c>
      <c r="K11" s="34" t="s">
        <v>58</v>
      </c>
      <c r="L11" s="34" t="s">
        <v>63</v>
      </c>
      <c r="M11" s="34" t="s">
        <v>64</v>
      </c>
      <c r="N11" s="34" t="s">
        <v>49</v>
      </c>
      <c r="O11" s="34" t="s">
        <v>0</v>
      </c>
      <c r="P11" s="34" t="s">
        <v>67</v>
      </c>
      <c r="Q11" s="34" t="s">
        <v>68</v>
      </c>
      <c r="R11" s="34" t="s">
        <v>72</v>
      </c>
      <c r="S11" s="34" t="s">
        <v>74</v>
      </c>
      <c r="T11" s="34" t="s">
        <v>75</v>
      </c>
      <c r="U11" s="34" t="s">
        <v>59</v>
      </c>
      <c r="V11" s="34" t="s">
        <v>60</v>
      </c>
      <c r="W11" s="34" t="s">
        <v>66</v>
      </c>
      <c r="X11" s="34" t="s">
        <v>29</v>
      </c>
      <c r="Y11" s="35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30" t="s">
        <v>53</v>
      </c>
      <c r="B12" s="6">
        <v>1</v>
      </c>
      <c r="C12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2" s="14">
        <f>Calculations[[#This Row],[Year]]+Calculations[[#This Row],[Day]]/365-1</f>
        <v>0</v>
      </c>
      <c r="E12" s="14" t="b">
        <f>Calculations[[#This Row],[Time From Valuation]]&gt;=Activation_Time</f>
        <v>0</v>
      </c>
      <c r="F12" s="15">
        <f>InitialPurchasePayment</f>
        <v>100000</v>
      </c>
      <c r="G12" s="29">
        <f>Calculations[[#This Row],[Purchase Payments Invested]]</f>
        <v>100000</v>
      </c>
      <c r="H12" s="29">
        <f t="shared" ref="H12:H43" si="0">AN12</f>
        <v>0</v>
      </c>
      <c r="I12" s="15" t="b">
        <f>Calculations[[#This Row],[Contract Value]]&lt;=0.01</f>
        <v>0</v>
      </c>
      <c r="J12" s="2" t="b">
        <f>AND(Calculations[[#This Row],[Is Activation]],SUMIFS($H$12:$H12,$E$12:$E12,TRUE)&gt;0)</f>
        <v>0</v>
      </c>
      <c r="K12" s="2" t="b">
        <f>Calculations[[#This Row],[Day]]=0</f>
        <v>1</v>
      </c>
      <c r="L12" s="16">
        <v>0</v>
      </c>
      <c r="M12" s="16">
        <v>0</v>
      </c>
      <c r="N1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2" s="1">
        <v>0</v>
      </c>
      <c r="P12" s="1">
        <f>IF(Calculations[[#This Row],[Has a Withdrawal Occurred After Activation]],0,(1+INT(Calculations[[#This Row],[Time From Valuation]])*Minimum_Income_Base_Percentage))*InitialPurchasePayment</f>
        <v>100000</v>
      </c>
      <c r="Q1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2" s="1">
        <f>IF(Calculations[[#This Row],[Has a Withdrawal Occurred After Activation]],0,PRODUCT($N$12:$N12))</f>
        <v>1</v>
      </c>
      <c r="T12" s="14">
        <f>(Calculations[[#This Row],[Starting Minimum Income Base]]+Calculations[[#This Row],[Purchase Payment 1]]+Calculations[[#This Row],[Purchase Payment 2]])*Calculations[[#This Row],[Accum Withdrawal Penalty]]</f>
        <v>100000</v>
      </c>
      <c r="U12" s="37">
        <f>G12</f>
        <v>100000</v>
      </c>
      <c r="V12" s="37">
        <v>0</v>
      </c>
      <c r="W12" s="1">
        <f>G12</f>
        <v>100000</v>
      </c>
      <c r="X12" s="9">
        <f>IF(NOT(Calculations[[#This Row],[Has Lifetime Income Started]]),Calculations[[#This Row],[Income Base]]*MAW,0)</f>
        <v>6000</v>
      </c>
      <c r="Y12" s="32">
        <f>IF(AND(Calculations[[#This Row],[Has Lifetime Income Started]],Calculations[[#This Row],[Is Anniversary]]),PIP*Calculations[[#This Row],[Income Base]],0)</f>
        <v>0</v>
      </c>
      <c r="Z12" s="1"/>
      <c r="AA12" s="23" t="s">
        <v>1</v>
      </c>
      <c r="AB12" s="14">
        <f>Calculations[[#This Row],[Purchase Payments Invested]]-AL12</f>
        <v>0</v>
      </c>
      <c r="AC12" s="14">
        <f>Calculations[[#This Row],[Contract Value]]-AM12</f>
        <v>0</v>
      </c>
      <c r="AD12" s="14">
        <f>Calculations[[#This Row],[Withdrawal Taken]]-AN12</f>
        <v>0</v>
      </c>
      <c r="AE12" s="14">
        <f>Calculations[[#This Row],[Step-up Value]]-AO12</f>
        <v>0</v>
      </c>
      <c r="AF12" s="14">
        <f>Calculations[[#This Row],[Minimum Income Base]]-AP12</f>
        <v>0</v>
      </c>
      <c r="AG12" s="14">
        <f>Calculations[[#This Row],[Income Base]]-AQ12</f>
        <v>0</v>
      </c>
      <c r="AH12" s="14">
        <f>Calculations[[#This Row],[Maximum Annual Withdrawal Amount upon Activation]]-AR12</f>
        <v>0</v>
      </c>
      <c r="AI12" s="14">
        <f>Calculations[[#This Row],[Protected Income Payment]]-AS12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30" t="s">
        <v>2</v>
      </c>
      <c r="B13" s="6">
        <f>IFERROR(IF(FIND("Anniversary",Calculations[[#This Row],[Values as of]])&gt;0,B12+1,B12),B12)</f>
        <v>1</v>
      </c>
      <c r="C13" s="3">
        <f>VALUE(IFERROR(TRIM(MID(Calculations[[#This Row],[Values as of]],FIND("Day ",Calculations[[#This Row],[Values as of]])+4,LEN(Calculations[[#This Row],[Values as of]])-FIND("Day ",Calculations[[#This Row],[Values as of]])+4)),0))</f>
        <v>25</v>
      </c>
      <c r="D13" s="14">
        <f>Calculations[[#This Row],[Year]]+Calculations[[#This Row],[Day]]/365-1</f>
        <v>6.8493150684931559E-2</v>
      </c>
      <c r="E13" s="14" t="b">
        <f>Calculations[[#This Row],[Time From Valuation]]&gt;=Activation_Time</f>
        <v>0</v>
      </c>
      <c r="F13" s="15">
        <f>IF(ABS(Calculations[[#This Row],[Time From Valuation]]-Purchase_Pay_1_Time)&lt;0.001,Purchase_Pay_1,0)+IF(ABS(Calculations[[#This Row],[Time From Valuation]]-Purchase_Pay_2_Time)&lt;0.001,Purchase_Pay_2,0)</f>
        <v>0</v>
      </c>
      <c r="G13" s="29">
        <f t="shared" ref="G13:G43" si="1">AM13</f>
        <v>102000</v>
      </c>
      <c r="H13" s="29">
        <f t="shared" si="0"/>
        <v>0</v>
      </c>
      <c r="I13" s="15" t="b">
        <f>Calculations[[#This Row],[Contract Value]]&lt;=0.01</f>
        <v>0</v>
      </c>
      <c r="J13" s="2" t="b">
        <f>AND(Calculations[[#This Row],[Is Activation]],SUMIFS($H$12:$H13,$E$12:$E13,TRUE)&gt;0)</f>
        <v>0</v>
      </c>
      <c r="K13" s="2" t="b">
        <f>Calculations[[#This Row],[Day]]=0</f>
        <v>0</v>
      </c>
      <c r="L13" s="14">
        <f>IF(NOT(Calculations[[#This Row],[Is Activation]]),Calculations[[#This Row],[Withdrawal Taken]]/Calculations[[#This Row],[Contract Value]],0)</f>
        <v>0</v>
      </c>
      <c r="M1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102000</v>
      </c>
      <c r="P13" s="1">
        <f>IF(Calculations[[#This Row],[Has a Withdrawal Occurred After Activation]],0,(1+INT(Calculations[[#This Row],[Time From Valuation]])*Minimum_Income_Base_Percentage))*InitialPurchasePayment</f>
        <v>100000</v>
      </c>
      <c r="Q1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3" s="1">
        <f>IF(Calculations[[#This Row],[Has a Withdrawal Occurred After Activation]],0,PRODUCT($N$12:$N13))</f>
        <v>1</v>
      </c>
      <c r="T13" s="14">
        <f>(Calculations[[#This Row],[Starting Minimum Income Base]]+Calculations[[#This Row],[Purchase Payment 1]]+Calculations[[#This Row],[Purchase Payment 2]])*Calculations[[#This Row],[Accum Withdrawal Penalty]]</f>
        <v>100000</v>
      </c>
      <c r="U1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102000</v>
      </c>
      <c r="V1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3" s="5">
        <f ca="1">Calculations[[#This Row],[Pre-Activation Income Base]]+Calculations[[#This Row],[Post-Activation Income Base]]</f>
        <v>102000</v>
      </c>
      <c r="X13" s="9">
        <f ca="1">IF(NOT(Calculations[[#This Row],[Has Lifetime Income Started]]),Calculations[[#This Row],[Income Base]]*MAW,0)</f>
        <v>6120</v>
      </c>
      <c r="Y13" s="32">
        <f>IF(AND(Calculations[[#This Row],[Has Lifetime Income Started]],Calculations[[#This Row],[Is Anniversary]]),PIP*Calculations[[#This Row],[Income Base]],0)</f>
        <v>0</v>
      </c>
      <c r="AA13" s="26" t="s">
        <v>2</v>
      </c>
      <c r="AB13" s="14">
        <f>Calculations[[#This Row],[Purchase Payments Invested]]-AL13</f>
        <v>0</v>
      </c>
      <c r="AC13" s="14">
        <f>Calculations[[#This Row],[Contract Value]]-AM13</f>
        <v>0</v>
      </c>
      <c r="AD13" s="14">
        <f>Calculations[[#This Row],[Withdrawal Taken]]-AN13</f>
        <v>0</v>
      </c>
      <c r="AE13" s="14">
        <f ca="1">Calculations[[#This Row],[Step-up Value]]-AO13</f>
        <v>0</v>
      </c>
      <c r="AF13" s="14">
        <f>Calculations[[#This Row],[Minimum Income Base]]-AP13</f>
        <v>0</v>
      </c>
      <c r="AG13" s="14">
        <f ca="1">Calculations[[#This Row],[Income Base]]-AQ13</f>
        <v>0</v>
      </c>
      <c r="AH13" s="14">
        <f ca="1">Calculations[[#This Row],[Maximum Annual Withdrawal Amount upon Activation]]-AR13</f>
        <v>0</v>
      </c>
      <c r="AI13" s="14">
        <f>Calculations[[#This Row],[Protected Income Payment]]-AS13</f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30" t="s">
        <v>3</v>
      </c>
      <c r="B14" s="6">
        <f>IFERROR(IF(FIND("Anniversary",Calculations[[#This Row],[Values as of]])&gt;0,B13+1,B13),B13)</f>
        <v>1</v>
      </c>
      <c r="C14" s="3">
        <f>VALUE(IFERROR(TRIM(MID(Calculations[[#This Row],[Values as of]],FIND("Day ",Calculations[[#This Row],[Values as of]])+4,LEN(Calculations[[#This Row],[Values as of]])-FIND("Day ",Calculations[[#This Row],[Values as of]])+4)),0))</f>
        <v>105</v>
      </c>
      <c r="D14" s="14">
        <f>Calculations[[#This Row],[Year]]+Calculations[[#This Row],[Day]]/365-1</f>
        <v>0.28767123287671237</v>
      </c>
      <c r="E14" s="14" t="b">
        <f>Calculations[[#This Row],[Time From Valuation]]&gt;=Activation_Time</f>
        <v>0</v>
      </c>
      <c r="F14" s="15">
        <f>IF(ABS(Calculations[[#This Row],[Time From Valuation]]-Purchase_Pay_1_Time)&lt;0.001,Purchase_Pay_1,0)+IF(ABS(Calculations[[#This Row],[Time From Valuation]]-Purchase_Pay_2_Time)&lt;0.001,Purchase_Pay_2,0)</f>
        <v>0</v>
      </c>
      <c r="G14" s="29">
        <f t="shared" si="1"/>
        <v>105000</v>
      </c>
      <c r="H14" s="29">
        <f t="shared" si="0"/>
        <v>0</v>
      </c>
      <c r="I14" s="15" t="b">
        <f>Calculations[[#This Row],[Contract Value]]&lt;=0.01</f>
        <v>0</v>
      </c>
      <c r="J14" s="2" t="b">
        <f>AND(Calculations[[#This Row],[Is Activation]],SUMIFS($H$12:$H14,$E$12:$E14,TRUE)&gt;0)</f>
        <v>0</v>
      </c>
      <c r="K14" s="2" t="b">
        <f>Calculations[[#This Row],[Day]]=0</f>
        <v>0</v>
      </c>
      <c r="L14" s="14">
        <f>IF(NOT(Calculations[[#This Row],[Is Activation]]),Calculations[[#This Row],[Withdrawal Taken]]/Calculations[[#This Row],[Contract Value]],0)</f>
        <v>0</v>
      </c>
      <c r="M1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105000</v>
      </c>
      <c r="P14" s="1">
        <f>IF(Calculations[[#This Row],[Has a Withdrawal Occurred After Activation]],0,(1+INT(Calculations[[#This Row],[Time From Valuation]])*Minimum_Income_Base_Percentage))*InitialPurchasePayment</f>
        <v>100000</v>
      </c>
      <c r="Q1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1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4" s="1">
        <f>IF(Calculations[[#This Row],[Has a Withdrawal Occurred After Activation]],0,PRODUCT($N$12:$N14))</f>
        <v>1</v>
      </c>
      <c r="T14" s="14">
        <f>(Calculations[[#This Row],[Starting Minimum Income Base]]+Calculations[[#This Row],[Purchase Payment 1]]+Calculations[[#This Row],[Purchase Payment 2]])*Calculations[[#This Row],[Accum Withdrawal Penalty]]</f>
        <v>100000</v>
      </c>
      <c r="U1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105000</v>
      </c>
      <c r="V1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4" s="5">
        <f ca="1">Calculations[[#This Row],[Pre-Activation Income Base]]+Calculations[[#This Row],[Post-Activation Income Base]]</f>
        <v>105000</v>
      </c>
      <c r="X14" s="9">
        <f ca="1">IF(NOT(Calculations[[#This Row],[Has Lifetime Income Started]]),Calculations[[#This Row],[Income Base]]*MAW,0)</f>
        <v>6300</v>
      </c>
      <c r="Y14" s="32">
        <f>IF(AND(Calculations[[#This Row],[Has Lifetime Income Started]],Calculations[[#This Row],[Is Anniversary]]),PIP*Calculations[[#This Row],[Income Base]],0)</f>
        <v>0</v>
      </c>
      <c r="AA14" s="26" t="s">
        <v>3</v>
      </c>
      <c r="AB14" s="14">
        <f>Calculations[[#This Row],[Purchase Payments Invested]]-AL14</f>
        <v>0</v>
      </c>
      <c r="AC14" s="14">
        <f>Calculations[[#This Row],[Contract Value]]-AM14</f>
        <v>0</v>
      </c>
      <c r="AD14" s="14">
        <f>Calculations[[#This Row],[Withdrawal Taken]]-AN14</f>
        <v>0</v>
      </c>
      <c r="AE14" s="14">
        <f ca="1">Calculations[[#This Row],[Step-up Value]]-AO14</f>
        <v>0</v>
      </c>
      <c r="AF14" s="14">
        <f>Calculations[[#This Row],[Minimum Income Base]]-AP14</f>
        <v>0</v>
      </c>
      <c r="AG14" s="14">
        <f ca="1">Calculations[[#This Row],[Income Base]]-AQ14</f>
        <v>0</v>
      </c>
      <c r="AH14" s="14">
        <f ca="1">Calculations[[#This Row],[Maximum Annual Withdrawal Amount upon Activation]]-AR14</f>
        <v>0</v>
      </c>
      <c r="AI14" s="14">
        <f>Calculations[[#This Row],[Protected Income Payment]]-AS14</f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30" t="s">
        <v>4</v>
      </c>
      <c r="B15" s="6">
        <f>IFERROR(IF(FIND("Anniversary",Calculations[[#This Row],[Values as of]])&gt;0,B14+1,B14),B14)</f>
        <v>1</v>
      </c>
      <c r="C15" s="3">
        <f>VALUE(IFERROR(TRIM(MID(Calculations[[#This Row],[Values as of]],FIND("Day ",Calculations[[#This Row],[Values as of]])+4,LEN(Calculations[[#This Row],[Values as of]])-FIND("Day ",Calculations[[#This Row],[Values as of]])+4)),0))</f>
        <v>200</v>
      </c>
      <c r="D15" s="14">
        <f>Calculations[[#This Row],[Year]]+Calculations[[#This Row],[Day]]/365-1</f>
        <v>0.54794520547945202</v>
      </c>
      <c r="E15" s="14" t="b">
        <f>Calculations[[#This Row],[Time From Valuation]]&gt;=Activation_Time</f>
        <v>0</v>
      </c>
      <c r="F15" s="15">
        <f>IF(ABS(Calculations[[#This Row],[Time From Valuation]]-Purchase_Pay_1_Time)&lt;0.001,Purchase_Pay_1,0)+IF(ABS(Calculations[[#This Row],[Time From Valuation]]-Purchase_Pay_2_Time)&lt;0.001,Purchase_Pay_2,0)</f>
        <v>60000</v>
      </c>
      <c r="G15" s="29">
        <f t="shared" si="1"/>
        <v>162000</v>
      </c>
      <c r="H15" s="29">
        <f t="shared" si="0"/>
        <v>0</v>
      </c>
      <c r="I15" s="15" t="b">
        <f>Calculations[[#This Row],[Contract Value]]&lt;=0.01</f>
        <v>0</v>
      </c>
      <c r="J15" s="2" t="b">
        <f>AND(Calculations[[#This Row],[Is Activation]],SUMIFS($H$12:$H15,$E$12:$E15,TRUE)&gt;0)</f>
        <v>0</v>
      </c>
      <c r="K15" s="2" t="b">
        <f>Calculations[[#This Row],[Day]]=0</f>
        <v>0</v>
      </c>
      <c r="L15" s="14">
        <f>IF(NOT(Calculations[[#This Row],[Is Activation]]),Calculations[[#This Row],[Withdrawal Taken]]/Calculations[[#This Row],[Contract Value]],0)</f>
        <v>0</v>
      </c>
      <c r="M1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5" s="1">
        <f>IF(Calculations[[#This Row],[Has a Withdrawal Occurred After Activation]],0,(1+INT(Calculations[[#This Row],[Time From Valuation]])*Minimum_Income_Base_Percentage))*InitialPurchasePayment</f>
        <v>100000</v>
      </c>
      <c r="Q1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5" s="1">
        <f>IF(Calculations[[#This Row],[Has a Withdrawal Occurred After Activation]],0,PRODUCT($N$12:$N15))</f>
        <v>1</v>
      </c>
      <c r="T15" s="14">
        <f>(Calculations[[#This Row],[Starting Minimum Income Base]]+Calculations[[#This Row],[Purchase Payment 1]]+Calculations[[#This Row],[Purchase Payment 2]])*Calculations[[#This Row],[Accum Withdrawal Penalty]]</f>
        <v>160000</v>
      </c>
      <c r="U1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165000</v>
      </c>
      <c r="V1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5" s="5">
        <f ca="1">Calculations[[#This Row],[Pre-Activation Income Base]]+Calculations[[#This Row],[Post-Activation Income Base]]</f>
        <v>165000</v>
      </c>
      <c r="X15" s="9">
        <f ca="1">IF(NOT(Calculations[[#This Row],[Has Lifetime Income Started]]),Calculations[[#This Row],[Income Base]]*MAW,0)</f>
        <v>9900</v>
      </c>
      <c r="Y15" s="32">
        <f>IF(AND(Calculations[[#This Row],[Has Lifetime Income Started]],Calculations[[#This Row],[Is Anniversary]]),PIP*Calculations[[#This Row],[Income Base]],0)</f>
        <v>0</v>
      </c>
      <c r="AA15" s="26" t="s">
        <v>4</v>
      </c>
      <c r="AB15" s="14">
        <f>Calculations[[#This Row],[Purchase Payments Invested]]-AL15</f>
        <v>0</v>
      </c>
      <c r="AC15" s="14">
        <f>Calculations[[#This Row],[Contract Value]]-AM15</f>
        <v>0</v>
      </c>
      <c r="AD15" s="14">
        <f>Calculations[[#This Row],[Withdrawal Taken]]-AN15</f>
        <v>0</v>
      </c>
      <c r="AE15" s="14">
        <f ca="1">Calculations[[#This Row],[Step-up Value]]-AO15</f>
        <v>0</v>
      </c>
      <c r="AF15" s="14">
        <f>Calculations[[#This Row],[Minimum Income Base]]-AP15</f>
        <v>0</v>
      </c>
      <c r="AG15" s="14">
        <f ca="1">Calculations[[#This Row],[Income Base]]-AQ15</f>
        <v>0</v>
      </c>
      <c r="AH15" s="14">
        <f ca="1">Calculations[[#This Row],[Maximum Annual Withdrawal Amount upon Activation]]-AR15</f>
        <v>0</v>
      </c>
      <c r="AI15" s="14">
        <f>Calculations[[#This Row],[Protected Income Payment]]-AS15</f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30" t="s">
        <v>5</v>
      </c>
      <c r="B16" s="6">
        <f>IFERROR(IF(FIND("Anniversary",Calculations[[#This Row],[Values as of]])&gt;0,B15+1,B15),B15)</f>
        <v>1</v>
      </c>
      <c r="C16" s="3">
        <f>VALUE(IFERROR(TRIM(MID(Calculations[[#This Row],[Values as of]],FIND("Day ",Calculations[[#This Row],[Values as of]])+4,LEN(Calculations[[#This Row],[Values as of]])-FIND("Day ",Calculations[[#This Row],[Values as of]])+4)),0))</f>
        <v>300</v>
      </c>
      <c r="D16" s="14">
        <f>Calculations[[#This Row],[Year]]+Calculations[[#This Row],[Day]]/365-1</f>
        <v>0.82191780821917804</v>
      </c>
      <c r="E16" s="14" t="b">
        <f>Calculations[[#This Row],[Time From Valuation]]&gt;=Activation_Time</f>
        <v>0</v>
      </c>
      <c r="F16" s="15">
        <f>IF(ABS(Calculations[[#This Row],[Time From Valuation]]-Purchase_Pay_1_Time)&lt;0.001,Purchase_Pay_1,0)+IF(ABS(Calculations[[#This Row],[Time From Valuation]]-Purchase_Pay_2_Time)&lt;0.001,Purchase_Pay_2,0)</f>
        <v>0</v>
      </c>
      <c r="G16" s="29">
        <f t="shared" si="1"/>
        <v>166000</v>
      </c>
      <c r="H16" s="29">
        <f t="shared" si="0"/>
        <v>0</v>
      </c>
      <c r="I16" s="15" t="b">
        <f>Calculations[[#This Row],[Contract Value]]&lt;=0.01</f>
        <v>0</v>
      </c>
      <c r="J16" s="2" t="b">
        <f>AND(Calculations[[#This Row],[Is Activation]],SUMIFS($H$12:$H16,$E$12:$E16,TRUE)&gt;0)</f>
        <v>0</v>
      </c>
      <c r="K16" s="2" t="b">
        <f>Calculations[[#This Row],[Day]]=0</f>
        <v>0</v>
      </c>
      <c r="L16" s="14">
        <f>IF(NOT(Calculations[[#This Row],[Is Activation]]),Calculations[[#This Row],[Withdrawal Taken]]/Calculations[[#This Row],[Contract Value]],0)</f>
        <v>0</v>
      </c>
      <c r="M1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166000</v>
      </c>
      <c r="P16" s="1">
        <f>IF(Calculations[[#This Row],[Has a Withdrawal Occurred After Activation]],0,(1+INT(Calculations[[#This Row],[Time From Valuation]])*Minimum_Income_Base_Percentage))*InitialPurchasePayment</f>
        <v>100000</v>
      </c>
      <c r="Q1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60000</v>
      </c>
      <c r="R1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6" s="1">
        <f>IF(Calculations[[#This Row],[Has a Withdrawal Occurred After Activation]],0,PRODUCT($N$12:$N16))</f>
        <v>1</v>
      </c>
      <c r="T16" s="14">
        <f>(Calculations[[#This Row],[Starting Minimum Income Base]]+Calculations[[#This Row],[Purchase Payment 1]]+Calculations[[#This Row],[Purchase Payment 2]])*Calculations[[#This Row],[Accum Withdrawal Penalty]]</f>
        <v>160000</v>
      </c>
      <c r="U1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166000</v>
      </c>
      <c r="V1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6" s="5">
        <f ca="1">Calculations[[#This Row],[Pre-Activation Income Base]]+Calculations[[#This Row],[Post-Activation Income Base]]</f>
        <v>166000</v>
      </c>
      <c r="X16" s="9">
        <f ca="1">IF(NOT(Calculations[[#This Row],[Has Lifetime Income Started]]),Calculations[[#This Row],[Income Base]]*MAW,0)</f>
        <v>9960</v>
      </c>
      <c r="Y16" s="32">
        <f>IF(AND(Calculations[[#This Row],[Has Lifetime Income Started]],Calculations[[#This Row],[Is Anniversary]]),PIP*Calculations[[#This Row],[Income Base]],0)</f>
        <v>0</v>
      </c>
      <c r="AA16" s="26" t="s">
        <v>5</v>
      </c>
      <c r="AB16" s="14">
        <f>Calculations[[#This Row],[Purchase Payments Invested]]-AL16</f>
        <v>0</v>
      </c>
      <c r="AC16" s="14">
        <f>Calculations[[#This Row],[Contract Value]]-AM16</f>
        <v>0</v>
      </c>
      <c r="AD16" s="14">
        <f>Calculations[[#This Row],[Withdrawal Taken]]-AN16</f>
        <v>0</v>
      </c>
      <c r="AE16" s="14">
        <f ca="1">Calculations[[#This Row],[Step-up Value]]-AO16</f>
        <v>0</v>
      </c>
      <c r="AF16" s="14">
        <f>Calculations[[#This Row],[Minimum Income Base]]-AP16</f>
        <v>0</v>
      </c>
      <c r="AG16" s="14">
        <f ca="1">Calculations[[#This Row],[Income Base]]-AQ16</f>
        <v>0</v>
      </c>
      <c r="AH16" s="14">
        <f ca="1">Calculations[[#This Row],[Maximum Annual Withdrawal Amount upon Activation]]-AR16</f>
        <v>0</v>
      </c>
      <c r="AI16" s="14">
        <f>Calculations[[#This Row],[Protected Income Payment]]-AS16</f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30" t="s">
        <v>6</v>
      </c>
      <c r="B17" s="6">
        <f>IFERROR(IF(FIND("Anniversary",Calculations[[#This Row],[Values as of]])&gt;0,B16+1,B16),B16)</f>
        <v>2</v>
      </c>
      <c r="C17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17" s="14">
        <f>Calculations[[#This Row],[Year]]+Calculations[[#This Row],[Day]]/365-1</f>
        <v>1</v>
      </c>
      <c r="E17" s="14" t="b">
        <f>Calculations[[#This Row],[Time From Valuation]]&gt;=Activation_Time</f>
        <v>0</v>
      </c>
      <c r="F17" s="15">
        <f>IF(ABS(Calculations[[#This Row],[Time From Valuation]]-Purchase_Pay_1_Time)&lt;0.001,Purchase_Pay_1,0)+IF(ABS(Calculations[[#This Row],[Time From Valuation]]-Purchase_Pay_2_Time)&lt;0.001,Purchase_Pay_2,0)</f>
        <v>0</v>
      </c>
      <c r="G17" s="29">
        <f t="shared" si="1"/>
        <v>167000</v>
      </c>
      <c r="H17" s="29">
        <f t="shared" si="0"/>
        <v>0</v>
      </c>
      <c r="I17" s="15" t="b">
        <f>Calculations[[#This Row],[Contract Value]]&lt;=0.01</f>
        <v>0</v>
      </c>
      <c r="J17" s="2" t="b">
        <f>AND(Calculations[[#This Row],[Is Activation]],SUMIFS($H$12:$H17,$E$12:$E17,TRUE)&gt;0)</f>
        <v>0</v>
      </c>
      <c r="K17" s="2" t="b">
        <f>Calculations[[#This Row],[Day]]=0</f>
        <v>1</v>
      </c>
      <c r="L17" s="14">
        <f>IF(NOT(Calculations[[#This Row],[Is Activation]]),Calculations[[#This Row],[Withdrawal Taken]]/Calculations[[#This Row],[Contract Value]],0)</f>
        <v>0</v>
      </c>
      <c r="M1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167000</v>
      </c>
      <c r="P17" s="1">
        <f>IF(Calculations[[#This Row],[Has a Withdrawal Occurred After Activation]],0,(1+INT(Calculations[[#This Row],[Time From Valuation]])*Minimum_Income_Base_Percentage))*InitialPurchasePayment</f>
        <v>105000</v>
      </c>
      <c r="Q1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17" s="1">
        <f>IF(Calculations[[#This Row],[Has a Withdrawal Occurred After Activation]],0,PRODUCT($N$12:$N17))</f>
        <v>1</v>
      </c>
      <c r="T17" s="14">
        <f>(Calculations[[#This Row],[Starting Minimum Income Base]]+Calculations[[#This Row],[Purchase Payment 1]]+Calculations[[#This Row],[Purchase Payment 2]])*Calculations[[#This Row],[Accum Withdrawal Penalty]]</f>
        <v>168000</v>
      </c>
      <c r="U1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168000</v>
      </c>
      <c r="V1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7" s="5">
        <f ca="1">Calculations[[#This Row],[Pre-Activation Income Base]]+Calculations[[#This Row],[Post-Activation Income Base]]</f>
        <v>168000</v>
      </c>
      <c r="X17" s="9">
        <f ca="1">IF(NOT(Calculations[[#This Row],[Has Lifetime Income Started]]),Calculations[[#This Row],[Income Base]]*MAW,0)</f>
        <v>10080</v>
      </c>
      <c r="Y17" s="32">
        <f>IF(AND(Calculations[[#This Row],[Has Lifetime Income Started]],Calculations[[#This Row],[Is Anniversary]]),PIP*Calculations[[#This Row],[Income Base]],0)</f>
        <v>0</v>
      </c>
      <c r="AA17" s="26" t="s">
        <v>6</v>
      </c>
      <c r="AB17" s="14">
        <f>Calculations[[#This Row],[Purchase Payments Invested]]-AL17</f>
        <v>0</v>
      </c>
      <c r="AC17" s="14">
        <f>Calculations[[#This Row],[Contract Value]]-AM17</f>
        <v>0</v>
      </c>
      <c r="AD17" s="14">
        <f>Calculations[[#This Row],[Withdrawal Taken]]-AN17</f>
        <v>0</v>
      </c>
      <c r="AE17" s="14">
        <f ca="1">Calculations[[#This Row],[Step-up Value]]-AO17</f>
        <v>0</v>
      </c>
      <c r="AF17" s="14">
        <f>Calculations[[#This Row],[Minimum Income Base]]-AP17</f>
        <v>0</v>
      </c>
      <c r="AG17" s="14">
        <f ca="1">Calculations[[#This Row],[Income Base]]-AQ17</f>
        <v>0</v>
      </c>
      <c r="AH17" s="14">
        <f ca="1">Calculations[[#This Row],[Maximum Annual Withdrawal Amount upon Activation]]-AR17</f>
        <v>0</v>
      </c>
      <c r="AI17" s="14">
        <f>Calculations[[#This Row],[Protected Income Payment]]-AS17</f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30" t="s">
        <v>7</v>
      </c>
      <c r="B18" s="6">
        <f>IFERROR(IF(FIND("Anniversary",Calculations[[#This Row],[Values as of]])&gt;0,B17+1,B17),B17)</f>
        <v>2</v>
      </c>
      <c r="C18" s="3">
        <f>VALUE(IFERROR(TRIM(MID(Calculations[[#This Row],[Values as of]],FIND("Day ",Calculations[[#This Row],[Values as of]])+4,LEN(Calculations[[#This Row],[Values as of]])-FIND("Day ",Calculations[[#This Row],[Values as of]])+4)),0))</f>
        <v>180</v>
      </c>
      <c r="D18" s="14">
        <f>Calculations[[#This Row],[Year]]+Calculations[[#This Row],[Day]]/365-1</f>
        <v>1.493150684931507</v>
      </c>
      <c r="E18" s="14" t="b">
        <f>Calculations[[#This Row],[Time From Valuation]]&gt;=Activation_Time</f>
        <v>0</v>
      </c>
      <c r="F18" s="15">
        <f>IF(ABS(Calculations[[#This Row],[Time From Valuation]]-Purchase_Pay_1_Time)&lt;0.001,Purchase_Pay_1,0)+IF(ABS(Calculations[[#This Row],[Time From Valuation]]-Purchase_Pay_2_Time)&lt;0.001,Purchase_Pay_2,0)</f>
        <v>90000</v>
      </c>
      <c r="G18" s="29">
        <f t="shared" si="1"/>
        <v>250000</v>
      </c>
      <c r="H18" s="29">
        <f t="shared" si="0"/>
        <v>0</v>
      </c>
      <c r="I18" s="15" t="b">
        <f>Calculations[[#This Row],[Contract Value]]&lt;=0.01</f>
        <v>0</v>
      </c>
      <c r="J18" s="2" t="b">
        <f>AND(Calculations[[#This Row],[Is Activation]],SUMIFS($H$12:$H18,$E$12:$E18,TRUE)&gt;0)</f>
        <v>0</v>
      </c>
      <c r="K18" s="2" t="b">
        <f>Calculations[[#This Row],[Day]]=0</f>
        <v>0</v>
      </c>
      <c r="L18" s="14">
        <f>IF(NOT(Calculations[[#This Row],[Is Activation]]),Calculations[[#This Row],[Withdrawal Taken]]/Calculations[[#This Row],[Contract Value]],0)</f>
        <v>0</v>
      </c>
      <c r="M1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18" s="1">
        <f>IF(Calculations[[#This Row],[Has a Withdrawal Occurred After Activation]],0,(1+INT(Calculations[[#This Row],[Time From Valuation]])*Minimum_Income_Base_Percentage))*InitialPurchasePayment</f>
        <v>105000</v>
      </c>
      <c r="Q1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8" s="1">
        <f>IF(Calculations[[#This Row],[Has a Withdrawal Occurred After Activation]],0,PRODUCT($N$12:$N18))</f>
        <v>1</v>
      </c>
      <c r="T18" s="14">
        <f>(Calculations[[#This Row],[Starting Minimum Income Base]]+Calculations[[#This Row],[Purchase Payment 1]]+Calculations[[#This Row],[Purchase Payment 2]])*Calculations[[#This Row],[Accum Withdrawal Penalty]]</f>
        <v>258000</v>
      </c>
      <c r="U1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258000</v>
      </c>
      <c r="V1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8" s="5">
        <f ca="1">Calculations[[#This Row],[Pre-Activation Income Base]]+Calculations[[#This Row],[Post-Activation Income Base]]</f>
        <v>258000</v>
      </c>
      <c r="X18" s="9">
        <f ca="1">IF(NOT(Calculations[[#This Row],[Has Lifetime Income Started]]),Calculations[[#This Row],[Income Base]]*MAW,0)</f>
        <v>15480</v>
      </c>
      <c r="Y18" s="32">
        <f>IF(AND(Calculations[[#This Row],[Has Lifetime Income Started]],Calculations[[#This Row],[Is Anniversary]]),PIP*Calculations[[#This Row],[Income Base]],0)</f>
        <v>0</v>
      </c>
      <c r="AA18" s="26" t="s">
        <v>7</v>
      </c>
      <c r="AB18" s="14">
        <f>Calculations[[#This Row],[Purchase Payments Invested]]-AL18</f>
        <v>0</v>
      </c>
      <c r="AC18" s="14">
        <f>Calculations[[#This Row],[Contract Value]]-AM18</f>
        <v>0</v>
      </c>
      <c r="AD18" s="14">
        <f>Calculations[[#This Row],[Withdrawal Taken]]-AN18</f>
        <v>0</v>
      </c>
      <c r="AE18" s="14">
        <f ca="1">Calculations[[#This Row],[Step-up Value]]-AO18</f>
        <v>0</v>
      </c>
      <c r="AF18" s="14">
        <f>Calculations[[#This Row],[Minimum Income Base]]-AP18</f>
        <v>0</v>
      </c>
      <c r="AG18" s="14">
        <f ca="1">Calculations[[#This Row],[Income Base]]-AQ18</f>
        <v>0</v>
      </c>
      <c r="AH18" s="14">
        <f ca="1">Calculations[[#This Row],[Maximum Annual Withdrawal Amount upon Activation]]-AR18</f>
        <v>0</v>
      </c>
      <c r="AI18" s="14">
        <f>Calculations[[#This Row],[Protected Income Payment]]-AS18</f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30" t="s">
        <v>8</v>
      </c>
      <c r="B19" s="6">
        <f>IFERROR(IF(FIND("Anniversary",Calculations[[#This Row],[Values as of]])&gt;0,B18+1,B18),B18)</f>
        <v>2</v>
      </c>
      <c r="C19" s="3">
        <f>VALUE(IFERROR(TRIM(MID(Calculations[[#This Row],[Values as of]],FIND("Day ",Calculations[[#This Row],[Values as of]])+4,LEN(Calculations[[#This Row],[Values as of]])-FIND("Day ",Calculations[[#This Row],[Values as of]])+4)),0))</f>
        <v>250</v>
      </c>
      <c r="D19" s="14">
        <f>Calculations[[#This Row],[Year]]+Calculations[[#This Row],[Day]]/365-1</f>
        <v>1.6849315068493151</v>
      </c>
      <c r="E19" s="14" t="b">
        <f>Calculations[[#This Row],[Time From Valuation]]&gt;=Activation_Time</f>
        <v>0</v>
      </c>
      <c r="F19" s="15">
        <f>IF(ABS(Calculations[[#This Row],[Time From Valuation]]-Purchase_Pay_1_Time)&lt;0.001,Purchase_Pay_1,0)+IF(ABS(Calculations[[#This Row],[Time From Valuation]]-Purchase_Pay_2_Time)&lt;0.001,Purchase_Pay_2,0)</f>
        <v>0</v>
      </c>
      <c r="G19" s="29">
        <f t="shared" si="1"/>
        <v>280000</v>
      </c>
      <c r="H19" s="29">
        <f t="shared" si="0"/>
        <v>0</v>
      </c>
      <c r="I19" s="15" t="b">
        <f>Calculations[[#This Row],[Contract Value]]&lt;=0.01</f>
        <v>0</v>
      </c>
      <c r="J19" s="2" t="b">
        <f>AND(Calculations[[#This Row],[Is Activation]],SUMIFS($H$12:$H19,$E$12:$E19,TRUE)&gt;0)</f>
        <v>0</v>
      </c>
      <c r="K19" s="2" t="b">
        <f>Calculations[[#This Row],[Day]]=0</f>
        <v>0</v>
      </c>
      <c r="L19" s="14">
        <f>IF(NOT(Calculations[[#This Row],[Is Activation]]),Calculations[[#This Row],[Withdrawal Taken]]/Calculations[[#This Row],[Contract Value]],0)</f>
        <v>0</v>
      </c>
      <c r="M1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1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1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280000</v>
      </c>
      <c r="P19" s="1">
        <f>IF(Calculations[[#This Row],[Has a Withdrawal Occurred After Activation]],0,(1+INT(Calculations[[#This Row],[Time From Valuation]])*Minimum_Income_Base_Percentage))*InitialPurchasePayment</f>
        <v>105000</v>
      </c>
      <c r="Q1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63000</v>
      </c>
      <c r="R1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90000</v>
      </c>
      <c r="S19" s="1">
        <f>IF(Calculations[[#This Row],[Has a Withdrawal Occurred After Activation]],0,PRODUCT($N$12:$N19))</f>
        <v>1</v>
      </c>
      <c r="T19" s="14">
        <f>(Calculations[[#This Row],[Starting Minimum Income Base]]+Calculations[[#This Row],[Purchase Payment 1]]+Calculations[[#This Row],[Purchase Payment 2]])*Calculations[[#This Row],[Accum Withdrawal Penalty]]</f>
        <v>258000</v>
      </c>
      <c r="U1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1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19" s="5">
        <f ca="1">Calculations[[#This Row],[Pre-Activation Income Base]]+Calculations[[#This Row],[Post-Activation Income Base]]</f>
        <v>280000</v>
      </c>
      <c r="X19" s="9">
        <f ca="1">IF(NOT(Calculations[[#This Row],[Has Lifetime Income Started]]),Calculations[[#This Row],[Income Base]]*MAW,0)</f>
        <v>16800</v>
      </c>
      <c r="Y19" s="32">
        <f>IF(AND(Calculations[[#This Row],[Has Lifetime Income Started]],Calculations[[#This Row],[Is Anniversary]]),PIP*Calculations[[#This Row],[Income Base]],0)</f>
        <v>0</v>
      </c>
      <c r="AA19" s="26" t="s">
        <v>8</v>
      </c>
      <c r="AB19" s="14">
        <f>Calculations[[#This Row],[Purchase Payments Invested]]-AL19</f>
        <v>0</v>
      </c>
      <c r="AC19" s="14">
        <f>Calculations[[#This Row],[Contract Value]]-AM19</f>
        <v>0</v>
      </c>
      <c r="AD19" s="14">
        <f>Calculations[[#This Row],[Withdrawal Taken]]-AN19</f>
        <v>0</v>
      </c>
      <c r="AE19" s="14">
        <f ca="1">Calculations[[#This Row],[Step-up Value]]-AO19</f>
        <v>0</v>
      </c>
      <c r="AF19" s="14">
        <f>Calculations[[#This Row],[Minimum Income Base]]-AP19</f>
        <v>0</v>
      </c>
      <c r="AG19" s="14">
        <f ca="1">Calculations[[#This Row],[Income Base]]-AQ19</f>
        <v>0</v>
      </c>
      <c r="AH19" s="14">
        <f ca="1">Calculations[[#This Row],[Maximum Annual Withdrawal Amount upon Activation]]-AR19</f>
        <v>0</v>
      </c>
      <c r="AI19" s="14">
        <f>Calculations[[#This Row],[Protected Income Payment]]-AS19</f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30" t="s">
        <v>9</v>
      </c>
      <c r="B20" s="6">
        <f>IFERROR(IF(FIND("Anniversary",Calculations[[#This Row],[Values as of]])&gt;0,B19+1,B19),B19)</f>
        <v>3</v>
      </c>
      <c r="C2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0" s="14">
        <f>Calculations[[#This Row],[Year]]+Calculations[[#This Row],[Day]]/365-1</f>
        <v>2</v>
      </c>
      <c r="E20" s="14" t="b">
        <f>Calculations[[#This Row],[Time From Valuation]]&gt;=Activation_Time</f>
        <v>0</v>
      </c>
      <c r="F20" s="15">
        <f>IF(ABS(Calculations[[#This Row],[Time From Valuation]]-Purchase_Pay_1_Time)&lt;0.001,Purchase_Pay_1,0)+IF(ABS(Calculations[[#This Row],[Time From Valuation]]-Purchase_Pay_2_Time)&lt;0.001,Purchase_Pay_2,0)</f>
        <v>0</v>
      </c>
      <c r="G20" s="29">
        <f t="shared" si="1"/>
        <v>279000</v>
      </c>
      <c r="H20" s="29">
        <f t="shared" si="0"/>
        <v>0</v>
      </c>
      <c r="I20" s="15" t="b">
        <f>Calculations[[#This Row],[Contract Value]]&lt;=0.01</f>
        <v>0</v>
      </c>
      <c r="J20" s="2" t="b">
        <f>AND(Calculations[[#This Row],[Is Activation]],SUMIFS($H$12:$H20,$E$12:$E20,TRUE)&gt;0)</f>
        <v>0</v>
      </c>
      <c r="K20" s="2" t="b">
        <f>Calculations[[#This Row],[Day]]=0</f>
        <v>1</v>
      </c>
      <c r="L20" s="14">
        <f>IF(NOT(Calculations[[#This Row],[Is Activation]]),Calculations[[#This Row],[Withdrawal Taken]]/Calculations[[#This Row],[Contract Value]],0)</f>
        <v>0</v>
      </c>
      <c r="M2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0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0" s="1">
        <f>IF(Calculations[[#This Row],[Has a Withdrawal Occurred After Activation]],0,(1+INT(Calculations[[#This Row],[Time From Valuation]])*Minimum_Income_Base_Percentage))*InitialPurchasePayment</f>
        <v>110000.00000000001</v>
      </c>
      <c r="Q2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0" s="1">
        <f>IF(Calculations[[#This Row],[Has a Withdrawal Occurred After Activation]],0,PRODUCT($N$12:$N20))</f>
        <v>1</v>
      </c>
      <c r="T20" s="14">
        <f>(Calculations[[#This Row],[Starting Minimum Income Base]]+Calculations[[#This Row],[Purchase Payment 1]]+Calculations[[#This Row],[Purchase Payment 2]])*Calculations[[#This Row],[Accum Withdrawal Penalty]]</f>
        <v>270500</v>
      </c>
      <c r="U2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280000</v>
      </c>
      <c r="V2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0" s="5">
        <f ca="1">Calculations[[#This Row],[Pre-Activation Income Base]]+Calculations[[#This Row],[Post-Activation Income Base]]</f>
        <v>280000</v>
      </c>
      <c r="X20" s="9">
        <f ca="1">IF(NOT(Calculations[[#This Row],[Has Lifetime Income Started]]),Calculations[[#This Row],[Income Base]]*MAW,0)</f>
        <v>16800</v>
      </c>
      <c r="Y20" s="32">
        <f>IF(AND(Calculations[[#This Row],[Has Lifetime Income Started]],Calculations[[#This Row],[Is Anniversary]]),PIP*Calculations[[#This Row],[Income Base]],0)</f>
        <v>0</v>
      </c>
      <c r="AA20" s="26" t="s">
        <v>9</v>
      </c>
      <c r="AB20" s="14">
        <f>Calculations[[#This Row],[Purchase Payments Invested]]-AL20</f>
        <v>0</v>
      </c>
      <c r="AC20" s="14">
        <f>Calculations[[#This Row],[Contract Value]]-AM20</f>
        <v>0</v>
      </c>
      <c r="AD20" s="14">
        <f>Calculations[[#This Row],[Withdrawal Taken]]-AN20</f>
        <v>0</v>
      </c>
      <c r="AE20" s="14">
        <f ca="1">Calculations[[#This Row],[Step-up Value]]-AO20</f>
        <v>0</v>
      </c>
      <c r="AF20" s="14">
        <f>Calculations[[#This Row],[Minimum Income Base]]-AP20</f>
        <v>0</v>
      </c>
      <c r="AG20" s="14">
        <f ca="1">Calculations[[#This Row],[Income Base]]-AQ20</f>
        <v>0</v>
      </c>
      <c r="AH20" s="14">
        <f ca="1">Calculations[[#This Row],[Maximum Annual Withdrawal Amount upon Activation]]-AR20</f>
        <v>0</v>
      </c>
      <c r="AI20" s="14">
        <f>Calculations[[#This Row],[Protected Income Payment]]-AS20</f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30" t="s">
        <v>11</v>
      </c>
      <c r="B21" s="6">
        <f>IFERROR(IF(FIND("Anniversary",Calculations[[#This Row],[Values as of]])&gt;0,B20+1,B20),B20)</f>
        <v>3</v>
      </c>
      <c r="C21" s="3">
        <f>VALUE(IFERROR(TRIM(MID(Calculations[[#This Row],[Values as of]],FIND("Day ",Calculations[[#This Row],[Values as of]])+4,LEN(Calculations[[#This Row],[Values as of]])-FIND("Day ",Calculations[[#This Row],[Values as of]])+4)),0))</f>
        <v>45</v>
      </c>
      <c r="D21" s="14">
        <f>Calculations[[#This Row],[Year]]+Calculations[[#This Row],[Day]]/365-1</f>
        <v>2.1232876712328768</v>
      </c>
      <c r="E21" s="14" t="b">
        <f>Calculations[[#This Row],[Time From Valuation]]&gt;=Activation_Time</f>
        <v>0</v>
      </c>
      <c r="F21" s="15">
        <f>IF(ABS(Calculations[[#This Row],[Time From Valuation]]-Purchase_Pay_1_Time)&lt;0.001,Purchase_Pay_1,0)+IF(ABS(Calculations[[#This Row],[Time From Valuation]]-Purchase_Pay_2_Time)&lt;0.001,Purchase_Pay_2,0)</f>
        <v>0</v>
      </c>
      <c r="G21" s="29">
        <f t="shared" si="1"/>
        <v>290000</v>
      </c>
      <c r="H21" s="29">
        <f t="shared" si="0"/>
        <v>0</v>
      </c>
      <c r="I21" s="15" t="b">
        <f>Calculations[[#This Row],[Contract Value]]&lt;=0.01</f>
        <v>0</v>
      </c>
      <c r="J21" s="2" t="b">
        <f>AND(Calculations[[#This Row],[Is Activation]],SUMIFS($H$12:$H21,$E$12:$E21,TRUE)&gt;0)</f>
        <v>0</v>
      </c>
      <c r="K21" s="2" t="b">
        <f>Calculations[[#This Row],[Day]]=0</f>
        <v>0</v>
      </c>
      <c r="L21" s="14">
        <f>IF(NOT(Calculations[[#This Row],[Is Activation]]),Calculations[[#This Row],[Withdrawal Taken]]/Calculations[[#This Row],[Contract Value]],0)</f>
        <v>0</v>
      </c>
      <c r="M2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290000</v>
      </c>
      <c r="P21" s="1">
        <f>IF(Calculations[[#This Row],[Has a Withdrawal Occurred After Activation]],0,(1+INT(Calculations[[#This Row],[Time From Valuation]])*Minimum_Income_Base_Percentage))*InitialPurchasePayment</f>
        <v>110000.00000000001</v>
      </c>
      <c r="Q2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1" s="1">
        <f>IF(Calculations[[#This Row],[Has a Withdrawal Occurred After Activation]],0,PRODUCT($N$12:$N21))</f>
        <v>1</v>
      </c>
      <c r="T21" s="14">
        <f>(Calculations[[#This Row],[Starting Minimum Income Base]]+Calculations[[#This Row],[Purchase Payment 1]]+Calculations[[#This Row],[Purchase Payment 2]])*Calculations[[#This Row],[Accum Withdrawal Penalty]]</f>
        <v>270500</v>
      </c>
      <c r="U2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290000</v>
      </c>
      <c r="V2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1" s="5">
        <f ca="1">Calculations[[#This Row],[Pre-Activation Income Base]]+Calculations[[#This Row],[Post-Activation Income Base]]</f>
        <v>290000</v>
      </c>
      <c r="X21" s="9">
        <f ca="1">IF(NOT(Calculations[[#This Row],[Has Lifetime Income Started]]),Calculations[[#This Row],[Income Base]]*MAW,0)</f>
        <v>17400</v>
      </c>
      <c r="Y21" s="32">
        <f>IF(AND(Calculations[[#This Row],[Has Lifetime Income Started]],Calculations[[#This Row],[Is Anniversary]]),PIP*Calculations[[#This Row],[Income Base]],0)</f>
        <v>0</v>
      </c>
      <c r="Z21" s="1"/>
      <c r="AA21" s="26" t="s">
        <v>11</v>
      </c>
      <c r="AB21" s="14">
        <f>Calculations[[#This Row],[Purchase Payments Invested]]-AL21</f>
        <v>0</v>
      </c>
      <c r="AC21" s="14">
        <f>Calculations[[#This Row],[Contract Value]]-AM21</f>
        <v>0</v>
      </c>
      <c r="AD21" s="14">
        <f>Calculations[[#This Row],[Withdrawal Taken]]-AN21</f>
        <v>0</v>
      </c>
      <c r="AE21" s="14">
        <f ca="1">Calculations[[#This Row],[Step-up Value]]-AO21</f>
        <v>0</v>
      </c>
      <c r="AF21" s="14">
        <f>Calculations[[#This Row],[Minimum Income Base]]-AP21</f>
        <v>0</v>
      </c>
      <c r="AG21" s="14">
        <f ca="1">Calculations[[#This Row],[Income Base]]-AQ21</f>
        <v>0</v>
      </c>
      <c r="AH21" s="14">
        <f ca="1">Calculations[[#This Row],[Maximum Annual Withdrawal Amount upon Activation]]-AR21</f>
        <v>0</v>
      </c>
      <c r="AI21" s="14">
        <f>Calculations[[#This Row],[Protected Income Payment]]-AS21</f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30" t="s">
        <v>12</v>
      </c>
      <c r="B22" s="6">
        <f>IFERROR(IF(FIND("Anniversary",Calculations[[#This Row],[Values as of]])&gt;0,B21+1,B21),B21)</f>
        <v>3</v>
      </c>
      <c r="C2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22" s="14">
        <f>Calculations[[#This Row],[Year]]+Calculations[[#This Row],[Day]]/365-1</f>
        <v>2.4246575342465753</v>
      </c>
      <c r="E22" s="14" t="b">
        <f>Calculations[[#This Row],[Time From Valuation]]&gt;=Activation_Time</f>
        <v>0</v>
      </c>
      <c r="F22" s="15">
        <f>IF(ABS(Calculations[[#This Row],[Time From Valuation]]-Purchase_Pay_1_Time)&lt;0.001,Purchase_Pay_1,0)+IF(ABS(Calculations[[#This Row],[Time From Valuation]]-Purchase_Pay_2_Time)&lt;0.001,Purchase_Pay_2,0)</f>
        <v>0</v>
      </c>
      <c r="G22" s="29">
        <f t="shared" si="1"/>
        <v>285000</v>
      </c>
      <c r="H22" s="29">
        <f t="shared" si="0"/>
        <v>5000</v>
      </c>
      <c r="I22" s="15" t="b">
        <f>Calculations[[#This Row],[Contract Value]]&lt;=0.01</f>
        <v>0</v>
      </c>
      <c r="J22" s="2" t="b">
        <f>AND(Calculations[[#This Row],[Is Activation]],SUMIFS($H$12:$H22,$E$12:$E22,TRUE)&gt;0)</f>
        <v>0</v>
      </c>
      <c r="K22" s="2" t="b">
        <f>Calculations[[#This Row],[Day]]=0</f>
        <v>0</v>
      </c>
      <c r="L22" s="14">
        <f>IF(NOT(Calculations[[#This Row],[Is Activation]]),Calculations[[#This Row],[Withdrawal Taken]]/Calculations[[#This Row],[Contract Value]],0)</f>
        <v>1.7543859649122806E-2</v>
      </c>
      <c r="M2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2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0.98245614035087714</v>
      </c>
      <c r="O2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2" s="1">
        <f>IF(Calculations[[#This Row],[Has a Withdrawal Occurred After Activation]],0,(1+INT(Calculations[[#This Row],[Time From Valuation]])*Minimum_Income_Base_Percentage))*InitialPurchasePayment</f>
        <v>110000.00000000001</v>
      </c>
      <c r="Q2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2" s="1">
        <f ca="1">IF(Calculations[[#This Row],[Has a Withdrawal Occurred After Activation]],0,PRODUCT($N$12:$N22))</f>
        <v>0.98245614035087714</v>
      </c>
      <c r="T22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284912.28070175438</v>
      </c>
      <c r="V2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2" s="5">
        <f ca="1">Calculations[[#This Row],[Pre-Activation Income Base]]+Calculations[[#This Row],[Post-Activation Income Base]]</f>
        <v>284912.28070175438</v>
      </c>
      <c r="X22" s="9">
        <f ca="1">IF(NOT(Calculations[[#This Row],[Has Lifetime Income Started]]),Calculations[[#This Row],[Income Base]]*MAW,0)</f>
        <v>17094.736842105263</v>
      </c>
      <c r="Y22" s="32">
        <f>IF(AND(Calculations[[#This Row],[Has Lifetime Income Started]],Calculations[[#This Row],[Is Anniversary]]),PIP*Calculations[[#This Row],[Income Base]],0)</f>
        <v>0</v>
      </c>
      <c r="Z22" s="1"/>
      <c r="AA22" s="26" t="s">
        <v>12</v>
      </c>
      <c r="AB22" s="14">
        <f>Calculations[[#This Row],[Purchase Payments Invested]]-AL22</f>
        <v>0</v>
      </c>
      <c r="AC22" s="14">
        <f>Calculations[[#This Row],[Contract Value]]-AM22</f>
        <v>0</v>
      </c>
      <c r="AD22" s="14">
        <f>Calculations[[#This Row],[Withdrawal Taken]]-AN22</f>
        <v>0</v>
      </c>
      <c r="AE22" s="14">
        <f ca="1">Calculations[[#This Row],[Step-up Value]]-AO22</f>
        <v>0</v>
      </c>
      <c r="AF22" s="14">
        <f ca="1">Calculations[[#This Row],[Minimum Income Base]]-AP22</f>
        <v>0.3859649122459814</v>
      </c>
      <c r="AG22" s="14">
        <f ca="1">Calculations[[#This Row],[Income Base]]-AQ22</f>
        <v>0.28070175438188016</v>
      </c>
      <c r="AH22" s="14">
        <f ca="1">Calculations[[#This Row],[Maximum Annual Withdrawal Amount upon Activation]]-AR22</f>
        <v>-0.26315789473665063</v>
      </c>
      <c r="AI22" s="14">
        <f>Calculations[[#This Row],[Protected Income Payment]]-AS22</f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30" t="s">
        <v>13</v>
      </c>
      <c r="B23" s="6">
        <f>IFERROR(IF(FIND("Anniversary",Calculations[[#This Row],[Values as of]])&gt;0,B22+1,B22),B22)</f>
        <v>3</v>
      </c>
      <c r="C23" s="3">
        <f>VALUE(IFERROR(TRIM(MID(Calculations[[#This Row],[Values as of]],FIND("Day ",Calculations[[#This Row],[Values as of]])+4,LEN(Calculations[[#This Row],[Values as of]])-FIND("Day ",Calculations[[#This Row],[Values as of]])+4)),0))</f>
        <v>275</v>
      </c>
      <c r="D23" s="14">
        <f>Calculations[[#This Row],[Year]]+Calculations[[#This Row],[Day]]/365-1</f>
        <v>2.7534246575342465</v>
      </c>
      <c r="E23" s="14" t="b">
        <f>Calculations[[#This Row],[Time From Valuation]]&gt;=Activation_Time</f>
        <v>0</v>
      </c>
      <c r="F23" s="15">
        <f>IF(ABS(Calculations[[#This Row],[Time From Valuation]]-Purchase_Pay_1_Time)&lt;0.001,Purchase_Pay_1,0)+IF(ABS(Calculations[[#This Row],[Time From Valuation]]-Purchase_Pay_2_Time)&lt;0.001,Purchase_Pay_2,0)</f>
        <v>0</v>
      </c>
      <c r="G23" s="29">
        <f t="shared" si="1"/>
        <v>300000</v>
      </c>
      <c r="H23" s="29">
        <f t="shared" si="0"/>
        <v>0</v>
      </c>
      <c r="I23" s="15" t="b">
        <f>Calculations[[#This Row],[Contract Value]]&lt;=0.01</f>
        <v>0</v>
      </c>
      <c r="J23" s="2" t="b">
        <f>AND(Calculations[[#This Row],[Is Activation]],SUMIFS($H$12:$H23,$E$12:$E23,TRUE)&gt;0)</f>
        <v>0</v>
      </c>
      <c r="K23" s="2" t="b">
        <f>Calculations[[#This Row],[Day]]=0</f>
        <v>0</v>
      </c>
      <c r="L23" s="14">
        <f>IF(NOT(Calculations[[#This Row],[Is Activation]]),Calculations[[#This Row],[Withdrawal Taken]]/Calculations[[#This Row],[Contract Value]],0)</f>
        <v>0</v>
      </c>
      <c r="M2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300000</v>
      </c>
      <c r="P23" s="1">
        <f>IF(Calculations[[#This Row],[Has a Withdrawal Occurred After Activation]],0,(1+INT(Calculations[[#This Row],[Time From Valuation]])*Minimum_Income_Base_Percentage))*InitialPurchasePayment</f>
        <v>110000.00000000001</v>
      </c>
      <c r="Q2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66000</v>
      </c>
      <c r="R2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94500</v>
      </c>
      <c r="S23" s="1">
        <f ca="1">IF(Calculations[[#This Row],[Has a Withdrawal Occurred After Activation]],0,PRODUCT($N$12:$N23))</f>
        <v>0.98245614035087714</v>
      </c>
      <c r="T23" s="14">
        <f ca="1">(Calculations[[#This Row],[Starting Minimum Income Base]]+Calculations[[#This Row],[Purchase Payment 1]]+Calculations[[#This Row],[Purchase Payment 2]])*Calculations[[#This Row],[Accum Withdrawal Penalty]]</f>
        <v>265754.38596491225</v>
      </c>
      <c r="U2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300000</v>
      </c>
      <c r="V2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3" s="5">
        <f ca="1">Calculations[[#This Row],[Pre-Activation Income Base]]+Calculations[[#This Row],[Post-Activation Income Base]]</f>
        <v>300000</v>
      </c>
      <c r="X23" s="9">
        <f ca="1">IF(NOT(Calculations[[#This Row],[Has Lifetime Income Started]]),Calculations[[#This Row],[Income Base]]*MAW,0)</f>
        <v>18000</v>
      </c>
      <c r="Y23" s="32">
        <f>IF(AND(Calculations[[#This Row],[Has Lifetime Income Started]],Calculations[[#This Row],[Is Anniversary]]),PIP*Calculations[[#This Row],[Income Base]],0)</f>
        <v>0</v>
      </c>
      <c r="Z23" s="1"/>
      <c r="AA23" s="26" t="s">
        <v>13</v>
      </c>
      <c r="AB23" s="14">
        <f>Calculations[[#This Row],[Purchase Payments Invested]]-AL23</f>
        <v>0</v>
      </c>
      <c r="AC23" s="14">
        <f>Calculations[[#This Row],[Contract Value]]-AM23</f>
        <v>0</v>
      </c>
      <c r="AD23" s="14">
        <f>Calculations[[#This Row],[Withdrawal Taken]]-AN23</f>
        <v>0</v>
      </c>
      <c r="AE23" s="14">
        <f ca="1">Calculations[[#This Row],[Step-up Value]]-AO23</f>
        <v>0</v>
      </c>
      <c r="AF23" s="14">
        <f ca="1">Calculations[[#This Row],[Minimum Income Base]]-AP23</f>
        <v>0.3859649122459814</v>
      </c>
      <c r="AG23" s="14">
        <f ca="1">Calculations[[#This Row],[Income Base]]-AQ23</f>
        <v>0</v>
      </c>
      <c r="AH23" s="14">
        <f ca="1">Calculations[[#This Row],[Maximum Annual Withdrawal Amount upon Activation]]-AR23</f>
        <v>0</v>
      </c>
      <c r="AI23" s="14">
        <f>Calculations[[#This Row],[Protected Income Payment]]-AS23</f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30" t="s">
        <v>14</v>
      </c>
      <c r="B24" s="6">
        <f>IFERROR(IF(FIND("Anniversary",Calculations[[#This Row],[Values as of]])&gt;0,B23+1,B23),B23)</f>
        <v>4</v>
      </c>
      <c r="C24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4" s="14">
        <f>Calculations[[#This Row],[Year]]+Calculations[[#This Row],[Day]]/365-1</f>
        <v>3</v>
      </c>
      <c r="E24" s="14" t="b">
        <f>Calculations[[#This Row],[Time From Valuation]]&gt;=Activation_Time</f>
        <v>0</v>
      </c>
      <c r="F24" s="15">
        <f>IF(ABS(Calculations[[#This Row],[Time From Valuation]]-Purchase_Pay_1_Time)&lt;0.001,Purchase_Pay_1,0)+IF(ABS(Calculations[[#This Row],[Time From Valuation]]-Purchase_Pay_2_Time)&lt;0.001,Purchase_Pay_2,0)</f>
        <v>0</v>
      </c>
      <c r="G24" s="29">
        <f t="shared" si="1"/>
        <v>310000</v>
      </c>
      <c r="H24" s="29">
        <f t="shared" si="0"/>
        <v>0</v>
      </c>
      <c r="I24" s="15" t="b">
        <f>Calculations[[#This Row],[Contract Value]]&lt;=0.01</f>
        <v>0</v>
      </c>
      <c r="J24" s="2" t="b">
        <f>AND(Calculations[[#This Row],[Is Activation]],SUMIFS($H$12:$H24,$E$12:$E24,TRUE)&gt;0)</f>
        <v>0</v>
      </c>
      <c r="K24" s="2" t="b">
        <f>Calculations[[#This Row],[Day]]=0</f>
        <v>1</v>
      </c>
      <c r="L24" s="14">
        <f>IF(NOT(Calculations[[#This Row],[Is Activation]]),Calculations[[#This Row],[Withdrawal Taken]]/Calculations[[#This Row],[Contract Value]],0)</f>
        <v>0</v>
      </c>
      <c r="M2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4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310000</v>
      </c>
      <c r="P24" s="1">
        <f>IF(Calculations[[#This Row],[Has a Withdrawal Occurred After Activation]],0,(1+INT(Calculations[[#This Row],[Time From Valuation]])*Minimum_Income_Base_Percentage))*InitialPurchasePayment</f>
        <v>114999.99999999999</v>
      </c>
      <c r="Q2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4" s="1">
        <f ca="1">IF(Calculations[[#This Row],[Has a Withdrawal Occurred After Activation]],0,PRODUCT($N$12:$N24))</f>
        <v>0.98245614035087714</v>
      </c>
      <c r="T24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310000</v>
      </c>
      <c r="V2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4" s="5">
        <f ca="1">Calculations[[#This Row],[Pre-Activation Income Base]]+Calculations[[#This Row],[Post-Activation Income Base]]</f>
        <v>310000</v>
      </c>
      <c r="X24" s="9">
        <f ca="1">IF(NOT(Calculations[[#This Row],[Has Lifetime Income Started]]),Calculations[[#This Row],[Income Base]]*MAW,0)</f>
        <v>18600</v>
      </c>
      <c r="Y24" s="32">
        <f>IF(AND(Calculations[[#This Row],[Has Lifetime Income Started]],Calculations[[#This Row],[Is Anniversary]]),PIP*Calculations[[#This Row],[Income Base]],0)</f>
        <v>0</v>
      </c>
      <c r="Z24" s="1"/>
      <c r="AA24" s="26" t="s">
        <v>14</v>
      </c>
      <c r="AB24" s="14">
        <f>Calculations[[#This Row],[Purchase Payments Invested]]-AL24</f>
        <v>0</v>
      </c>
      <c r="AC24" s="14">
        <f>Calculations[[#This Row],[Contract Value]]-AM24</f>
        <v>0</v>
      </c>
      <c r="AD24" s="14">
        <f>Calculations[[#This Row],[Withdrawal Taken]]-AN24</f>
        <v>0</v>
      </c>
      <c r="AE24" s="14">
        <f ca="1">Calculations[[#This Row],[Step-up Value]]-AO24</f>
        <v>0</v>
      </c>
      <c r="AF24" s="14">
        <f ca="1">Calculations[[#This Row],[Minimum Income Base]]-AP24</f>
        <v>8.7719298258889467E-2</v>
      </c>
      <c r="AG24" s="14">
        <f ca="1">Calculations[[#This Row],[Income Base]]-AQ24</f>
        <v>0</v>
      </c>
      <c r="AH24" s="14">
        <f ca="1">Calculations[[#This Row],[Maximum Annual Withdrawal Amount upon Activation]]-AR24</f>
        <v>0</v>
      </c>
      <c r="AI24" s="14">
        <f>Calculations[[#This Row],[Protected Income Payment]]-AS24</f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31" t="s">
        <v>35</v>
      </c>
      <c r="B25" s="6">
        <f>IFERROR(IF(FIND("Anniversary",Calculations[[#This Row],[Values as of]])&gt;0,B24+1,B24),B24)</f>
        <v>4</v>
      </c>
      <c r="C25" s="3">
        <f>VALUE(IFERROR(TRIM(MID(Calculations[[#This Row],[Values as of]],FIND("Day ",Calculations[[#This Row],[Values as of]])+4,LEN(Calculations[[#This Row],[Values as of]])-FIND("Day ",Calculations[[#This Row],[Values as of]])+4)),0))</f>
        <v>65</v>
      </c>
      <c r="D25" s="14">
        <f>Calculations[[#This Row],[Year]]+Calculations[[#This Row],[Day]]/365-1</f>
        <v>3.1780821917808222</v>
      </c>
      <c r="E25" s="14" t="b">
        <f>Calculations[[#This Row],[Time From Valuation]]&gt;=Activation_Time</f>
        <v>0</v>
      </c>
      <c r="F25" s="15">
        <f>IF(ABS(Calculations[[#This Row],[Time From Valuation]]-Purchase_Pay_1_Time)&lt;0.001,Purchase_Pay_1,0)+IF(ABS(Calculations[[#This Row],[Time From Valuation]]-Purchase_Pay_2_Time)&lt;0.001,Purchase_Pay_2,0)</f>
        <v>0</v>
      </c>
      <c r="G25" s="29">
        <f t="shared" si="1"/>
        <v>315000</v>
      </c>
      <c r="H25" s="29">
        <f t="shared" si="0"/>
        <v>0</v>
      </c>
      <c r="I25" s="15" t="b">
        <f>Calculations[[#This Row],[Contract Value]]&lt;=0.01</f>
        <v>0</v>
      </c>
      <c r="J25" s="2" t="b">
        <f>AND(Calculations[[#This Row],[Is Activation]],SUMIFS($H$12:$H25,$E$12:$E25,TRUE)&gt;0)</f>
        <v>0</v>
      </c>
      <c r="K25" s="2" t="b">
        <f>Calculations[[#This Row],[Day]]=0</f>
        <v>0</v>
      </c>
      <c r="L25" s="14">
        <f>IF(NOT(Calculations[[#This Row],[Is Activation]]),Calculations[[#This Row],[Withdrawal Taken]]/Calculations[[#This Row],[Contract Value]],0)</f>
        <v>0</v>
      </c>
      <c r="M2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315000</v>
      </c>
      <c r="P25" s="1">
        <f>IF(Calculations[[#This Row],[Has a Withdrawal Occurred After Activation]],0,(1+INT(Calculations[[#This Row],[Time From Valuation]])*Minimum_Income_Base_Percentage))*InitialPurchasePayment</f>
        <v>114999.99999999999</v>
      </c>
      <c r="Q2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69000</v>
      </c>
      <c r="R2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99000.000000000015</v>
      </c>
      <c r="S25" s="1">
        <f ca="1">IF(Calculations[[#This Row],[Has a Withdrawal Occurred After Activation]],0,PRODUCT($N$12:$N25))</f>
        <v>0.98245614035087714</v>
      </c>
      <c r="T25" s="14">
        <f ca="1">(Calculations[[#This Row],[Starting Minimum Income Base]]+Calculations[[#This Row],[Purchase Payment 1]]+Calculations[[#This Row],[Purchase Payment 2]])*Calculations[[#This Row],[Accum Withdrawal Penalty]]</f>
        <v>278035.08771929826</v>
      </c>
      <c r="U2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315000</v>
      </c>
      <c r="V2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0</v>
      </c>
      <c r="W25" s="5">
        <f ca="1">Calculations[[#This Row],[Pre-Activation Income Base]]+Calculations[[#This Row],[Post-Activation Income Base]]</f>
        <v>315000</v>
      </c>
      <c r="X25" s="9">
        <f ca="1">IF(NOT(Calculations[[#This Row],[Has Lifetime Income Started]]),Calculations[[#This Row],[Income Base]]*MAW,0)</f>
        <v>18900</v>
      </c>
      <c r="Y25" s="32">
        <f>IF(AND(Calculations[[#This Row],[Has Lifetime Income Started]],Calculations[[#This Row],[Is Anniversary]]),PIP*Calculations[[#This Row],[Income Base]],0)</f>
        <v>0</v>
      </c>
      <c r="Z25" s="1"/>
      <c r="AA25" s="27" t="s">
        <v>35</v>
      </c>
      <c r="AB25" s="14">
        <f>Calculations[[#This Row],[Purchase Payments Invested]]-AL25</f>
        <v>0</v>
      </c>
      <c r="AC25" s="14">
        <f>Calculations[[#This Row],[Contract Value]]-AM25</f>
        <v>0</v>
      </c>
      <c r="AD25" s="14">
        <f>Calculations[[#This Row],[Withdrawal Taken]]-AN25</f>
        <v>0</v>
      </c>
      <c r="AE25" s="14">
        <f ca="1">Calculations[[#This Row],[Step-up Value]]-AO25</f>
        <v>0</v>
      </c>
      <c r="AF25" s="14">
        <f ca="1">Calculations[[#This Row],[Minimum Income Base]]-AP25</f>
        <v>8.7719298258889467E-2</v>
      </c>
      <c r="AG25" s="14">
        <f ca="1">Calculations[[#This Row],[Income Base]]-AQ25</f>
        <v>0</v>
      </c>
      <c r="AH25" s="14">
        <f ca="1">Calculations[[#This Row],[Maximum Annual Withdrawal Amount upon Activation]]-AR25</f>
        <v>0</v>
      </c>
      <c r="AI25" s="14">
        <f>Calculations[[#This Row],[Protected Income Payment]]-AS25</f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31" t="s">
        <v>36</v>
      </c>
      <c r="B26" s="6">
        <f>IFERROR(IF(FIND("Anniversary",Calculations[[#This Row],[Values as of]])&gt;0,B25+1,B25),B25)</f>
        <v>4</v>
      </c>
      <c r="C26" s="3">
        <f>VALUE(IFERROR(TRIM(MID(Calculations[[#This Row],[Values as of]],FIND("Day ",Calculations[[#This Row],[Values as of]])+4,LEN(Calculations[[#This Row],[Values as of]])-FIND("Day ",Calculations[[#This Row],[Values as of]])+4)),0))</f>
        <v>92</v>
      </c>
      <c r="D26" s="14">
        <f>Calculations[[#This Row],[Year]]+Calculations[[#This Row],[Day]]/365-1</f>
        <v>3.2520547945205482</v>
      </c>
      <c r="E26" s="14" t="b">
        <f>Calculations[[#This Row],[Time From Valuation]]&gt;=Activation_Time</f>
        <v>1</v>
      </c>
      <c r="F26" s="15">
        <f>IF(ABS(Calculations[[#This Row],[Time From Valuation]]-Purchase_Pay_1_Time)&lt;0.001,Purchase_Pay_1,0)+IF(ABS(Calculations[[#This Row],[Time From Valuation]]-Purchase_Pay_2_Time)&lt;0.001,Purchase_Pay_2,0)</f>
        <v>0</v>
      </c>
      <c r="G26" s="29">
        <f t="shared" si="1"/>
        <v>312000</v>
      </c>
      <c r="H26" s="29">
        <f t="shared" si="0"/>
        <v>10000</v>
      </c>
      <c r="I26" s="15" t="b">
        <f>Calculations[[#This Row],[Contract Value]]&lt;=0.01</f>
        <v>0</v>
      </c>
      <c r="J26" s="2" t="b">
        <f>AND(Calculations[[#This Row],[Is Activation]],SUMIFS($H$12:$H26,$E$12:$E26,TRUE)&gt;0)</f>
        <v>1</v>
      </c>
      <c r="K26" s="2" t="b">
        <f>Calculations[[#This Row],[Day]]=0</f>
        <v>0</v>
      </c>
      <c r="L26" s="14">
        <f>IF(NOT(Calculations[[#This Row],[Is Activation]]),Calculations[[#This Row],[Withdrawal Taken]]/Calculations[[#This Row],[Contract Value]],0)</f>
        <v>0</v>
      </c>
      <c r="M2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6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6" s="1">
        <f>IF(Calculations[[#This Row],[Has a Withdrawal Occurred After Activation]],0,(1+INT(Calculations[[#This Row],[Time From Valuation]])*Minimum_Income_Base_Percentage))*InitialPurchasePayment</f>
        <v>0</v>
      </c>
      <c r="Q2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6" s="1">
        <f>IF(Calculations[[#This Row],[Has a Withdrawal Occurred After Activation]],0,PRODUCT($N$12:$N26))</f>
        <v>0</v>
      </c>
      <c r="T26" s="14">
        <f>(Calculations[[#This Row],[Starting Minimum Income Base]]+Calculations[[#This Row],[Purchase Payment 1]]+Calculations[[#This Row],[Purchase Payment 2]])*Calculations[[#This Row],[Accum Withdrawal Penalty]]</f>
        <v>0</v>
      </c>
      <c r="U2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6" s="5">
        <f ca="1">Calculations[[#This Row],[Pre-Activation Income Base]]+Calculations[[#This Row],[Post-Activation Income Base]]</f>
        <v>315000</v>
      </c>
      <c r="X26" s="9">
        <f ca="1">IF(NOT(Calculations[[#This Row],[Has Lifetime Income Started]]),Calculations[[#This Row],[Income Base]]*MAW,0)</f>
        <v>18900</v>
      </c>
      <c r="Y26" s="32">
        <f>IF(AND(Calculations[[#This Row],[Has Lifetime Income Started]],Calculations[[#This Row],[Is Anniversary]]),PIP*Calculations[[#This Row],[Income Base]],0)</f>
        <v>0</v>
      </c>
      <c r="Z26" s="1"/>
      <c r="AA26" s="27" t="s">
        <v>36</v>
      </c>
      <c r="AB26" s="14">
        <f>Calculations[[#This Row],[Purchase Payments Invested]]-AL26</f>
        <v>0</v>
      </c>
      <c r="AC26" s="14">
        <f>Calculations[[#This Row],[Contract Value]]-AM26</f>
        <v>0</v>
      </c>
      <c r="AD26" s="14">
        <f>Calculations[[#This Row],[Withdrawal Taken]]-AN26</f>
        <v>0</v>
      </c>
      <c r="AE26" s="14">
        <f ca="1">Calculations[[#This Row],[Step-up Value]]-AO26</f>
        <v>0</v>
      </c>
      <c r="AF26" s="14">
        <f>Calculations[[#This Row],[Minimum Income Base]]-AP26</f>
        <v>0</v>
      </c>
      <c r="AG26" s="14">
        <f ca="1">Calculations[[#This Row],[Income Base]]-AQ26</f>
        <v>0</v>
      </c>
      <c r="AH26" s="14">
        <f ca="1">Calculations[[#This Row],[Maximum Annual Withdrawal Amount upon Activation]]-AR26</f>
        <v>0</v>
      </c>
      <c r="AI26" s="14">
        <f>Calculations[[#This Row],[Protected Income Payment]]-AS26</f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31" t="s">
        <v>37</v>
      </c>
      <c r="B27" s="6">
        <f>IFERROR(IF(FIND("Anniversary",Calculations[[#This Row],[Values as of]])&gt;0,B26+1,B26),B26)</f>
        <v>4</v>
      </c>
      <c r="C27" s="3">
        <f>VALUE(IFERROR(TRIM(MID(Calculations[[#This Row],[Values as of]],FIND("Day ",Calculations[[#This Row],[Values as of]])+4,LEN(Calculations[[#This Row],[Values as of]])-FIND("Day ",Calculations[[#This Row],[Values as of]])+4)),0))</f>
        <v>350</v>
      </c>
      <c r="D27" s="14">
        <f>Calculations[[#This Row],[Year]]+Calculations[[#This Row],[Day]]/365-1</f>
        <v>3.9589041095890414</v>
      </c>
      <c r="E27" s="14" t="b">
        <f>Calculations[[#This Row],[Time From Valuation]]&gt;=Activation_Time</f>
        <v>1</v>
      </c>
      <c r="F27" s="15">
        <f>IF(ABS(Calculations[[#This Row],[Time From Valuation]]-Purchase_Pay_1_Time)&lt;0.001,Purchase_Pay_1,0)+IF(ABS(Calculations[[#This Row],[Time From Valuation]]-Purchase_Pay_2_Time)&lt;0.001,Purchase_Pay_2,0)</f>
        <v>0</v>
      </c>
      <c r="G27" s="29">
        <f t="shared" si="1"/>
        <v>320000</v>
      </c>
      <c r="H27" s="29">
        <f t="shared" si="0"/>
        <v>0</v>
      </c>
      <c r="I27" s="15" t="b">
        <f>Calculations[[#This Row],[Contract Value]]&lt;=0.01</f>
        <v>0</v>
      </c>
      <c r="J27" s="2" t="b">
        <f>AND(Calculations[[#This Row],[Is Activation]],SUMIFS($H$12:$H27,$E$12:$E27,TRUE)&gt;0)</f>
        <v>1</v>
      </c>
      <c r="K27" s="2" t="b">
        <f>Calculations[[#This Row],[Day]]=0</f>
        <v>0</v>
      </c>
      <c r="L27" s="14">
        <f>IF(NOT(Calculations[[#This Row],[Is Activation]]),Calculations[[#This Row],[Withdrawal Taken]]/Calculations[[#This Row],[Contract Value]],0)</f>
        <v>0</v>
      </c>
      <c r="M2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7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320000</v>
      </c>
      <c r="P27" s="1">
        <f>IF(Calculations[[#This Row],[Has a Withdrawal Occurred After Activation]],0,(1+INT(Calculations[[#This Row],[Time From Valuation]])*Minimum_Income_Base_Percentage))*InitialPurchasePayment</f>
        <v>0</v>
      </c>
      <c r="Q2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7" s="1">
        <f>IF(Calculations[[#This Row],[Has a Withdrawal Occurred After Activation]],0,PRODUCT($N$12:$N27))</f>
        <v>0</v>
      </c>
      <c r="T27" s="14">
        <f>(Calculations[[#This Row],[Starting Minimum Income Base]]+Calculations[[#This Row],[Purchase Payment 1]]+Calculations[[#This Row],[Purchase Payment 2]])*Calculations[[#This Row],[Accum Withdrawal Penalty]]</f>
        <v>0</v>
      </c>
      <c r="U2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315000</v>
      </c>
      <c r="W27" s="5">
        <f ca="1">Calculations[[#This Row],[Pre-Activation Income Base]]+Calculations[[#This Row],[Post-Activation Income Base]]</f>
        <v>315000</v>
      </c>
      <c r="X27" s="9">
        <f ca="1">IF(NOT(Calculations[[#This Row],[Has Lifetime Income Started]]),Calculations[[#This Row],[Income Base]]*MAW,0)</f>
        <v>18900</v>
      </c>
      <c r="Y27" s="32">
        <f>IF(AND(Calculations[[#This Row],[Has Lifetime Income Started]],Calculations[[#This Row],[Is Anniversary]]),PIP*Calculations[[#This Row],[Income Base]],0)</f>
        <v>0</v>
      </c>
      <c r="Z27" s="1"/>
      <c r="AA27" s="27" t="s">
        <v>37</v>
      </c>
      <c r="AB27" s="14">
        <f>Calculations[[#This Row],[Purchase Payments Invested]]-AL27</f>
        <v>0</v>
      </c>
      <c r="AC27" s="14">
        <f>Calculations[[#This Row],[Contract Value]]-AM27</f>
        <v>0</v>
      </c>
      <c r="AD27" s="14">
        <f>Calculations[[#This Row],[Withdrawal Taken]]-AN27</f>
        <v>0</v>
      </c>
      <c r="AE27" s="14">
        <f ca="1">Calculations[[#This Row],[Step-up Value]]-AO27</f>
        <v>0</v>
      </c>
      <c r="AF27" s="14">
        <f>Calculations[[#This Row],[Minimum Income Base]]-AP27</f>
        <v>0</v>
      </c>
      <c r="AG27" s="14">
        <f ca="1">Calculations[[#This Row],[Income Base]]-AQ27</f>
        <v>0</v>
      </c>
      <c r="AH27" s="14">
        <f ca="1">Calculations[[#This Row],[Maximum Annual Withdrawal Amount upon Activation]]-AR27</f>
        <v>0</v>
      </c>
      <c r="AI27" s="14">
        <f>Calculations[[#This Row],[Protected Income Payment]]-AS27</f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31" t="s">
        <v>38</v>
      </c>
      <c r="B28" s="6">
        <f>IFERROR(IF(FIND("Anniversary",Calculations[[#This Row],[Values as of]])&gt;0,B27+1,B27),B27)</f>
        <v>5</v>
      </c>
      <c r="C2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28" s="14">
        <f>Calculations[[#This Row],[Year]]+Calculations[[#This Row],[Day]]/365-1</f>
        <v>4</v>
      </c>
      <c r="E28" s="14" t="b">
        <f>Calculations[[#This Row],[Time From Valuation]]&gt;=Activation_Time</f>
        <v>1</v>
      </c>
      <c r="F28" s="15">
        <f>IF(ABS(Calculations[[#This Row],[Time From Valuation]]-Purchase_Pay_1_Time)&lt;0.001,Purchase_Pay_1,0)+IF(ABS(Calculations[[#This Row],[Time From Valuation]]-Purchase_Pay_2_Time)&lt;0.001,Purchase_Pay_2,0)</f>
        <v>0</v>
      </c>
      <c r="G28" s="29">
        <f t="shared" si="1"/>
        <v>311000</v>
      </c>
      <c r="H28" s="29">
        <f t="shared" si="0"/>
        <v>0</v>
      </c>
      <c r="I28" s="15" t="b">
        <f>Calculations[[#This Row],[Contract Value]]&lt;=0.01</f>
        <v>0</v>
      </c>
      <c r="J28" s="2" t="b">
        <f>AND(Calculations[[#This Row],[Is Activation]],SUMIFS($H$12:$H28,$E$12:$E28,TRUE)&gt;0)</f>
        <v>1</v>
      </c>
      <c r="K28" s="2" t="b">
        <f>Calculations[[#This Row],[Day]]=0</f>
        <v>1</v>
      </c>
      <c r="L28" s="14">
        <f>IF(NOT(Calculations[[#This Row],[Is Activation]]),Calculations[[#This Row],[Withdrawal Taken]]/Calculations[[#This Row],[Contract Value]],0)</f>
        <v>0</v>
      </c>
      <c r="M2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28" s="1">
        <f>IF(Calculations[[#This Row],[Has a Withdrawal Occurred After Activation]],0,(1+INT(Calculations[[#This Row],[Time From Valuation]])*Minimum_Income_Base_Percentage))*InitialPurchasePayment</f>
        <v>0</v>
      </c>
      <c r="Q2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8" s="1">
        <f>IF(Calculations[[#This Row],[Has a Withdrawal Occurred After Activation]],0,PRODUCT($N$12:$N28))</f>
        <v>0</v>
      </c>
      <c r="T28" s="14">
        <f>(Calculations[[#This Row],[Starting Minimum Income Base]]+Calculations[[#This Row],[Purchase Payment 1]]+Calculations[[#This Row],[Purchase Payment 2]])*Calculations[[#This Row],[Accum Withdrawal Penalty]]</f>
        <v>0</v>
      </c>
      <c r="U2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8" s="5">
        <f ca="1">Calculations[[#This Row],[Pre-Activation Income Base]]+Calculations[[#This Row],[Post-Activation Income Base]]</f>
        <v>320000</v>
      </c>
      <c r="X28" s="9">
        <f ca="1">IF(NOT(Calculations[[#This Row],[Has Lifetime Income Started]]),Calculations[[#This Row],[Income Base]]*MAW,0)</f>
        <v>19200</v>
      </c>
      <c r="Y28" s="32">
        <f>IF(AND(Calculations[[#This Row],[Has Lifetime Income Started]],Calculations[[#This Row],[Is Anniversary]]),PIP*Calculations[[#This Row],[Income Base]],0)</f>
        <v>0</v>
      </c>
      <c r="Z28" s="1"/>
      <c r="AA28" s="27" t="s">
        <v>38</v>
      </c>
      <c r="AB28" s="14">
        <f>Calculations[[#This Row],[Purchase Payments Invested]]-AL28</f>
        <v>0</v>
      </c>
      <c r="AC28" s="14">
        <f>Calculations[[#This Row],[Contract Value]]-AM28</f>
        <v>0</v>
      </c>
      <c r="AD28" s="14">
        <f>Calculations[[#This Row],[Withdrawal Taken]]-AN28</f>
        <v>0</v>
      </c>
      <c r="AE28" s="14">
        <f ca="1">Calculations[[#This Row],[Step-up Value]]-AO28</f>
        <v>0</v>
      </c>
      <c r="AF28" s="14">
        <f>Calculations[[#This Row],[Minimum Income Base]]-AP28</f>
        <v>0</v>
      </c>
      <c r="AG28" s="14">
        <f ca="1">Calculations[[#This Row],[Income Base]]-AQ28</f>
        <v>0</v>
      </c>
      <c r="AH28" s="14">
        <f ca="1">Calculations[[#This Row],[Maximum Annual Withdrawal Amount upon Activation]]-AR28</f>
        <v>0</v>
      </c>
      <c r="AI28" s="14">
        <f>Calculations[[#This Row],[Protected Income Payment]]-AS28</f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31" t="s">
        <v>39</v>
      </c>
      <c r="B29" s="6">
        <f>IFERROR(IF(FIND("Anniversary",Calculations[[#This Row],[Values as of]])&gt;0,B28+1,B28),B28)</f>
        <v>5</v>
      </c>
      <c r="C29" s="3">
        <f>VALUE(IFERROR(TRIM(MID(Calculations[[#This Row],[Values as of]],FIND("Day ",Calculations[[#This Row],[Values as of]])+4,LEN(Calculations[[#This Row],[Values as of]])-FIND("Day ",Calculations[[#This Row],[Values as of]])+4)),0))</f>
        <v>75</v>
      </c>
      <c r="D29" s="14">
        <f>Calculations[[#This Row],[Year]]+Calculations[[#This Row],[Day]]/365-1</f>
        <v>4.2054794520547949</v>
      </c>
      <c r="E29" s="14" t="b">
        <f>Calculations[[#This Row],[Time From Valuation]]&gt;=Activation_Time</f>
        <v>1</v>
      </c>
      <c r="F29" s="15">
        <f>IF(ABS(Calculations[[#This Row],[Time From Valuation]]-Purchase_Pay_1_Time)&lt;0.001,Purchase_Pay_1,0)+IF(ABS(Calculations[[#This Row],[Time From Valuation]]-Purchase_Pay_2_Time)&lt;0.001,Purchase_Pay_2,0)</f>
        <v>0</v>
      </c>
      <c r="G29" s="29">
        <f t="shared" si="1"/>
        <v>325000</v>
      </c>
      <c r="H29" s="29">
        <f t="shared" si="0"/>
        <v>0</v>
      </c>
      <c r="I29" s="15" t="b">
        <f>Calculations[[#This Row],[Contract Value]]&lt;=0.01</f>
        <v>0</v>
      </c>
      <c r="J29" s="2" t="b">
        <f>AND(Calculations[[#This Row],[Is Activation]],SUMIFS($H$12:$H29,$E$12:$E29,TRUE)&gt;0)</f>
        <v>1</v>
      </c>
      <c r="K29" s="2" t="b">
        <f>Calculations[[#This Row],[Day]]=0</f>
        <v>0</v>
      </c>
      <c r="L29" s="14">
        <f>IF(NOT(Calculations[[#This Row],[Is Activation]]),Calculations[[#This Row],[Withdrawal Taken]]/Calculations[[#This Row],[Contract Value]],0)</f>
        <v>0</v>
      </c>
      <c r="M2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29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2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29" s="1">
        <f>IF(Calculations[[#This Row],[Has a Withdrawal Occurred After Activation]],0,(1+INT(Calculations[[#This Row],[Time From Valuation]])*Minimum_Income_Base_Percentage))*InitialPurchasePayment</f>
        <v>0</v>
      </c>
      <c r="Q2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2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29" s="1">
        <f>IF(Calculations[[#This Row],[Has a Withdrawal Occurred After Activation]],0,PRODUCT($N$12:$N29))</f>
        <v>0</v>
      </c>
      <c r="T29" s="14">
        <f>(Calculations[[#This Row],[Starting Minimum Income Base]]+Calculations[[#This Row],[Purchase Payment 1]]+Calculations[[#This Row],[Purchase Payment 2]])*Calculations[[#This Row],[Accum Withdrawal Penalty]]</f>
        <v>0</v>
      </c>
      <c r="U2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2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29" s="5">
        <f ca="1">Calculations[[#This Row],[Pre-Activation Income Base]]+Calculations[[#This Row],[Post-Activation Income Base]]</f>
        <v>320000</v>
      </c>
      <c r="X29" s="9">
        <f ca="1">IF(NOT(Calculations[[#This Row],[Has Lifetime Income Started]]),Calculations[[#This Row],[Income Base]]*MAW,0)</f>
        <v>19200</v>
      </c>
      <c r="Y29" s="32">
        <f>IF(AND(Calculations[[#This Row],[Has Lifetime Income Started]],Calculations[[#This Row],[Is Anniversary]]),PIP*Calculations[[#This Row],[Income Base]],0)</f>
        <v>0</v>
      </c>
      <c r="Z29" s="22"/>
      <c r="AA29" s="27" t="s">
        <v>39</v>
      </c>
      <c r="AB29" s="14">
        <f>Calculations[[#This Row],[Purchase Payments Invested]]-AL29</f>
        <v>0</v>
      </c>
      <c r="AC29" s="14">
        <f>Calculations[[#This Row],[Contract Value]]-AM29</f>
        <v>0</v>
      </c>
      <c r="AD29" s="14">
        <f>Calculations[[#This Row],[Withdrawal Taken]]-AN29</f>
        <v>0</v>
      </c>
      <c r="AE29" s="14">
        <f ca="1">Calculations[[#This Row],[Step-up Value]]-AO29</f>
        <v>0</v>
      </c>
      <c r="AF29" s="14">
        <f>Calculations[[#This Row],[Minimum Income Base]]-AP29</f>
        <v>0</v>
      </c>
      <c r="AG29" s="14">
        <f ca="1">Calculations[[#This Row],[Income Base]]-AQ29</f>
        <v>0</v>
      </c>
      <c r="AH29" s="14">
        <f ca="1">Calculations[[#This Row],[Maximum Annual Withdrawal Amount upon Activation]]-AR29</f>
        <v>0</v>
      </c>
      <c r="AI29" s="14">
        <f>Calculations[[#This Row],[Protected Income Payment]]-AS29</f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31" t="s">
        <v>40</v>
      </c>
      <c r="B30" s="6">
        <f>IFERROR(IF(FIND("Anniversary",Calculations[[#This Row],[Values as of]])&gt;0,B29+1,B29),B29)</f>
        <v>5</v>
      </c>
      <c r="C30" s="3">
        <f>VALUE(IFERROR(TRIM(MID(Calculations[[#This Row],[Values as of]],FIND("Day ",Calculations[[#This Row],[Values as of]])+4,LEN(Calculations[[#This Row],[Values as of]])-FIND("Day ",Calculations[[#This Row],[Values as of]])+4)),0))</f>
        <v>80</v>
      </c>
      <c r="D30" s="14">
        <f>Calculations[[#This Row],[Year]]+Calculations[[#This Row],[Day]]/365-1</f>
        <v>4.2191780821917808</v>
      </c>
      <c r="E30" s="14" t="b">
        <f>Calculations[[#This Row],[Time From Valuation]]&gt;=Activation_Time</f>
        <v>1</v>
      </c>
      <c r="F30" s="15">
        <f>IF(ABS(Calculations[[#This Row],[Time From Valuation]]-Purchase_Pay_1_Time)&lt;0.001,Purchase_Pay_1,0)+IF(ABS(Calculations[[#This Row],[Time From Valuation]]-Purchase_Pay_2_Time)&lt;0.001,Purchase_Pay_2,0)</f>
        <v>0</v>
      </c>
      <c r="G30" s="29">
        <f t="shared" si="1"/>
        <v>322000</v>
      </c>
      <c r="H30" s="29">
        <f t="shared" si="0"/>
        <v>19200</v>
      </c>
      <c r="I30" s="15" t="b">
        <f>Calculations[[#This Row],[Contract Value]]&lt;=0.01</f>
        <v>0</v>
      </c>
      <c r="J30" s="2" t="b">
        <f>AND(Calculations[[#This Row],[Is Activation]],SUMIFS($H$12:$H30,$E$12:$E30,TRUE)&gt;0)</f>
        <v>1</v>
      </c>
      <c r="K30" s="2" t="b">
        <f>Calculations[[#This Row],[Day]]=0</f>
        <v>0</v>
      </c>
      <c r="L30" s="14">
        <f>IF(NOT(Calculations[[#This Row],[Is Activation]]),Calculations[[#This Row],[Withdrawal Taken]]/Calculations[[#This Row],[Contract Value]],0)</f>
        <v>0</v>
      </c>
      <c r="M3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0" s="1">
        <f>IF(Calculations[[#This Row],[Has a Withdrawal Occurred After Activation]],0,(1+INT(Calculations[[#This Row],[Time From Valuation]])*Minimum_Income_Base_Percentage))*InitialPurchasePayment</f>
        <v>0</v>
      </c>
      <c r="Q3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0" s="1">
        <f>IF(Calculations[[#This Row],[Has a Withdrawal Occurred After Activation]],0,PRODUCT($N$12:$N30))</f>
        <v>0</v>
      </c>
      <c r="T30" s="14">
        <f>(Calculations[[#This Row],[Starting Minimum Income Base]]+Calculations[[#This Row],[Purchase Payment 1]]+Calculations[[#This Row],[Purchase Payment 2]])*Calculations[[#This Row],[Accum Withdrawal Penalty]]</f>
        <v>0</v>
      </c>
      <c r="U3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320000</v>
      </c>
      <c r="W30" s="5">
        <f ca="1">Calculations[[#This Row],[Pre-Activation Income Base]]+Calculations[[#This Row],[Post-Activation Income Base]]</f>
        <v>320000</v>
      </c>
      <c r="X30" s="9">
        <f ca="1">IF(NOT(Calculations[[#This Row],[Has Lifetime Income Started]]),Calculations[[#This Row],[Income Base]]*MAW,0)</f>
        <v>19200</v>
      </c>
      <c r="Y30" s="32">
        <f>IF(AND(Calculations[[#This Row],[Has Lifetime Income Started]],Calculations[[#This Row],[Is Anniversary]]),PIP*Calculations[[#This Row],[Income Base]],0)</f>
        <v>0</v>
      </c>
      <c r="AA30" s="27" t="s">
        <v>40</v>
      </c>
      <c r="AB30" s="14">
        <f>Calculations[[#This Row],[Purchase Payments Invested]]-AL30</f>
        <v>0</v>
      </c>
      <c r="AC30" s="14">
        <f>Calculations[[#This Row],[Contract Value]]-AM30</f>
        <v>0</v>
      </c>
      <c r="AD30" s="14">
        <f>Calculations[[#This Row],[Withdrawal Taken]]-AN30</f>
        <v>0</v>
      </c>
      <c r="AE30" s="14">
        <f ca="1">Calculations[[#This Row],[Step-up Value]]-AO30</f>
        <v>0</v>
      </c>
      <c r="AF30" s="14">
        <f>Calculations[[#This Row],[Minimum Income Base]]-AP30</f>
        <v>0</v>
      </c>
      <c r="AG30" s="14">
        <f ca="1">Calculations[[#This Row],[Income Base]]-AQ30</f>
        <v>0</v>
      </c>
      <c r="AH30" s="14">
        <f ca="1">Calculations[[#This Row],[Maximum Annual Withdrawal Amount upon Activation]]-AR30</f>
        <v>0</v>
      </c>
      <c r="AI30" s="14">
        <f>Calculations[[#This Row],[Protected Income Payment]]-AS30</f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31" t="s">
        <v>41</v>
      </c>
      <c r="B31" s="6">
        <f>IFERROR(IF(FIND("Anniversary",Calculations[[#This Row],[Values as of]])&gt;0,B30+1,B30),B30)</f>
        <v>6</v>
      </c>
      <c r="C3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1" s="14">
        <f>Calculations[[#This Row],[Year]]+Calculations[[#This Row],[Day]]/365-1</f>
        <v>5</v>
      </c>
      <c r="E31" s="14" t="b">
        <f>Calculations[[#This Row],[Time From Valuation]]&gt;=Activation_Time</f>
        <v>1</v>
      </c>
      <c r="F31" s="15">
        <f>IF(ABS(Calculations[[#This Row],[Time From Valuation]]-Purchase_Pay_1_Time)&lt;0.001,Purchase_Pay_1,0)+IF(ABS(Calculations[[#This Row],[Time From Valuation]]-Purchase_Pay_2_Time)&lt;0.001,Purchase_Pay_2,0)</f>
        <v>0</v>
      </c>
      <c r="G31" s="29">
        <f t="shared" si="1"/>
        <v>317000</v>
      </c>
      <c r="H31" s="29">
        <f t="shared" si="0"/>
        <v>0</v>
      </c>
      <c r="I31" s="15" t="b">
        <f>Calculations[[#This Row],[Contract Value]]&lt;=0.01</f>
        <v>0</v>
      </c>
      <c r="J31" s="2" t="b">
        <f>AND(Calculations[[#This Row],[Is Activation]],SUMIFS($H$12:$H31,$E$12:$E31,TRUE)&gt;0)</f>
        <v>1</v>
      </c>
      <c r="K31" s="2" t="b">
        <f>Calculations[[#This Row],[Day]]=0</f>
        <v>1</v>
      </c>
      <c r="L31" s="14">
        <f>IF(NOT(Calculations[[#This Row],[Is Activation]]),Calculations[[#This Row],[Withdrawal Taken]]/Calculations[[#This Row],[Contract Value]],0)</f>
        <v>0</v>
      </c>
      <c r="M3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1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1" s="1">
        <f>IF(Calculations[[#This Row],[Has a Withdrawal Occurred After Activation]],0,(1+INT(Calculations[[#This Row],[Time From Valuation]])*Minimum_Income_Base_Percentage))*InitialPurchasePayment</f>
        <v>0</v>
      </c>
      <c r="Q3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1" s="1">
        <f>IF(Calculations[[#This Row],[Has a Withdrawal Occurred After Activation]],0,PRODUCT($N$12:$N31))</f>
        <v>0</v>
      </c>
      <c r="T31" s="14">
        <f>(Calculations[[#This Row],[Starting Minimum Income Base]]+Calculations[[#This Row],[Purchase Payment 1]]+Calculations[[#This Row],[Purchase Payment 2]])*Calculations[[#This Row],[Accum Withdrawal Penalty]]</f>
        <v>0</v>
      </c>
      <c r="U3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1" s="5">
        <f ca="1">Calculations[[#This Row],[Pre-Activation Income Base]]+Calculations[[#This Row],[Post-Activation Income Base]]</f>
        <v>325000</v>
      </c>
      <c r="X31" s="9">
        <f ca="1">IF(NOT(Calculations[[#This Row],[Has Lifetime Income Started]]),Calculations[[#This Row],[Income Base]]*MAW,0)</f>
        <v>19500</v>
      </c>
      <c r="Y31" s="32">
        <f>IF(AND(Calculations[[#This Row],[Has Lifetime Income Started]],Calculations[[#This Row],[Is Anniversary]]),PIP*Calculations[[#This Row],[Income Base]],0)</f>
        <v>0</v>
      </c>
      <c r="AA31" s="27" t="s">
        <v>41</v>
      </c>
      <c r="AB31" s="14">
        <f>Calculations[[#This Row],[Purchase Payments Invested]]-AL31</f>
        <v>0</v>
      </c>
      <c r="AC31" s="14">
        <f>Calculations[[#This Row],[Contract Value]]-AM31</f>
        <v>0</v>
      </c>
      <c r="AD31" s="14">
        <f>Calculations[[#This Row],[Withdrawal Taken]]-AN31</f>
        <v>0</v>
      </c>
      <c r="AE31" s="14">
        <f ca="1">Calculations[[#This Row],[Step-up Value]]-AO31</f>
        <v>0</v>
      </c>
      <c r="AF31" s="14">
        <f>Calculations[[#This Row],[Minimum Income Base]]-AP31</f>
        <v>0</v>
      </c>
      <c r="AG31" s="14">
        <f ca="1">Calculations[[#This Row],[Income Base]]-AQ31</f>
        <v>0</v>
      </c>
      <c r="AH31" s="14">
        <f ca="1">Calculations[[#This Row],[Maximum Annual Withdrawal Amount upon Activation]]-AR31</f>
        <v>0</v>
      </c>
      <c r="AI31" s="14">
        <f>Calculations[[#This Row],[Protected Income Payment]]-AS31</f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31" t="s">
        <v>42</v>
      </c>
      <c r="B32" s="6">
        <f>IFERROR(IF(FIND("Anniversary",Calculations[[#This Row],[Values as of]])&gt;0,B31+1,B31),B31)</f>
        <v>6</v>
      </c>
      <c r="C32" s="3">
        <f>VALUE(IFERROR(TRIM(MID(Calculations[[#This Row],[Values as of]],FIND("Day ",Calculations[[#This Row],[Values as of]])+4,LEN(Calculations[[#This Row],[Values as of]])-FIND("Day ",Calculations[[#This Row],[Values as of]])+4)),0))</f>
        <v>155</v>
      </c>
      <c r="D32" s="14">
        <f>Calculations[[#This Row],[Year]]+Calculations[[#This Row],[Day]]/365-1</f>
        <v>5.4246575342465757</v>
      </c>
      <c r="E32" s="14" t="b">
        <f>Calculations[[#This Row],[Time From Valuation]]&gt;=Activation_Time</f>
        <v>1</v>
      </c>
      <c r="F32" s="15">
        <f>IF(ABS(Calculations[[#This Row],[Time From Valuation]]-Purchase_Pay_1_Time)&lt;0.001,Purchase_Pay_1,0)+IF(ABS(Calculations[[#This Row],[Time From Valuation]]-Purchase_Pay_2_Time)&lt;0.001,Purchase_Pay_2,0)</f>
        <v>0</v>
      </c>
      <c r="G32" s="29">
        <f t="shared" si="1"/>
        <v>330000</v>
      </c>
      <c r="H32" s="29">
        <f t="shared" si="0"/>
        <v>0</v>
      </c>
      <c r="I32" s="15" t="b">
        <f>Calculations[[#This Row],[Contract Value]]&lt;=0.01</f>
        <v>0</v>
      </c>
      <c r="J32" s="2" t="b">
        <f>AND(Calculations[[#This Row],[Is Activation]],SUMIFS($H$12:$H32,$E$12:$E32,TRUE)&gt;0)</f>
        <v>1</v>
      </c>
      <c r="K32" s="2" t="b">
        <f>Calculations[[#This Row],[Day]]=0</f>
        <v>0</v>
      </c>
      <c r="L32" s="14">
        <f>IF(NOT(Calculations[[#This Row],[Is Activation]]),Calculations[[#This Row],[Withdrawal Taken]]/Calculations[[#This Row],[Contract Value]],0)</f>
        <v>0</v>
      </c>
      <c r="M3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330000</v>
      </c>
      <c r="P32" s="1">
        <f>IF(Calculations[[#This Row],[Has a Withdrawal Occurred After Activation]],0,(1+INT(Calculations[[#This Row],[Time From Valuation]])*Minimum_Income_Base_Percentage))*InitialPurchasePayment</f>
        <v>0</v>
      </c>
      <c r="Q3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2" s="1">
        <f>IF(Calculations[[#This Row],[Has a Withdrawal Occurred After Activation]],0,PRODUCT($N$12:$N32))</f>
        <v>0</v>
      </c>
      <c r="T32" s="14">
        <f>(Calculations[[#This Row],[Starting Minimum Income Base]]+Calculations[[#This Row],[Purchase Payment 1]]+Calculations[[#This Row],[Purchase Payment 2]])*Calculations[[#This Row],[Accum Withdrawal Penalty]]</f>
        <v>0</v>
      </c>
      <c r="U3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2" s="5">
        <f ca="1">Calculations[[#This Row],[Pre-Activation Income Base]]+Calculations[[#This Row],[Post-Activation Income Base]]</f>
        <v>325000</v>
      </c>
      <c r="X32" s="9">
        <f ca="1">IF(NOT(Calculations[[#This Row],[Has Lifetime Income Started]]),Calculations[[#This Row],[Income Base]]*MAW,0)</f>
        <v>19500</v>
      </c>
      <c r="Y32" s="32">
        <f>IF(AND(Calculations[[#This Row],[Has Lifetime Income Started]],Calculations[[#This Row],[Is Anniversary]]),PIP*Calculations[[#This Row],[Income Base]],0)</f>
        <v>0</v>
      </c>
      <c r="AA32" s="27" t="s">
        <v>42</v>
      </c>
      <c r="AB32" s="14">
        <f>Calculations[[#This Row],[Purchase Payments Invested]]-AL32</f>
        <v>0</v>
      </c>
      <c r="AC32" s="14">
        <f>Calculations[[#This Row],[Contract Value]]-AM32</f>
        <v>0</v>
      </c>
      <c r="AD32" s="14">
        <f>Calculations[[#This Row],[Withdrawal Taken]]-AN32</f>
        <v>0</v>
      </c>
      <c r="AE32" s="14">
        <f ca="1">Calculations[[#This Row],[Step-up Value]]-AO32</f>
        <v>0</v>
      </c>
      <c r="AF32" s="14">
        <f>Calculations[[#This Row],[Minimum Income Base]]-AP32</f>
        <v>0</v>
      </c>
      <c r="AG32" s="14">
        <f ca="1">Calculations[[#This Row],[Income Base]]-AQ32</f>
        <v>0</v>
      </c>
      <c r="AH32" s="14">
        <f ca="1">Calculations[[#This Row],[Maximum Annual Withdrawal Amount upon Activation]]-AR32</f>
        <v>0</v>
      </c>
      <c r="AI32" s="14">
        <f>Calculations[[#This Row],[Protected Income Payment]]-AS32</f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31" t="s">
        <v>15</v>
      </c>
      <c r="B33" s="6">
        <f>IFERROR(IF(FIND("Anniversary",Calculations[[#This Row],[Values as of]])&gt;0,B32+1,B32),B32)</f>
        <v>7</v>
      </c>
      <c r="C3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3" s="14">
        <f>Calculations[[#This Row],[Year]]+Calculations[[#This Row],[Day]]/365-1</f>
        <v>6</v>
      </c>
      <c r="E33" s="14" t="b">
        <f>Calculations[[#This Row],[Time From Valuation]]&gt;=Activation_Time</f>
        <v>1</v>
      </c>
      <c r="F33" s="15">
        <f>IF(ABS(Calculations[[#This Row],[Time From Valuation]]-Purchase_Pay_1_Time)&lt;0.001,Purchase_Pay_1,0)+IF(ABS(Calculations[[#This Row],[Time From Valuation]]-Purchase_Pay_2_Time)&lt;0.001,Purchase_Pay_2,0)</f>
        <v>0</v>
      </c>
      <c r="G33" s="29">
        <f t="shared" si="1"/>
        <v>329000</v>
      </c>
      <c r="H33" s="29">
        <f t="shared" si="0"/>
        <v>0</v>
      </c>
      <c r="I33" s="15" t="b">
        <f>Calculations[[#This Row],[Contract Value]]&lt;=0.01</f>
        <v>0</v>
      </c>
      <c r="J33" s="2" t="b">
        <f>AND(Calculations[[#This Row],[Is Activation]],SUMIFS($H$12:$H33,$E$12:$E33,TRUE)&gt;0)</f>
        <v>1</v>
      </c>
      <c r="K33" s="2" t="b">
        <f>Calculations[[#This Row],[Day]]=0</f>
        <v>1</v>
      </c>
      <c r="L33" s="14">
        <f>IF(NOT(Calculations[[#This Row],[Is Activation]]),Calculations[[#This Row],[Withdrawal Taken]]/Calculations[[#This Row],[Contract Value]],0)</f>
        <v>0</v>
      </c>
      <c r="M3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3" s="1">
        <f>IF(Calculations[[#This Row],[Has a Withdrawal Occurred After Activation]],0,(1+INT(Calculations[[#This Row],[Time From Valuation]])*Minimum_Income_Base_Percentage))*InitialPurchasePayment</f>
        <v>0</v>
      </c>
      <c r="Q3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3" s="1">
        <f>IF(Calculations[[#This Row],[Has a Withdrawal Occurred After Activation]],0,PRODUCT($N$12:$N33))</f>
        <v>0</v>
      </c>
      <c r="T33" s="14">
        <f>(Calculations[[#This Row],[Starting Minimum Income Base]]+Calculations[[#This Row],[Purchase Payment 1]]+Calculations[[#This Row],[Purchase Payment 2]])*Calculations[[#This Row],[Accum Withdrawal Penalty]]</f>
        <v>0</v>
      </c>
      <c r="U3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330000</v>
      </c>
      <c r="W33" s="5">
        <f ca="1">Calculations[[#This Row],[Pre-Activation Income Base]]+Calculations[[#This Row],[Post-Activation Income Base]]</f>
        <v>330000</v>
      </c>
      <c r="X33" s="9">
        <f ca="1">IF(NOT(Calculations[[#This Row],[Has Lifetime Income Started]]),Calculations[[#This Row],[Income Base]]*MAW,0)</f>
        <v>19800</v>
      </c>
      <c r="Y33" s="32">
        <f>IF(AND(Calculations[[#This Row],[Has Lifetime Income Started]],Calculations[[#This Row],[Is Anniversary]]),PIP*Calculations[[#This Row],[Income Base]],0)</f>
        <v>0</v>
      </c>
      <c r="AA33" s="27" t="s">
        <v>15</v>
      </c>
      <c r="AB33" s="14">
        <f>Calculations[[#This Row],[Purchase Payments Invested]]-AL33</f>
        <v>0</v>
      </c>
      <c r="AC33" s="14">
        <f>Calculations[[#This Row],[Contract Value]]-AM33</f>
        <v>0</v>
      </c>
      <c r="AD33" s="14">
        <f>Calculations[[#This Row],[Withdrawal Taken]]-AN33</f>
        <v>0</v>
      </c>
      <c r="AE33" s="14">
        <f ca="1">Calculations[[#This Row],[Step-up Value]]-AO33</f>
        <v>0</v>
      </c>
      <c r="AF33" s="14">
        <f>Calculations[[#This Row],[Minimum Income Base]]-AP33</f>
        <v>0</v>
      </c>
      <c r="AG33" s="14">
        <f ca="1">Calculations[[#This Row],[Income Base]]-AQ33</f>
        <v>0</v>
      </c>
      <c r="AH33" s="14">
        <f ca="1">Calculations[[#This Row],[Maximum Annual Withdrawal Amount upon Activation]]-AR33</f>
        <v>0</v>
      </c>
      <c r="AI33" s="14">
        <f>Calculations[[#This Row],[Protected Income Payment]]-AS33</f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30" t="s">
        <v>16</v>
      </c>
      <c r="B34" s="6">
        <f>IFERROR(IF(FIND("Anniversary",Calculations[[#This Row],[Values as of]])&gt;0,B33+1,B33),B33)</f>
        <v>7</v>
      </c>
      <c r="C34" s="3">
        <f>VALUE(IFERROR(TRIM(MID(Calculations[[#This Row],[Values as of]],FIND("Day ",Calculations[[#This Row],[Values as of]])+4,LEN(Calculations[[#This Row],[Values as of]])-FIND("Day ",Calculations[[#This Row],[Values as of]])+4)),0))</f>
        <v>37</v>
      </c>
      <c r="D34" s="14">
        <f>Calculations[[#This Row],[Year]]+Calculations[[#This Row],[Day]]/365-1</f>
        <v>6.1013698630136988</v>
      </c>
      <c r="E34" s="14" t="b">
        <f>Calculations[[#This Row],[Time From Valuation]]&gt;=Activation_Time</f>
        <v>1</v>
      </c>
      <c r="F34" s="15">
        <f>IF(ABS(Calculations[[#This Row],[Time From Valuation]]-Purchase_Pay_1_Time)&lt;0.001,Purchase_Pay_1,0)+IF(ABS(Calculations[[#This Row],[Time From Valuation]]-Purchase_Pay_2_Time)&lt;0.001,Purchase_Pay_2,0)</f>
        <v>0</v>
      </c>
      <c r="G34" s="29">
        <f t="shared" si="1"/>
        <v>321000</v>
      </c>
      <c r="H34" s="29">
        <f t="shared" si="0"/>
        <v>26400</v>
      </c>
      <c r="I34" s="15" t="b">
        <f>Calculations[[#This Row],[Contract Value]]&lt;=0.01</f>
        <v>0</v>
      </c>
      <c r="J34" s="2" t="b">
        <f>AND(Calculations[[#This Row],[Is Activation]],SUMIFS($H$12:$H34,$E$12:$E34,TRUE)&gt;0)</f>
        <v>1</v>
      </c>
      <c r="K34" s="2" t="b">
        <f>Calculations[[#This Row],[Day]]=0</f>
        <v>0</v>
      </c>
      <c r="L34" s="14">
        <f>IF(NOT(Calculations[[#This Row],[Is Activation]]),Calculations[[#This Row],[Withdrawal Taken]]/Calculations[[#This Row],[Contract Value]],0)</f>
        <v>0</v>
      </c>
      <c r="M34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2.1912350597609563E-2</v>
      </c>
      <c r="N34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0.97808764940239046</v>
      </c>
      <c r="O34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4" s="1">
        <f>IF(Calculations[[#This Row],[Has a Withdrawal Occurred After Activation]],0,(1+INT(Calculations[[#This Row],[Time From Valuation]])*Minimum_Income_Base_Percentage))*InitialPurchasePayment</f>
        <v>0</v>
      </c>
      <c r="Q34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4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4" s="1">
        <f>IF(Calculations[[#This Row],[Has a Withdrawal Occurred After Activation]],0,PRODUCT($N$12:$N34))</f>
        <v>0</v>
      </c>
      <c r="T34" s="14">
        <f>(Calculations[[#This Row],[Starting Minimum Income Base]]+Calculations[[#This Row],[Purchase Payment 1]]+Calculations[[#This Row],[Purchase Payment 2]])*Calculations[[#This Row],[Accum Withdrawal Penalty]]</f>
        <v>0</v>
      </c>
      <c r="U34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4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4" s="5">
        <f ca="1">Calculations[[#This Row],[Pre-Activation Income Base]]+Calculations[[#This Row],[Post-Activation Income Base]]</f>
        <v>322768.92430278886</v>
      </c>
      <c r="X34" s="9">
        <f ca="1">IF(NOT(Calculations[[#This Row],[Has Lifetime Income Started]]),Calculations[[#This Row],[Income Base]]*MAW,0)</f>
        <v>19366.135458167329</v>
      </c>
      <c r="Y34" s="32">
        <f>IF(AND(Calculations[[#This Row],[Has Lifetime Income Started]],Calculations[[#This Row],[Is Anniversary]]),PIP*Calculations[[#This Row],[Income Base]],0)</f>
        <v>0</v>
      </c>
      <c r="AA34" s="26" t="s">
        <v>16</v>
      </c>
      <c r="AB34" s="14">
        <f>Calculations[[#This Row],[Purchase Payments Invested]]-AL34</f>
        <v>0</v>
      </c>
      <c r="AC34" s="14">
        <f>Calculations[[#This Row],[Contract Value]]-AM34</f>
        <v>0</v>
      </c>
      <c r="AD34" s="14">
        <f>Calculations[[#This Row],[Withdrawal Taken]]-AN34</f>
        <v>0</v>
      </c>
      <c r="AE34" s="14">
        <f ca="1">Calculations[[#This Row],[Step-up Value]]-AO34</f>
        <v>0</v>
      </c>
      <c r="AF34" s="14">
        <f>Calculations[[#This Row],[Minimum Income Base]]-AP34</f>
        <v>0</v>
      </c>
      <c r="AG34" s="14">
        <f ca="1">Calculations[[#This Row],[Income Base]]-AQ34</f>
        <v>-7.5697211141232401E-2</v>
      </c>
      <c r="AH34" s="14">
        <f ca="1">Calculations[[#This Row],[Maximum Annual Withdrawal Amount upon Activation]]-AR34</f>
        <v>0.13545816732948879</v>
      </c>
      <c r="AI34" s="14">
        <f>Calculations[[#This Row],[Protected Income Payment]]-AS34</f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30" t="s">
        <v>17</v>
      </c>
      <c r="B35" s="6">
        <f>IFERROR(IF(FIND("Anniversary",Calculations[[#This Row],[Values as of]])&gt;0,B34+1,B34),B34)</f>
        <v>7</v>
      </c>
      <c r="C35" s="3">
        <f>VALUE(IFERROR(TRIM(MID(Calculations[[#This Row],[Values as of]],FIND("Day ",Calculations[[#This Row],[Values as of]])+4,LEN(Calculations[[#This Row],[Values as of]])-FIND("Day ",Calculations[[#This Row],[Values as of]])+4)),0))</f>
        <v>362</v>
      </c>
      <c r="D35" s="14">
        <f>Calculations[[#This Row],[Year]]+Calculations[[#This Row],[Day]]/365-1</f>
        <v>6.9917808219178079</v>
      </c>
      <c r="E35" s="14" t="b">
        <f>Calculations[[#This Row],[Time From Valuation]]&gt;=Activation_Time</f>
        <v>1</v>
      </c>
      <c r="F35" s="15">
        <f>IF(ABS(Calculations[[#This Row],[Time From Valuation]]-Purchase_Pay_1_Time)&lt;0.001,Purchase_Pay_1,0)+IF(ABS(Calculations[[#This Row],[Time From Valuation]]-Purchase_Pay_2_Time)&lt;0.001,Purchase_Pay_2,0)</f>
        <v>0</v>
      </c>
      <c r="G35" s="29">
        <f t="shared" si="1"/>
        <v>325000</v>
      </c>
      <c r="H35" s="29">
        <f t="shared" si="0"/>
        <v>0</v>
      </c>
      <c r="I35" s="15" t="b">
        <f>Calculations[[#This Row],[Contract Value]]&lt;=0.01</f>
        <v>0</v>
      </c>
      <c r="J35" s="2" t="b">
        <f>AND(Calculations[[#This Row],[Is Activation]],SUMIFS($H$12:$H35,$E$12:$E35,TRUE)&gt;0)</f>
        <v>1</v>
      </c>
      <c r="K35" s="2" t="b">
        <f>Calculations[[#This Row],[Day]]=0</f>
        <v>0</v>
      </c>
      <c r="L35" s="14">
        <f>IF(NOT(Calculations[[#This Row],[Is Activation]]),Calculations[[#This Row],[Withdrawal Taken]]/Calculations[[#This Row],[Contract Value]],0)</f>
        <v>0</v>
      </c>
      <c r="M35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5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5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325000</v>
      </c>
      <c r="P35" s="1">
        <f>IF(Calculations[[#This Row],[Has a Withdrawal Occurred After Activation]],0,(1+INT(Calculations[[#This Row],[Time From Valuation]])*Minimum_Income_Base_Percentage))*InitialPurchasePayment</f>
        <v>0</v>
      </c>
      <c r="Q35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5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5" s="1">
        <f>IF(Calculations[[#This Row],[Has a Withdrawal Occurred After Activation]],0,PRODUCT($N$12:$N35))</f>
        <v>0</v>
      </c>
      <c r="T35" s="14">
        <f>(Calculations[[#This Row],[Starting Minimum Income Base]]+Calculations[[#This Row],[Purchase Payment 1]]+Calculations[[#This Row],[Purchase Payment 2]])*Calculations[[#This Row],[Accum Withdrawal Penalty]]</f>
        <v>0</v>
      </c>
      <c r="U35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5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322768.92430278886</v>
      </c>
      <c r="W35" s="5">
        <f ca="1">Calculations[[#This Row],[Pre-Activation Income Base]]+Calculations[[#This Row],[Post-Activation Income Base]]</f>
        <v>322768.92430278886</v>
      </c>
      <c r="X35" s="9">
        <f ca="1">IF(NOT(Calculations[[#This Row],[Has Lifetime Income Started]]),Calculations[[#This Row],[Income Base]]*MAW,0)</f>
        <v>19366.135458167329</v>
      </c>
      <c r="Y35" s="32">
        <f>IF(AND(Calculations[[#This Row],[Has Lifetime Income Started]],Calculations[[#This Row],[Is Anniversary]]),PIP*Calculations[[#This Row],[Income Base]],0)</f>
        <v>0</v>
      </c>
      <c r="AA35" s="26" t="s">
        <v>17</v>
      </c>
      <c r="AB35" s="14">
        <f>Calculations[[#This Row],[Purchase Payments Invested]]-AL35</f>
        <v>0</v>
      </c>
      <c r="AC35" s="14">
        <f>Calculations[[#This Row],[Contract Value]]-AM35</f>
        <v>0</v>
      </c>
      <c r="AD35" s="14">
        <f>Calculations[[#This Row],[Withdrawal Taken]]-AN35</f>
        <v>0</v>
      </c>
      <c r="AE35" s="14">
        <f ca="1">Calculations[[#This Row],[Step-up Value]]-AO35</f>
        <v>0</v>
      </c>
      <c r="AF35" s="14">
        <f>Calculations[[#This Row],[Minimum Income Base]]-AP35</f>
        <v>0</v>
      </c>
      <c r="AG35" s="14">
        <f ca="1">Calculations[[#This Row],[Income Base]]-AQ35</f>
        <v>-7.5697211141232401E-2</v>
      </c>
      <c r="AH35" s="14">
        <f ca="1">Calculations[[#This Row],[Maximum Annual Withdrawal Amount upon Activation]]-AR35</f>
        <v>0.13545816732948879</v>
      </c>
      <c r="AI35" s="14">
        <f>Calculations[[#This Row],[Protected Income Payment]]-AS35</f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30" t="s">
        <v>18</v>
      </c>
      <c r="B36" s="6">
        <f>IFERROR(IF(FIND("Anniversary",Calculations[[#This Row],[Values as of]])&gt;0,B35+1,B35),B35)</f>
        <v>8</v>
      </c>
      <c r="C36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6" s="14">
        <f>Calculations[[#This Row],[Year]]+Calculations[[#This Row],[Day]]/365-1</f>
        <v>7</v>
      </c>
      <c r="E36" s="14" t="b">
        <f>Calculations[[#This Row],[Time From Valuation]]&gt;=Activation_Time</f>
        <v>1</v>
      </c>
      <c r="F36" s="15">
        <f>IF(ABS(Calculations[[#This Row],[Time From Valuation]]-Purchase_Pay_1_Time)&lt;0.001,Purchase_Pay_1,0)+IF(ABS(Calculations[[#This Row],[Time From Valuation]]-Purchase_Pay_2_Time)&lt;0.001,Purchase_Pay_2,0)</f>
        <v>0</v>
      </c>
      <c r="G36" s="29">
        <f t="shared" si="1"/>
        <v>317000</v>
      </c>
      <c r="H36" s="29">
        <f t="shared" si="0"/>
        <v>0</v>
      </c>
      <c r="I36" s="15" t="b">
        <f>Calculations[[#This Row],[Contract Value]]&lt;=0.01</f>
        <v>0</v>
      </c>
      <c r="J36" s="2" t="b">
        <f>AND(Calculations[[#This Row],[Is Activation]],SUMIFS($H$12:$H36,$E$12:$E36,TRUE)&gt;0)</f>
        <v>1</v>
      </c>
      <c r="K36" s="2" t="b">
        <f>Calculations[[#This Row],[Day]]=0</f>
        <v>1</v>
      </c>
      <c r="L36" s="14">
        <f>IF(NOT(Calculations[[#This Row],[Is Activation]]),Calculations[[#This Row],[Withdrawal Taken]]/Calculations[[#This Row],[Contract Value]],0)</f>
        <v>0</v>
      </c>
      <c r="M36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6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6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6" s="1">
        <f>IF(Calculations[[#This Row],[Has a Withdrawal Occurred After Activation]],0,(1+INT(Calculations[[#This Row],[Time From Valuation]])*Minimum_Income_Base_Percentage))*InitialPurchasePayment</f>
        <v>0</v>
      </c>
      <c r="Q36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6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6" s="1">
        <f>IF(Calculations[[#This Row],[Has a Withdrawal Occurred After Activation]],0,PRODUCT($N$12:$N36))</f>
        <v>0</v>
      </c>
      <c r="T36" s="14">
        <f>(Calculations[[#This Row],[Starting Minimum Income Base]]+Calculations[[#This Row],[Purchase Payment 1]]+Calculations[[#This Row],[Purchase Payment 2]])*Calculations[[#This Row],[Accum Withdrawal Penalty]]</f>
        <v>0</v>
      </c>
      <c r="U36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6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325000</v>
      </c>
      <c r="W36" s="5">
        <f ca="1">Calculations[[#This Row],[Pre-Activation Income Base]]+Calculations[[#This Row],[Post-Activation Income Base]]</f>
        <v>325000</v>
      </c>
      <c r="X36" s="9">
        <f ca="1">IF(NOT(Calculations[[#This Row],[Has Lifetime Income Started]]),Calculations[[#This Row],[Income Base]]*MAW,0)</f>
        <v>19500</v>
      </c>
      <c r="Y36" s="32">
        <f>IF(AND(Calculations[[#This Row],[Has Lifetime Income Started]],Calculations[[#This Row],[Is Anniversary]]),PIP*Calculations[[#This Row],[Income Base]],0)</f>
        <v>0</v>
      </c>
      <c r="AA36" s="26" t="s">
        <v>18</v>
      </c>
      <c r="AB36" s="14">
        <f>Calculations[[#This Row],[Purchase Payments Invested]]-AL36</f>
        <v>0</v>
      </c>
      <c r="AC36" s="14">
        <f>Calculations[[#This Row],[Contract Value]]-AM36</f>
        <v>0</v>
      </c>
      <c r="AD36" s="14">
        <f>Calculations[[#This Row],[Withdrawal Taken]]-AN36</f>
        <v>0</v>
      </c>
      <c r="AE36" s="14">
        <f ca="1">Calculations[[#This Row],[Step-up Value]]-AO36</f>
        <v>0</v>
      </c>
      <c r="AF36" s="14">
        <f>Calculations[[#This Row],[Minimum Income Base]]-AP36</f>
        <v>0</v>
      </c>
      <c r="AG36" s="14">
        <f ca="1">Calculations[[#This Row],[Income Base]]-AQ36</f>
        <v>0</v>
      </c>
      <c r="AH36" s="14">
        <f ca="1">Calculations[[#This Row],[Maximum Annual Withdrawal Amount upon Activation]]-AR36</f>
        <v>0</v>
      </c>
      <c r="AI36" s="14">
        <f>Calculations[[#This Row],[Protected Income Payment]]-AS36</f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30" t="s">
        <v>19</v>
      </c>
      <c r="B37" s="6">
        <f>IFERROR(IF(FIND("Anniversary",Calculations[[#This Row],[Values as of]])&gt;0,B36+1,B36),B36)</f>
        <v>8</v>
      </c>
      <c r="C37" s="3">
        <f>VALUE(IFERROR(TRIM(MID(Calculations[[#This Row],[Values as of]],FIND("Day ",Calculations[[#This Row],[Values as of]])+4,LEN(Calculations[[#This Row],[Values as of]])-FIND("Day ",Calculations[[#This Row],[Values as of]])+4)),0))</f>
        <v>46</v>
      </c>
      <c r="D37" s="14">
        <f>Calculations[[#This Row],[Year]]+Calculations[[#This Row],[Day]]/365-1</f>
        <v>7.1260273972602732</v>
      </c>
      <c r="E37" s="14" t="b">
        <f>Calculations[[#This Row],[Time From Valuation]]&gt;=Activation_Time</f>
        <v>1</v>
      </c>
      <c r="F37" s="15">
        <f>IF(ABS(Calculations[[#This Row],[Time From Valuation]]-Purchase_Pay_1_Time)&lt;0.001,Purchase_Pay_1,0)+IF(ABS(Calculations[[#This Row],[Time From Valuation]]-Purchase_Pay_2_Time)&lt;0.001,Purchase_Pay_2,0)</f>
        <v>0</v>
      </c>
      <c r="G37" s="29">
        <f t="shared" si="1"/>
        <v>307000</v>
      </c>
      <c r="H37" s="29">
        <f t="shared" si="0"/>
        <v>26000</v>
      </c>
      <c r="I37" s="15" t="b">
        <f>Calculations[[#This Row],[Contract Value]]&lt;=0.01</f>
        <v>0</v>
      </c>
      <c r="J37" s="2" t="b">
        <f>AND(Calculations[[#This Row],[Is Activation]],SUMIFS($H$12:$H37,$E$12:$E37,TRUE)&gt;0)</f>
        <v>1</v>
      </c>
      <c r="K37" s="2" t="b">
        <f>Calculations[[#This Row],[Day]]=0</f>
        <v>0</v>
      </c>
      <c r="L37" s="14">
        <f>IF(NOT(Calculations[[#This Row],[Is Activation]]),Calculations[[#This Row],[Withdrawal Taken]]/Calculations[[#This Row],[Contract Value]],0)</f>
        <v>0</v>
      </c>
      <c r="M37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2.2608695652173914E-2</v>
      </c>
      <c r="N37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0.97739130434782606</v>
      </c>
      <c r="O37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7" s="1">
        <f>IF(Calculations[[#This Row],[Has a Withdrawal Occurred After Activation]],0,(1+INT(Calculations[[#This Row],[Time From Valuation]])*Minimum_Income_Base_Percentage))*InitialPurchasePayment</f>
        <v>0</v>
      </c>
      <c r="Q37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7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7" s="1">
        <f>IF(Calculations[[#This Row],[Has a Withdrawal Occurred After Activation]],0,PRODUCT($N$12:$N37))</f>
        <v>0</v>
      </c>
      <c r="T37" s="14">
        <f>(Calculations[[#This Row],[Starting Minimum Income Base]]+Calculations[[#This Row],[Purchase Payment 1]]+Calculations[[#This Row],[Purchase Payment 2]])*Calculations[[#This Row],[Accum Withdrawal Penalty]]</f>
        <v>0</v>
      </c>
      <c r="U37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7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7" s="5">
        <f ca="1">Calculations[[#This Row],[Pre-Activation Income Base]]+Calculations[[#This Row],[Post-Activation Income Base]]</f>
        <v>317652.17391304346</v>
      </c>
      <c r="X37" s="9">
        <f ca="1">IF(NOT(Calculations[[#This Row],[Has Lifetime Income Started]]),Calculations[[#This Row],[Income Base]]*MAW,0)</f>
        <v>19059.130434782608</v>
      </c>
      <c r="Y37" s="32">
        <f>IF(AND(Calculations[[#This Row],[Has Lifetime Income Started]],Calculations[[#This Row],[Is Anniversary]]),PIP*Calculations[[#This Row],[Income Base]],0)</f>
        <v>0</v>
      </c>
      <c r="AA37" s="26" t="s">
        <v>19</v>
      </c>
      <c r="AB37" s="14">
        <f>Calculations[[#This Row],[Purchase Payments Invested]]-AL37</f>
        <v>0</v>
      </c>
      <c r="AC37" s="14">
        <f>Calculations[[#This Row],[Contract Value]]-AM37</f>
        <v>0</v>
      </c>
      <c r="AD37" s="14">
        <f>Calculations[[#This Row],[Withdrawal Taken]]-AN37</f>
        <v>0</v>
      </c>
      <c r="AE37" s="14">
        <f ca="1">Calculations[[#This Row],[Step-up Value]]-AO37</f>
        <v>0</v>
      </c>
      <c r="AF37" s="14">
        <f>Calculations[[#This Row],[Minimum Income Base]]-AP37</f>
        <v>0</v>
      </c>
      <c r="AG37" s="14">
        <f ca="1">Calculations[[#This Row],[Income Base]]-AQ37</f>
        <v>0.17391304345801473</v>
      </c>
      <c r="AH37" s="14">
        <f ca="1">Calculations[[#This Row],[Maximum Annual Withdrawal Amount upon Activation]]-AR37</f>
        <v>0.13043478260806296</v>
      </c>
      <c r="AI37" s="14">
        <f>Calculations[[#This Row],[Protected Income Payment]]-AS37</f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30" t="s">
        <v>20</v>
      </c>
      <c r="B38" s="6">
        <f>IFERROR(IF(FIND("Anniversary",Calculations[[#This Row],[Values as of]])&gt;0,B37+1,B37),B37)</f>
        <v>9</v>
      </c>
      <c r="C38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8" s="14">
        <f>Calculations[[#This Row],[Year]]+Calculations[[#This Row],[Day]]/365-1</f>
        <v>8</v>
      </c>
      <c r="E38" s="14" t="b">
        <f>Calculations[[#This Row],[Time From Valuation]]&gt;=Activation_Time</f>
        <v>1</v>
      </c>
      <c r="F38" s="15">
        <f>IF(ABS(Calculations[[#This Row],[Time From Valuation]]-Purchase_Pay_1_Time)&lt;0.001,Purchase_Pay_1,0)+IF(ABS(Calculations[[#This Row],[Time From Valuation]]-Purchase_Pay_2_Time)&lt;0.001,Purchase_Pay_2,0)</f>
        <v>0</v>
      </c>
      <c r="G38" s="29">
        <f t="shared" si="1"/>
        <v>270000</v>
      </c>
      <c r="H38" s="29">
        <f t="shared" si="0"/>
        <v>0</v>
      </c>
      <c r="I38" s="15" t="b">
        <f>Calculations[[#This Row],[Contract Value]]&lt;=0.01</f>
        <v>0</v>
      </c>
      <c r="J38" s="2" t="b">
        <f>AND(Calculations[[#This Row],[Is Activation]],SUMIFS($H$12:$H38,$E$12:$E38,TRUE)&gt;0)</f>
        <v>1</v>
      </c>
      <c r="K38" s="2" t="b">
        <f>Calculations[[#This Row],[Day]]=0</f>
        <v>1</v>
      </c>
      <c r="L38" s="14">
        <f>IF(NOT(Calculations[[#This Row],[Is Activation]]),Calculations[[#This Row],[Withdrawal Taken]]/Calculations[[#This Row],[Contract Value]],0)</f>
        <v>0</v>
      </c>
      <c r="M38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8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8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8" s="1">
        <f>IF(Calculations[[#This Row],[Has a Withdrawal Occurred After Activation]],0,(1+INT(Calculations[[#This Row],[Time From Valuation]])*Minimum_Income_Base_Percentage))*InitialPurchasePayment</f>
        <v>0</v>
      </c>
      <c r="Q38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8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8" s="1">
        <f>IF(Calculations[[#This Row],[Has a Withdrawal Occurred After Activation]],0,PRODUCT($N$12:$N38))</f>
        <v>0</v>
      </c>
      <c r="T38" s="14">
        <f>(Calculations[[#This Row],[Starting Minimum Income Base]]+Calculations[[#This Row],[Purchase Payment 1]]+Calculations[[#This Row],[Purchase Payment 2]])*Calculations[[#This Row],[Accum Withdrawal Penalty]]</f>
        <v>0</v>
      </c>
      <c r="U38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8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8" s="5">
        <f ca="1">Calculations[[#This Row],[Pre-Activation Income Base]]+Calculations[[#This Row],[Post-Activation Income Base]]</f>
        <v>317652.17391304346</v>
      </c>
      <c r="X38" s="9">
        <f ca="1">IF(NOT(Calculations[[#This Row],[Has Lifetime Income Started]]),Calculations[[#This Row],[Income Base]]*MAW,0)</f>
        <v>19059.130434782608</v>
      </c>
      <c r="Y38" s="32">
        <f>IF(AND(Calculations[[#This Row],[Has Lifetime Income Started]],Calculations[[#This Row],[Is Anniversary]]),PIP*Calculations[[#This Row],[Income Base]],0)</f>
        <v>0</v>
      </c>
      <c r="AA38" s="26" t="s">
        <v>20</v>
      </c>
      <c r="AB38" s="14">
        <f>Calculations[[#This Row],[Purchase Payments Invested]]-AL38</f>
        <v>0</v>
      </c>
      <c r="AC38" s="14">
        <f>Calculations[[#This Row],[Contract Value]]-AM38</f>
        <v>0</v>
      </c>
      <c r="AD38" s="14">
        <f>Calculations[[#This Row],[Withdrawal Taken]]-AN38</f>
        <v>0</v>
      </c>
      <c r="AE38" s="14">
        <f ca="1">Calculations[[#This Row],[Step-up Value]]-AO38</f>
        <v>0</v>
      </c>
      <c r="AF38" s="14">
        <f>Calculations[[#This Row],[Minimum Income Base]]-AP38</f>
        <v>0</v>
      </c>
      <c r="AG38" s="14">
        <f ca="1">Calculations[[#This Row],[Income Base]]-AQ38</f>
        <v>0.17391304345801473</v>
      </c>
      <c r="AH38" s="14">
        <f ca="1">Calculations[[#This Row],[Maximum Annual Withdrawal Amount upon Activation]]-AR38</f>
        <v>0.13043478260806296</v>
      </c>
      <c r="AI38" s="14">
        <f>Calculations[[#This Row],[Protected Income Payment]]-AS38</f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30" t="s">
        <v>21</v>
      </c>
      <c r="B39" s="6">
        <f>IFERROR(IF(FIND("Anniversary",Calculations[[#This Row],[Values as of]])&gt;0,B38+1,B38),B38)</f>
        <v>10</v>
      </c>
      <c r="C39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39" s="14">
        <f>Calculations[[#This Row],[Year]]+Calculations[[#This Row],[Day]]/365-1</f>
        <v>9</v>
      </c>
      <c r="E39" s="14" t="b">
        <f>Calculations[[#This Row],[Time From Valuation]]&gt;=Activation_Time</f>
        <v>1</v>
      </c>
      <c r="F39" s="15">
        <f>IF(ABS(Calculations[[#This Row],[Time From Valuation]]-Purchase_Pay_1_Time)&lt;0.001,Purchase_Pay_1,0)+IF(ABS(Calculations[[#This Row],[Time From Valuation]]-Purchase_Pay_2_Time)&lt;0.001,Purchase_Pay_2,0)</f>
        <v>0</v>
      </c>
      <c r="G39" s="29">
        <f t="shared" si="1"/>
        <v>150000</v>
      </c>
      <c r="H39" s="29">
        <f t="shared" si="0"/>
        <v>19059</v>
      </c>
      <c r="I39" s="15" t="b">
        <f>Calculations[[#This Row],[Contract Value]]&lt;=0.01</f>
        <v>0</v>
      </c>
      <c r="J39" s="2" t="b">
        <f>AND(Calculations[[#This Row],[Is Activation]],SUMIFS($H$12:$H39,$E$12:$E39,TRUE)&gt;0)</f>
        <v>1</v>
      </c>
      <c r="K39" s="2" t="b">
        <f>Calculations[[#This Row],[Day]]=0</f>
        <v>1</v>
      </c>
      <c r="L39" s="14">
        <f>IF(NOT(Calculations[[#This Row],[Is Activation]]),Calculations[[#This Row],[Withdrawal Taken]]/Calculations[[#This Row],[Contract Value]],0)</f>
        <v>0</v>
      </c>
      <c r="M39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39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39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39" s="1">
        <f>IF(Calculations[[#This Row],[Has a Withdrawal Occurred After Activation]],0,(1+INT(Calculations[[#This Row],[Time From Valuation]])*Minimum_Income_Base_Percentage))*InitialPurchasePayment</f>
        <v>0</v>
      </c>
      <c r="Q39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39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39" s="1">
        <f>IF(Calculations[[#This Row],[Has a Withdrawal Occurred After Activation]],0,PRODUCT($N$12:$N39))</f>
        <v>0</v>
      </c>
      <c r="T39" s="14">
        <f>(Calculations[[#This Row],[Starting Minimum Income Base]]+Calculations[[#This Row],[Purchase Payment 1]]+Calculations[[#This Row],[Purchase Payment 2]])*Calculations[[#This Row],[Accum Withdrawal Penalty]]</f>
        <v>0</v>
      </c>
      <c r="U39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39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39" s="5">
        <f ca="1">Calculations[[#This Row],[Pre-Activation Income Base]]+Calculations[[#This Row],[Post-Activation Income Base]]</f>
        <v>317652.17391304346</v>
      </c>
      <c r="X39" s="9">
        <f ca="1">IF(NOT(Calculations[[#This Row],[Has Lifetime Income Started]]),Calculations[[#This Row],[Income Base]]*MAW,0)</f>
        <v>19059.130434782608</v>
      </c>
      <c r="Y39" s="32">
        <f>IF(AND(Calculations[[#This Row],[Has Lifetime Income Started]],Calculations[[#This Row],[Is Anniversary]]),PIP*Calculations[[#This Row],[Income Base]],0)</f>
        <v>0</v>
      </c>
      <c r="AA39" s="26" t="s">
        <v>21</v>
      </c>
      <c r="AB39" s="14">
        <f>Calculations[[#This Row],[Purchase Payments Invested]]-AL39</f>
        <v>0</v>
      </c>
      <c r="AC39" s="14">
        <f>Calculations[[#This Row],[Contract Value]]-AM39</f>
        <v>0</v>
      </c>
      <c r="AD39" s="14">
        <f>Calculations[[#This Row],[Withdrawal Taken]]-AN39</f>
        <v>0</v>
      </c>
      <c r="AE39" s="14">
        <f ca="1">Calculations[[#This Row],[Step-up Value]]-AO39</f>
        <v>0</v>
      </c>
      <c r="AF39" s="14">
        <f>Calculations[[#This Row],[Minimum Income Base]]-AP39</f>
        <v>0</v>
      </c>
      <c r="AG39" s="14">
        <f ca="1">Calculations[[#This Row],[Income Base]]-AQ39</f>
        <v>0.17391304345801473</v>
      </c>
      <c r="AH39" s="14">
        <f ca="1">Calculations[[#This Row],[Maximum Annual Withdrawal Amount upon Activation]]-AR39</f>
        <v>0.13043478260806296</v>
      </c>
      <c r="AI39" s="14">
        <f>Calculations[[#This Row],[Protected Income Payment]]-AS39</f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30" t="s">
        <v>22</v>
      </c>
      <c r="B40" s="6">
        <f>IFERROR(IF(FIND("Anniversary",Calculations[[#This Row],[Values as of]])&gt;0,B39+1,B39),B39)</f>
        <v>11</v>
      </c>
      <c r="C40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0" s="14">
        <f>Calculations[[#This Row],[Year]]+Calculations[[#This Row],[Day]]/365-1</f>
        <v>10</v>
      </c>
      <c r="E40" s="14" t="b">
        <f>Calculations[[#This Row],[Time From Valuation]]&gt;=Activation_Time</f>
        <v>1</v>
      </c>
      <c r="F40" s="15">
        <f>IF(ABS(Calculations[[#This Row],[Time From Valuation]]-Purchase_Pay_1_Time)&lt;0.001,Purchase_Pay_1,0)+IF(ABS(Calculations[[#This Row],[Time From Valuation]]-Purchase_Pay_2_Time)&lt;0.001,Purchase_Pay_2,0)</f>
        <v>0</v>
      </c>
      <c r="G40" s="29">
        <f t="shared" si="1"/>
        <v>100000</v>
      </c>
      <c r="H40" s="29">
        <f t="shared" si="0"/>
        <v>19059</v>
      </c>
      <c r="I40" s="15" t="b">
        <f>Calculations[[#This Row],[Contract Value]]&lt;=0.01</f>
        <v>0</v>
      </c>
      <c r="J40" s="2" t="b">
        <f>AND(Calculations[[#This Row],[Is Activation]],SUMIFS($H$12:$H40,$E$12:$E40,TRUE)&gt;0)</f>
        <v>1</v>
      </c>
      <c r="K40" s="2" t="b">
        <f>Calculations[[#This Row],[Day]]=0</f>
        <v>1</v>
      </c>
      <c r="L40" s="14">
        <f>IF(NOT(Calculations[[#This Row],[Is Activation]]),Calculations[[#This Row],[Withdrawal Taken]]/Calculations[[#This Row],[Contract Value]],0)</f>
        <v>0</v>
      </c>
      <c r="M40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0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0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0" s="1">
        <f>IF(Calculations[[#This Row],[Has a Withdrawal Occurred After Activation]],0,(1+INT(Calculations[[#This Row],[Time From Valuation]])*Minimum_Income_Base_Percentage))*InitialPurchasePayment</f>
        <v>0</v>
      </c>
      <c r="Q40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0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0" s="1">
        <f>IF(Calculations[[#This Row],[Has a Withdrawal Occurred After Activation]],0,PRODUCT($N$12:$N40))</f>
        <v>0</v>
      </c>
      <c r="T40" s="14">
        <f>(Calculations[[#This Row],[Starting Minimum Income Base]]+Calculations[[#This Row],[Purchase Payment 1]]+Calculations[[#This Row],[Purchase Payment 2]])*Calculations[[#This Row],[Accum Withdrawal Penalty]]</f>
        <v>0</v>
      </c>
      <c r="U40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0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0" s="5">
        <f ca="1">Calculations[[#This Row],[Pre-Activation Income Base]]+Calculations[[#This Row],[Post-Activation Income Base]]</f>
        <v>317652.17391304346</v>
      </c>
      <c r="X40" s="9">
        <f ca="1">IF(NOT(Calculations[[#This Row],[Has Lifetime Income Started]]),Calculations[[#This Row],[Income Base]]*MAW,0)</f>
        <v>19059.130434782608</v>
      </c>
      <c r="Y40" s="32">
        <f>IF(AND(Calculations[[#This Row],[Has Lifetime Income Started]],Calculations[[#This Row],[Is Anniversary]]),PIP*Calculations[[#This Row],[Income Base]],0)</f>
        <v>0</v>
      </c>
      <c r="AA40" s="26" t="s">
        <v>22</v>
      </c>
      <c r="AB40" s="14">
        <f>Calculations[[#This Row],[Purchase Payments Invested]]-AL40</f>
        <v>0</v>
      </c>
      <c r="AC40" s="14">
        <f>Calculations[[#This Row],[Contract Value]]-AM40</f>
        <v>0</v>
      </c>
      <c r="AD40" s="14">
        <f>Calculations[[#This Row],[Withdrawal Taken]]-AN40</f>
        <v>0</v>
      </c>
      <c r="AE40" s="14">
        <f ca="1">Calculations[[#This Row],[Step-up Value]]-AO40</f>
        <v>0</v>
      </c>
      <c r="AF40" s="14">
        <f>Calculations[[#This Row],[Minimum Income Base]]-AP40</f>
        <v>0</v>
      </c>
      <c r="AG40" s="14">
        <f ca="1">Calculations[[#This Row],[Income Base]]-AQ40</f>
        <v>0.17391304345801473</v>
      </c>
      <c r="AH40" s="14">
        <f ca="1">Calculations[[#This Row],[Maximum Annual Withdrawal Amount upon Activation]]-AR40</f>
        <v>0.13043478260806296</v>
      </c>
      <c r="AI40" s="14">
        <f>Calculations[[#This Row],[Protected Income Payment]]-AS40</f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30" t="s">
        <v>23</v>
      </c>
      <c r="B41" s="6">
        <f>IFERROR(IF(FIND("Anniversary",Calculations[[#This Row],[Values as of]])&gt;0,B40+1,B40),B40)</f>
        <v>12</v>
      </c>
      <c r="C41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1" s="14">
        <f>Calculations[[#This Row],[Year]]+Calculations[[#This Row],[Day]]/365-1</f>
        <v>11</v>
      </c>
      <c r="E41" s="14" t="b">
        <f>Calculations[[#This Row],[Time From Valuation]]&gt;=Activation_Time</f>
        <v>1</v>
      </c>
      <c r="F41" s="15">
        <f>IF(ABS(Calculations[[#This Row],[Time From Valuation]]-Purchase_Pay_1_Time)&lt;0.001,Purchase_Pay_1,0)+IF(ABS(Calculations[[#This Row],[Time From Valuation]]-Purchase_Pay_2_Time)&lt;0.001,Purchase_Pay_2,0)</f>
        <v>0</v>
      </c>
      <c r="G41" s="29">
        <f t="shared" si="1"/>
        <v>50000</v>
      </c>
      <c r="H41" s="29">
        <f t="shared" si="0"/>
        <v>19059</v>
      </c>
      <c r="I41" s="15" t="b">
        <f>Calculations[[#This Row],[Contract Value]]&lt;=0.01</f>
        <v>0</v>
      </c>
      <c r="J41" s="2" t="b">
        <f>AND(Calculations[[#This Row],[Is Activation]],SUMIFS($H$12:$H41,$E$12:$E41,TRUE)&gt;0)</f>
        <v>1</v>
      </c>
      <c r="K41" s="2" t="b">
        <f>Calculations[[#This Row],[Day]]=0</f>
        <v>1</v>
      </c>
      <c r="L41" s="14">
        <f>IF(NOT(Calculations[[#This Row],[Is Activation]]),Calculations[[#This Row],[Withdrawal Taken]]/Calculations[[#This Row],[Contract Value]],0)</f>
        <v>0</v>
      </c>
      <c r="M41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1" s="16">
        <f ca="1"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1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1" s="1">
        <f>IF(Calculations[[#This Row],[Has a Withdrawal Occurred After Activation]],0,(1+INT(Calculations[[#This Row],[Time From Valuation]])*Minimum_Income_Base_Percentage))*InitialPurchasePayment</f>
        <v>0</v>
      </c>
      <c r="Q41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1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1" s="1">
        <f>IF(Calculations[[#This Row],[Has a Withdrawal Occurred After Activation]],0,PRODUCT($N$12:$N41))</f>
        <v>0</v>
      </c>
      <c r="T41" s="14">
        <f>(Calculations[[#This Row],[Starting Minimum Income Base]]+Calculations[[#This Row],[Purchase Payment 1]]+Calculations[[#This Row],[Purchase Payment 2]])*Calculations[[#This Row],[Accum Withdrawal Penalty]]</f>
        <v>0</v>
      </c>
      <c r="U41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1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1" s="5">
        <f ca="1">Calculations[[#This Row],[Pre-Activation Income Base]]+Calculations[[#This Row],[Post-Activation Income Base]]</f>
        <v>317652.17391304346</v>
      </c>
      <c r="X41" s="9">
        <f ca="1">IF(NOT(Calculations[[#This Row],[Has Lifetime Income Started]]),Calculations[[#This Row],[Income Base]]*MAW,0)</f>
        <v>19059.130434782608</v>
      </c>
      <c r="Y41" s="32">
        <f>IF(AND(Calculations[[#This Row],[Has Lifetime Income Started]],Calculations[[#This Row],[Is Anniversary]]),PIP*Calculations[[#This Row],[Income Base]],0)</f>
        <v>0</v>
      </c>
      <c r="AA41" s="26" t="s">
        <v>23</v>
      </c>
      <c r="AB41" s="14">
        <f>Calculations[[#This Row],[Purchase Payments Invested]]-AL41</f>
        <v>0</v>
      </c>
      <c r="AC41" s="14">
        <f>Calculations[[#This Row],[Contract Value]]-AM41</f>
        <v>0</v>
      </c>
      <c r="AD41" s="14">
        <f>Calculations[[#This Row],[Withdrawal Taken]]-AN41</f>
        <v>0</v>
      </c>
      <c r="AE41" s="14">
        <f ca="1">Calculations[[#This Row],[Step-up Value]]-AO41</f>
        <v>0</v>
      </c>
      <c r="AF41" s="14">
        <f>Calculations[[#This Row],[Minimum Income Base]]-AP41</f>
        <v>0</v>
      </c>
      <c r="AG41" s="14">
        <f ca="1">Calculations[[#This Row],[Income Base]]-AQ41</f>
        <v>0.17391304345801473</v>
      </c>
      <c r="AH41" s="14">
        <f ca="1">Calculations[[#This Row],[Maximum Annual Withdrawal Amount upon Activation]]-AR41</f>
        <v>0.13043478260806296</v>
      </c>
      <c r="AI41" s="14">
        <f>Calculations[[#This Row],[Protected Income Payment]]-AS41</f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30" t="s">
        <v>24</v>
      </c>
      <c r="B42" s="6">
        <f>IFERROR(IF(FIND("Anniversary",Calculations[[#This Row],[Values as of]])&gt;0,B41+1,B41),B41)</f>
        <v>12</v>
      </c>
      <c r="C42" s="3">
        <f>VALUE(IFERROR(TRIM(MID(Calculations[[#This Row],[Values as of]],FIND("Day ",Calculations[[#This Row],[Values as of]])+4,LEN(Calculations[[#This Row],[Values as of]])-FIND("Day ",Calculations[[#This Row],[Values as of]])+4)),0))</f>
        <v>81</v>
      </c>
      <c r="D42" s="14">
        <f>Calculations[[#This Row],[Year]]+Calculations[[#This Row],[Day]]/365-1</f>
        <v>11.221917808219178</v>
      </c>
      <c r="E42" s="14" t="b">
        <f>Calculations[[#This Row],[Time From Valuation]]&gt;=Activation_Time</f>
        <v>1</v>
      </c>
      <c r="F42" s="15">
        <f>IF(ABS(Calculations[[#This Row],[Time From Valuation]]-Purchase_Pay_1_Time)&lt;0.001,Purchase_Pay_1,0)+IF(ABS(Calculations[[#This Row],[Time From Valuation]]-Purchase_Pay_2_Time)&lt;0.001,Purchase_Pay_2,0)</f>
        <v>0</v>
      </c>
      <c r="G42" s="29">
        <f t="shared" si="1"/>
        <v>0</v>
      </c>
      <c r="H42" s="29">
        <f t="shared" si="0"/>
        <v>19059</v>
      </c>
      <c r="I42" s="15" t="b">
        <f>Calculations[[#This Row],[Contract Value]]&lt;=0.01</f>
        <v>1</v>
      </c>
      <c r="J42" s="2" t="b">
        <f>AND(Calculations[[#This Row],[Is Activation]],SUMIFS($H$12:$H42,$E$12:$E42,TRUE)&gt;0)</f>
        <v>1</v>
      </c>
      <c r="K42" s="2" t="b">
        <f>Calculations[[#This Row],[Day]]=0</f>
        <v>0</v>
      </c>
      <c r="L42" s="14">
        <f>IF(NOT(Calculations[[#This Row],[Is Activation]]),Calculations[[#This Row],[Withdrawal Taken]]/Calculations[[#This Row],[Contract Value]],0)</f>
        <v>0</v>
      </c>
      <c r="M42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2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2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2" s="1">
        <f>IF(Calculations[[#This Row],[Has a Withdrawal Occurred After Activation]],0,(1+INT(Calculations[[#This Row],[Time From Valuation]])*Minimum_Income_Base_Percentage))*InitialPurchasePayment</f>
        <v>0</v>
      </c>
      <c r="Q42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2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2" s="1">
        <f>IF(Calculations[[#This Row],[Has a Withdrawal Occurred After Activation]],0,PRODUCT($N$12:$N42))</f>
        <v>0</v>
      </c>
      <c r="T42" s="14">
        <f>(Calculations[[#This Row],[Starting Minimum Income Base]]+Calculations[[#This Row],[Purchase Payment 1]]+Calculations[[#This Row],[Purchase Payment 2]])*Calculations[[#This Row],[Accum Withdrawal Penalty]]</f>
        <v>0</v>
      </c>
      <c r="U42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2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2" s="5">
        <f ca="1">Calculations[[#This Row],[Pre-Activation Income Base]]+Calculations[[#This Row],[Post-Activation Income Base]]</f>
        <v>317652.17391304346</v>
      </c>
      <c r="X42" s="9">
        <f>IF(NOT(Calculations[[#This Row],[Has Lifetime Income Started]]),Calculations[[#This Row],[Income Base]]*MAW,0)</f>
        <v>0</v>
      </c>
      <c r="Y42" s="32">
        <f>IF(AND(Calculations[[#This Row],[Has Lifetime Income Started]],Calculations[[#This Row],[Is Anniversary]]),PIP*Calculations[[#This Row],[Income Base]],0)</f>
        <v>0</v>
      </c>
      <c r="AA42" s="26" t="s">
        <v>24</v>
      </c>
      <c r="AB42" s="14">
        <f>Calculations[[#This Row],[Purchase Payments Invested]]-AL42</f>
        <v>0</v>
      </c>
      <c r="AC42" s="14">
        <f>Calculations[[#This Row],[Contract Value]]-AM42</f>
        <v>0</v>
      </c>
      <c r="AD42" s="14">
        <f>Calculations[[#This Row],[Withdrawal Taken]]-AN42</f>
        <v>0</v>
      </c>
      <c r="AE42" s="14">
        <f ca="1">Calculations[[#This Row],[Step-up Value]]-AO42</f>
        <v>0</v>
      </c>
      <c r="AF42" s="14">
        <f>Calculations[[#This Row],[Minimum Income Base]]-AP42</f>
        <v>0</v>
      </c>
      <c r="AG42" s="14">
        <f ca="1">Calculations[[#This Row],[Income Base]]-AQ42</f>
        <v>0.17391304345801473</v>
      </c>
      <c r="AH42" s="14">
        <f>Calculations[[#This Row],[Maximum Annual Withdrawal Amount upon Activation]]-AR42</f>
        <v>0</v>
      </c>
      <c r="AI42" s="14">
        <f>Calculations[[#This Row],[Protected Income Payment]]-AS42</f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30" t="s">
        <v>25</v>
      </c>
      <c r="B43" s="6">
        <f>IFERROR(IF(FIND("Anniversary",Calculations[[#This Row],[Values as of]])&gt;0,B42+1,B42),B42)</f>
        <v>13</v>
      </c>
      <c r="C43" s="3">
        <f>VALUE(IFERROR(TRIM(MID(Calculations[[#This Row],[Values as of]],FIND("Day ",Calculations[[#This Row],[Values as of]])+4,LEN(Calculations[[#This Row],[Values as of]])-FIND("Day ",Calculations[[#This Row],[Values as of]])+4)),0))</f>
        <v>0</v>
      </c>
      <c r="D43" s="14">
        <f>Calculations[[#This Row],[Year]]+Calculations[[#This Row],[Day]]/365-1</f>
        <v>12</v>
      </c>
      <c r="E43" s="14" t="b">
        <f>Calculations[[#This Row],[Time From Valuation]]&gt;=Activation_Time</f>
        <v>1</v>
      </c>
      <c r="F43" s="15">
        <f>IF(ABS(Calculations[[#This Row],[Time From Valuation]]-Purchase_Pay_1_Time)&lt;0.001,Purchase_Pay_1,0)+IF(ABS(Calculations[[#This Row],[Time From Valuation]]-Purchase_Pay_2_Time)&lt;0.001,Purchase_Pay_2,0)</f>
        <v>0</v>
      </c>
      <c r="G43" s="29">
        <f t="shared" si="1"/>
        <v>0</v>
      </c>
      <c r="H43" s="29">
        <f t="shared" si="0"/>
        <v>0</v>
      </c>
      <c r="I43" s="15" t="b">
        <f>Calculations[[#This Row],[Contract Value]]&lt;=0.01</f>
        <v>1</v>
      </c>
      <c r="J43" s="2" t="b">
        <f>AND(Calculations[[#This Row],[Is Activation]],SUMIFS($H$12:$H43,$E$12:$E43,TRUE)&gt;0)</f>
        <v>1</v>
      </c>
      <c r="K43" s="2" t="b">
        <f>Calculations[[#This Row],[Day]]=0</f>
        <v>1</v>
      </c>
      <c r="L43" s="14">
        <f>IF(NOT(Calculations[[#This Row],[Is Activation]]),Calculations[[#This Row],[Withdrawal Taken]]/Calculations[[#This Row],[Contract Value]],0)</f>
        <v>0</v>
      </c>
      <c r="M43" s="14">
        <f ca="1">_xlfn.LET(_xlpm.prevMawa,OFFSET(Calculations[[#This Row],[Maximum Annual Withdrawal Amount upon Activation]],-1,0), _xlpm.haircut,(Calculations[[#This Row],[Withdrawal Taken]]-_xlpm.prevMawa)/(Calculations[[#This Row],[Contract Value]]-_xlpm.prevMawa),IF(AND(Calculations[[#This Row],[Is Activation]],Calculations[[#This Row],[Withdrawal Taken]]&gt;_xlpm.prevMawa),_xlpm.haircut,0))</f>
        <v>0</v>
      </c>
      <c r="N43" s="16">
        <f>1-IF(AND(NOT(Calculations[[#This Row],[Has Lifetime Income Started]]),Calculations[[#This Row],[Withdrawal Taken]]&gt;0),Calculations[[#This Row],[Withdrawal Haircut Before Activation]]+Calculations[[#This Row],[Withdrawal Haircut After Activation]],0)</f>
        <v>1</v>
      </c>
      <c r="O43" s="1">
        <f ca="1">_xlfn.LET(_xlpm.prevStepUp,OFFSET(Calculations[[#This Row],[Step-up Value]],-1,0),_xlpm.prevIncomeBase,OFFSET(Calculations[[#This Row],[Income Base]],-1,0), IF(Calculations[[#This Row],[Contract Value]]-Calculations[[#This Row],[Purchase Payments Invested]]&gt;MAX(_xlpm.prevStepUp,_xlpm.prevIncomeBase),Calculations[[#This Row],[Contract Value]],0))</f>
        <v>0</v>
      </c>
      <c r="P43" s="1">
        <f>IF(Calculations[[#This Row],[Has a Withdrawal Occurred After Activation]],0,(1+INT(Calculations[[#This Row],[Time From Valuation]])*Minimum_Income_Base_Percentage))*InitialPurchasePayment</f>
        <v>0</v>
      </c>
      <c r="Q43" s="1">
        <f>IF(Calculations[[#This Row],[Has a Withdrawal Occurred After Activation]],0,(1+INT(Calculations[[#This Row],[Time From Valuation]])*Minimum_Income_Base_Percentage))*IF(Calculations[[#This Row],[Time From Valuation]]+0.001&gt;=Purchase_Pay_1_Time,Purchase_Pay_1,0)</f>
        <v>0</v>
      </c>
      <c r="R43" s="1">
        <f>IF(Calculations[[#This Row],[Has a Withdrawal Occurred After Activation]],0,(1+INT(Calculations[[#This Row],[Time From Valuation]]-1)*Minimum_Income_Base_Percentage))*IF(Calculations[[#This Row],[Time From Valuation]]+0.001&gt;Purchase_Pay_2_Time,Purchase_Pay_2,0)</f>
        <v>0</v>
      </c>
      <c r="S43" s="1">
        <f>IF(Calculations[[#This Row],[Has a Withdrawal Occurred After Activation]],0,PRODUCT($N$12:$N43))</f>
        <v>0</v>
      </c>
      <c r="T43" s="14">
        <f>(Calculations[[#This Row],[Starting Minimum Income Base]]+Calculations[[#This Row],[Purchase Payment 1]]+Calculations[[#This Row],[Purchase Payment 2]])*Calculations[[#This Row],[Accum Withdrawal Penalty]]</f>
        <v>0</v>
      </c>
      <c r="U43" s="37">
        <f ca="1">IF(Calculations[[#This Row],[Has a Withdrawal Occurred After Activation]],0,MAX(Calculations[[#This Row],[Purchase Payments Invested]]+OFFSET(Calculations[[#This Row],[Pre-Activation Income Base]],-1,0),Calculations[[#This Row],[Step-up Value]],Calculations[[#This Row],[Minimum Income Base]]))*Calculations[[#This Row],[Withdrawal Penalty]]</f>
        <v>0</v>
      </c>
      <c r="V43" s="37">
        <f ca="1">_xlfn.LET(_xlpm.prevIB,OFFSET(Calculations[[#This Row],[Income Base]],-1,0),
     _xlpm.maxStepupPreviousYear,_xlfn.MAXIFS(Calculations[Step-up Value],Calculations[Year],Calculations[[#This Row],[Year]]-1),
     IF(AND(Calculations[[#This Row],[Has a Withdrawal Occurred After Activation]],Calculations[[#This Row],[Is Anniversary]]),
          MAX(Calculations[[#This Row],[Contract Value]],_xlpm.prevIB,_xlpm.maxStepupPreviousYear),
          IF(Calculations[[#This Row],[Is Activation]],
                   _xlpm.prevIB,
                   OFFSET(Calculations[[#This Row],[Post-Activation Income Base]],-1,0)))*Calculations[[#This Row],[Withdrawal Penalty]])</f>
        <v>317652.17391304346</v>
      </c>
      <c r="W43" s="5">
        <f ca="1">Calculations[[#This Row],[Pre-Activation Income Base]]+Calculations[[#This Row],[Post-Activation Income Base]]</f>
        <v>317652.17391304346</v>
      </c>
      <c r="X43" s="9">
        <f>IF(NOT(Calculations[[#This Row],[Has Lifetime Income Started]]),Calculations[[#This Row],[Income Base]]*MAW,0)</f>
        <v>0</v>
      </c>
      <c r="Y43" s="32">
        <f ca="1">IF(AND(Calculations[[#This Row],[Has Lifetime Income Started]],Calculations[[#This Row],[Is Anniversary]]),PIP*Calculations[[#This Row],[Income Base]],0)</f>
        <v>12706.086956521738</v>
      </c>
      <c r="AA43" s="26" t="s">
        <v>25</v>
      </c>
      <c r="AB43" s="14">
        <f>Calculations[[#This Row],[Purchase Payments Invested]]-AL43</f>
        <v>0</v>
      </c>
      <c r="AC43" s="14">
        <f>Calculations[[#This Row],[Contract Value]]-AM43</f>
        <v>0</v>
      </c>
      <c r="AD43" s="14">
        <f>Calculations[[#This Row],[Withdrawal Taken]]-AN43</f>
        <v>0</v>
      </c>
      <c r="AE43" s="14">
        <f ca="1">Calculations[[#This Row],[Step-up Value]]-AO43</f>
        <v>0</v>
      </c>
      <c r="AF43" s="14">
        <f>Calculations[[#This Row],[Minimum Income Base]]-AP43</f>
        <v>0</v>
      </c>
      <c r="AG43" s="14">
        <f ca="1">Calculations[[#This Row],[Income Base]]-AQ43</f>
        <v>0.17391304345801473</v>
      </c>
      <c r="AH43" s="14">
        <f>Calculations[[#This Row],[Maximum Annual Withdrawal Amount upon Activation]]-AR43</f>
        <v>0</v>
      </c>
      <c r="AI43" s="14">
        <f ca="1">Calculations[[#This Row],[Protected Income Payment]]-AS43</f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A8:AD9"/>
    <mergeCell ref="A8:D9"/>
    <mergeCell ref="AK7:AN8"/>
  </mergeCells>
  <phoneticPr fontId="8" type="noConversion"/>
  <conditionalFormatting sqref="K12 K13:M43">
    <cfRule type="cellIs" dxfId="7" priority="3" operator="equal">
      <formula>TRUE</formula>
    </cfRule>
  </conditionalFormatting>
  <conditionalFormatting sqref="T55">
    <cfRule type="cellIs" dxfId="6" priority="2" operator="equal">
      <formula>TRUE</formula>
    </cfRule>
  </conditionalFormatting>
  <conditionalFormatting sqref="V5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8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2081" r:id="rId4"/>
      </mc:Fallback>
    </mc:AlternateContent>
    <mc:AlternateContent xmlns:mc="http://schemas.openxmlformats.org/markup-compatibility/2006">
      <mc:Choice Requires="x14">
        <oleObject progId="Word.Document.12" shapeId="2125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9</xdr:col>
                <xdr:colOff>371475</xdr:colOff>
                <xdr:row>404</xdr:row>
                <xdr:rowOff>142875</xdr:rowOff>
              </to>
            </anchor>
          </objectPr>
        </oleObject>
      </mc:Choice>
      <mc:Fallback>
        <oleObject progId="Word.Document.12" shapeId="2125" r:id="rId6"/>
      </mc:Fallback>
    </mc:AlternateContent>
  </oleObject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5B2B-3207-4045-B471-95ACE00D99DA}">
  <sheetPr>
    <tabColor theme="7" tint="0.39997558519241921"/>
  </sheetPr>
  <dimension ref="A1:AS138"/>
  <sheetViews>
    <sheetView topLeftCell="A2" zoomScaleNormal="100" workbookViewId="0">
      <pane xSplit="1" ySplit="10" topLeftCell="B12" activePane="bottomRight" state="frozen"/>
      <selection activeCell="A2" sqref="A2"/>
      <selection pane="topRight" activeCell="B2" sqref="B2"/>
      <selection pane="bottomLeft" activeCell="A12" sqref="A12"/>
      <selection pane="bottomRight" activeCell="B5" sqref="B5"/>
    </sheetView>
  </sheetViews>
  <sheetFormatPr defaultRowHeight="15" outlineLevelCol="1" x14ac:dyDescent="0.25"/>
  <cols>
    <col min="1" max="1" width="42.5703125" customWidth="1"/>
    <col min="2" max="2" width="11" customWidth="1" outlineLevel="1"/>
    <col min="3" max="3" width="19.140625" bestFit="1" customWidth="1" outlineLevel="1"/>
    <col min="4" max="4" width="13.140625" customWidth="1"/>
    <col min="5" max="5" width="14" customWidth="1"/>
    <col min="6" max="6" width="13.85546875" customWidth="1"/>
    <col min="7" max="7" width="16.42578125" bestFit="1" customWidth="1"/>
    <col min="8" max="8" width="11.140625" customWidth="1"/>
    <col min="9" max="9" width="14.7109375" customWidth="1"/>
    <col min="10" max="10" width="16" customWidth="1"/>
    <col min="11" max="11" width="11.7109375" customWidth="1"/>
    <col min="12" max="12" width="15.42578125" customWidth="1" outlineLevel="1"/>
    <col min="13" max="13" width="12.42578125" customWidth="1" outlineLevel="1"/>
    <col min="14" max="14" width="11.42578125" customWidth="1"/>
    <col min="15" max="15" width="15.7109375" customWidth="1"/>
    <col min="16" max="16" width="13.7109375" customWidth="1" outlineLevel="1"/>
    <col min="17" max="17" width="12.28515625" customWidth="1" outlineLevel="1"/>
    <col min="18" max="18" width="11.28515625" customWidth="1" outlineLevel="1"/>
    <col min="19" max="19" width="11.5703125" customWidth="1" outlineLevel="1"/>
    <col min="20" max="20" width="12.7109375" customWidth="1"/>
    <col min="21" max="21" width="15.7109375" customWidth="1" outlineLevel="1"/>
    <col min="22" max="22" width="16.85546875" customWidth="1" outlineLevel="1"/>
    <col min="23" max="23" width="14.7109375" customWidth="1"/>
    <col min="24" max="24" width="14.5703125" customWidth="1"/>
    <col min="25" max="25" width="14" customWidth="1"/>
    <col min="26" max="26" width="17.42578125" customWidth="1"/>
    <col min="27" max="27" width="21.140625" bestFit="1" customWidth="1"/>
    <col min="28" max="35" width="17.42578125" customWidth="1"/>
    <col min="36" max="36" width="12.7109375" customWidth="1"/>
    <col min="37" max="37" width="16.42578125" bestFit="1" customWidth="1"/>
    <col min="38" max="38" width="11" bestFit="1" customWidth="1"/>
    <col min="39" max="39" width="11.5703125" bestFit="1" customWidth="1"/>
    <col min="40" max="40" width="11.85546875" bestFit="1" customWidth="1"/>
    <col min="41" max="41" width="11.5703125" bestFit="1" customWidth="1"/>
    <col min="42" max="42" width="12.140625" bestFit="1" customWidth="1"/>
    <col min="43" max="43" width="12.5703125" bestFit="1" customWidth="1"/>
    <col min="44" max="44" width="13.28515625" bestFit="1" customWidth="1"/>
    <col min="45" max="45" width="10" bestFit="1" customWidth="1"/>
  </cols>
  <sheetData>
    <row r="1" spans="1:45" x14ac:dyDescent="0.25">
      <c r="A1" t="s">
        <v>30</v>
      </c>
      <c r="B1" t="s">
        <v>31</v>
      </c>
    </row>
    <row r="2" spans="1:45" x14ac:dyDescent="0.25">
      <c r="A2" t="s">
        <v>32</v>
      </c>
      <c r="B2" s="10">
        <v>100000</v>
      </c>
      <c r="C2" t="s">
        <v>55</v>
      </c>
      <c r="D2">
        <v>3.2</v>
      </c>
    </row>
    <row r="3" spans="1:45" x14ac:dyDescent="0.25">
      <c r="A3" t="s">
        <v>33</v>
      </c>
      <c r="B3">
        <v>65</v>
      </c>
      <c r="C3" t="s">
        <v>69</v>
      </c>
      <c r="D3" s="10">
        <v>60000</v>
      </c>
    </row>
    <row r="4" spans="1:45" x14ac:dyDescent="0.25">
      <c r="A4" t="s">
        <v>34</v>
      </c>
      <c r="B4">
        <v>0.06</v>
      </c>
      <c r="C4" t="s">
        <v>70</v>
      </c>
      <c r="D4">
        <v>0.54794520547945202</v>
      </c>
    </row>
    <row r="5" spans="1:45" x14ac:dyDescent="0.25">
      <c r="A5" t="s">
        <v>50</v>
      </c>
      <c r="B5">
        <v>0.04</v>
      </c>
      <c r="C5" t="s">
        <v>71</v>
      </c>
      <c r="D5" s="45">
        <v>90000</v>
      </c>
    </row>
    <row r="6" spans="1:45" x14ac:dyDescent="0.25">
      <c r="A6" t="s">
        <v>51</v>
      </c>
      <c r="B6">
        <v>0.05</v>
      </c>
      <c r="C6" t="s">
        <v>73</v>
      </c>
      <c r="D6">
        <v>1.493150684931507</v>
      </c>
    </row>
    <row r="7" spans="1:45" ht="15" customHeight="1" x14ac:dyDescent="0.25">
      <c r="AK7" s="162" t="s">
        <v>45</v>
      </c>
      <c r="AL7" s="162"/>
      <c r="AM7" s="163"/>
      <c r="AN7" s="163"/>
    </row>
    <row r="8" spans="1:45" ht="15" customHeight="1" x14ac:dyDescent="0.25">
      <c r="A8" s="162" t="s">
        <v>61</v>
      </c>
      <c r="B8" s="162"/>
      <c r="C8" s="163"/>
      <c r="D8" s="163"/>
      <c r="AA8" s="162" t="s">
        <v>48</v>
      </c>
      <c r="AB8" s="162"/>
      <c r="AC8" s="163"/>
      <c r="AD8" s="163"/>
      <c r="AK8" s="162"/>
      <c r="AL8" s="162"/>
      <c r="AM8" s="163"/>
      <c r="AN8" s="163"/>
    </row>
    <row r="9" spans="1:45" x14ac:dyDescent="0.25">
      <c r="A9" s="162"/>
      <c r="B9" s="162"/>
      <c r="C9" s="163"/>
      <c r="D9" s="163"/>
      <c r="AA9" s="162"/>
      <c r="AB9" s="162"/>
      <c r="AC9" s="163"/>
      <c r="AD9" s="163"/>
    </row>
    <row r="10" spans="1:45" ht="18.75" x14ac:dyDescent="0.3">
      <c r="A10" s="44">
        <f>SUM(AB12:AI43)</f>
        <v>3.0409559320160042</v>
      </c>
      <c r="O10" s="113"/>
      <c r="V10" s="113"/>
    </row>
    <row r="11" spans="1:45" ht="86.25" customHeight="1" x14ac:dyDescent="0.25">
      <c r="A11" s="136" t="s">
        <v>76</v>
      </c>
      <c r="B11" s="137" t="s">
        <v>46</v>
      </c>
      <c r="C11" s="137" t="s">
        <v>47</v>
      </c>
      <c r="D11" s="137" t="s">
        <v>54</v>
      </c>
      <c r="E11" s="137" t="s">
        <v>56</v>
      </c>
      <c r="F11" s="137" t="s">
        <v>77</v>
      </c>
      <c r="G11" s="137" t="s">
        <v>65</v>
      </c>
      <c r="H11" s="137" t="s">
        <v>10</v>
      </c>
      <c r="I11" s="137" t="s">
        <v>57</v>
      </c>
      <c r="J11" s="137" t="s">
        <v>62</v>
      </c>
      <c r="K11" s="137" t="s">
        <v>58</v>
      </c>
      <c r="L11" s="137" t="s">
        <v>63</v>
      </c>
      <c r="M11" s="137" t="s">
        <v>64</v>
      </c>
      <c r="N11" s="137" t="s">
        <v>49</v>
      </c>
      <c r="O11" s="137" t="s">
        <v>0</v>
      </c>
      <c r="P11" s="137" t="s">
        <v>67</v>
      </c>
      <c r="Q11" s="137" t="s">
        <v>68</v>
      </c>
      <c r="R11" s="137" t="s">
        <v>72</v>
      </c>
      <c r="S11" s="137" t="s">
        <v>74</v>
      </c>
      <c r="T11" s="137" t="s">
        <v>75</v>
      </c>
      <c r="U11" s="137" t="s">
        <v>59</v>
      </c>
      <c r="V11" s="137" t="s">
        <v>60</v>
      </c>
      <c r="W11" s="137" t="s">
        <v>66</v>
      </c>
      <c r="X11" s="137" t="s">
        <v>29</v>
      </c>
      <c r="Y11" s="138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139" t="s">
        <v>53</v>
      </c>
      <c r="B12" s="140">
        <v>1</v>
      </c>
      <c r="C12" s="141">
        <f t="shared" ref="C12:C43" si="0">VALUE(IFERROR(TRIM(MID($A12,FIND("Day ",$A12)+4,LEN($A12)-FIND("Day ",$A12)+4)),0))</f>
        <v>0</v>
      </c>
      <c r="D12" s="142">
        <f t="shared" ref="D12:D43" si="1">$B12+$C12/365-1</f>
        <v>0</v>
      </c>
      <c r="E12" s="142" t="b">
        <f t="shared" ref="E12:E43" si="2">$D12&gt;=Activation_Time</f>
        <v>0</v>
      </c>
      <c r="F12" s="142">
        <f>InitialPurchasePayment</f>
        <v>100000</v>
      </c>
      <c r="G12" s="142">
        <f>$F12</f>
        <v>100000</v>
      </c>
      <c r="H12" s="142">
        <f t="shared" ref="H12:H43" si="3">AN12</f>
        <v>0</v>
      </c>
      <c r="I12" s="142" t="b">
        <f t="shared" ref="I12:I43" si="4">$G12&lt;=0.01</f>
        <v>0</v>
      </c>
      <c r="J12" s="143" t="b">
        <f>AND($E12,SUMIFS($H$12:$H12,$E$12:$E12,TRUE)&gt;0)</f>
        <v>0</v>
      </c>
      <c r="K12" s="143" t="b">
        <f t="shared" ref="K12:K43" si="5">$C12=0</f>
        <v>1</v>
      </c>
      <c r="L12" s="129">
        <v>0</v>
      </c>
      <c r="M12" s="129">
        <v>0</v>
      </c>
      <c r="N12" s="129">
        <f t="shared" ref="N12:N43" si="6">1-IF(AND(NOT($I12),$H12&gt;0),$L12+$M12,0)</f>
        <v>1</v>
      </c>
      <c r="O12" s="128">
        <v>0</v>
      </c>
      <c r="P12" s="130">
        <f t="shared" ref="P12:P43" si="7">IF($J12,0,(1+INT($D12)*Minimum_Income_Base_Percentage))*InitialPurchasePayment</f>
        <v>100000</v>
      </c>
      <c r="Q12" s="130">
        <f t="shared" ref="Q12:Q43" si="8">IF($J12,0,(1+INT($D12)*Minimum_Income_Base_Percentage))*IF($D12+0.001&gt;=Purchase_Pay_1_Time,Purchase_Pay_1,0)</f>
        <v>0</v>
      </c>
      <c r="R12" s="130">
        <f t="shared" ref="R12:R43" si="9">IF($J12,0,(1+INT($D12-1)*Minimum_Income_Base_Percentage))*IF($D12+0.001&gt;Purchase_Pay_2_Time,Purchase_Pay_2,0)</f>
        <v>0</v>
      </c>
      <c r="S12" s="130">
        <f>IF($J12,0,PRODUCT($N$12:$N12))</f>
        <v>1</v>
      </c>
      <c r="T12" s="128">
        <f t="shared" ref="T12:T43" si="10">($P12+$Q12+$R12)*$S12</f>
        <v>100000</v>
      </c>
      <c r="U12" s="128">
        <f>G12</f>
        <v>100000</v>
      </c>
      <c r="V12" s="130">
        <v>0</v>
      </c>
      <c r="W12" s="130">
        <f>G12</f>
        <v>100000</v>
      </c>
      <c r="X12" s="131">
        <f t="shared" ref="X12:X43" si="11">IF(NOT($I12),$W12*MAW,0)</f>
        <v>6000</v>
      </c>
      <c r="Y12" s="132">
        <f t="shared" ref="Y12:Y43" si="12">IF(AND($I12,$K12),PIP*$W12,0)</f>
        <v>0</v>
      </c>
      <c r="Z12" s="1"/>
      <c r="AA12" s="23" t="s">
        <v>1</v>
      </c>
      <c r="AB12" s="14">
        <f t="shared" ref="AB12:AB43" si="13">$F12-AL12</f>
        <v>0</v>
      </c>
      <c r="AC12" s="14">
        <f t="shared" ref="AC12:AC43" si="14">$G12-AM12</f>
        <v>0</v>
      </c>
      <c r="AD12" s="14">
        <f t="shared" ref="AD12:AD43" si="15">$H12-AN12</f>
        <v>0</v>
      </c>
      <c r="AE12" s="14">
        <f t="shared" ref="AE12:AE43" si="16">$O12-AO12</f>
        <v>0</v>
      </c>
      <c r="AF12" s="14">
        <f t="shared" ref="AF12:AF43" si="17">$T12-AP12</f>
        <v>0</v>
      </c>
      <c r="AG12" s="14">
        <f t="shared" ref="AG12:AG43" si="18">$W12-AQ12</f>
        <v>0</v>
      </c>
      <c r="AH12" s="14">
        <f t="shared" ref="AH12:AH43" si="19">$X12-AR12</f>
        <v>0</v>
      </c>
      <c r="AI12" s="14">
        <f t="shared" ref="AI12:AI43" si="20">$Y12-AS12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144" t="s">
        <v>2</v>
      </c>
      <c r="B13" s="145">
        <f t="shared" ref="B13:B43" si="21">IFERROR(IF(FIND("Anniversary",$A13)&gt;0,B12+1,B12),B12)</f>
        <v>1</v>
      </c>
      <c r="C13" s="146">
        <f t="shared" si="0"/>
        <v>25</v>
      </c>
      <c r="D13" s="147">
        <f t="shared" si="1"/>
        <v>6.8493150684931559E-2</v>
      </c>
      <c r="E13" s="147" t="b">
        <f t="shared" si="2"/>
        <v>0</v>
      </c>
      <c r="F13" s="147">
        <f t="shared" ref="F13:F43" si="22">IF(ABS($D13-Purchase_Pay_1_Time)&lt;0.001,Purchase_Pay_1,0)+IF(ABS($D13-Purchase_Pay_2_Time)&lt;0.001,Purchase_Pay_2,0)</f>
        <v>0</v>
      </c>
      <c r="G13" s="147">
        <f t="shared" ref="G13:G43" si="23">AM13</f>
        <v>102000</v>
      </c>
      <c r="H13" s="147">
        <f t="shared" si="3"/>
        <v>0</v>
      </c>
      <c r="I13" s="147" t="b">
        <f t="shared" si="4"/>
        <v>0</v>
      </c>
      <c r="J13" s="148" t="b">
        <f>AND($E13,SUMIFS($H$12:$H13,$E$12:$E13,TRUE)&gt;0)</f>
        <v>0</v>
      </c>
      <c r="K13" s="148" t="b">
        <f t="shared" si="5"/>
        <v>0</v>
      </c>
      <c r="L13" s="114">
        <f t="shared" ref="L13:L43" si="24">IF(NOT($E13),$H13/$G13,0)</f>
        <v>0</v>
      </c>
      <c r="M13" s="114">
        <f>_xlfn.LET(_xlpm.prevMawa,$X12, _xlpm.haircut,($H13-_xlpm.prevMawa)/($G13-_xlpm.prevMawa),IF(AND($E13,$H13&gt;_xlpm.prevMawa),_xlpm.haircut,0))</f>
        <v>0</v>
      </c>
      <c r="N13" s="115">
        <f t="shared" si="6"/>
        <v>1</v>
      </c>
      <c r="O13" s="116">
        <f>_xlfn.LET(_xlpm.prevStepUp,$O12,_xlpm.prevIncomeBase,$W12, IF($G13-$F13&gt;MAX(_xlpm.prevStepUp,_xlpm.prevIncomeBase),$G13,0))</f>
        <v>102000</v>
      </c>
      <c r="P13" s="117">
        <f t="shared" si="7"/>
        <v>100000</v>
      </c>
      <c r="Q13" s="117">
        <f t="shared" si="8"/>
        <v>0</v>
      </c>
      <c r="R13" s="117">
        <f t="shared" si="9"/>
        <v>0</v>
      </c>
      <c r="S13" s="117">
        <f>IF($J13,0,PRODUCT($N$12:$N13))</f>
        <v>1</v>
      </c>
      <c r="T13" s="114">
        <f t="shared" si="10"/>
        <v>100000</v>
      </c>
      <c r="U13" s="116">
        <f>IF($J13,0,MAX($F13+$U12,$O13,$T13))*$N13</f>
        <v>102000</v>
      </c>
      <c r="V13" s="117">
        <f>_xlfn.LET(_xlpm.prevIB,$W12,
     _xlpm.maxStepupPreviousYear,_xlfn.MAXIFS($O$12:$O$43,$B$12:$B$43,$B13-1),
     IF(AND($J13,$K13),
          MAX($G13,_xlpm.prevIB,_xlpm.maxStepupPreviousYear),
          IF($E13,_xlpm.prevIB,$V12))*$N13)</f>
        <v>0</v>
      </c>
      <c r="W13" s="118">
        <f t="shared" ref="W13:W43" si="25">$U13+$V13</f>
        <v>102000</v>
      </c>
      <c r="X13" s="119">
        <f t="shared" si="11"/>
        <v>6120</v>
      </c>
      <c r="Y13" s="120">
        <f t="shared" si="12"/>
        <v>0</v>
      </c>
      <c r="AA13" s="26" t="s">
        <v>2</v>
      </c>
      <c r="AB13" s="14">
        <f t="shared" si="13"/>
        <v>0</v>
      </c>
      <c r="AC13" s="14">
        <f t="shared" si="14"/>
        <v>0</v>
      </c>
      <c r="AD13" s="14">
        <f t="shared" si="15"/>
        <v>0</v>
      </c>
      <c r="AE13" s="14">
        <f t="shared" si="16"/>
        <v>0</v>
      </c>
      <c r="AF13" s="14">
        <f t="shared" si="17"/>
        <v>0</v>
      </c>
      <c r="AG13" s="14">
        <f t="shared" si="18"/>
        <v>0</v>
      </c>
      <c r="AH13" s="14">
        <f t="shared" si="19"/>
        <v>0</v>
      </c>
      <c r="AI13" s="14">
        <f t="shared" si="20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139" t="s">
        <v>3</v>
      </c>
      <c r="B14" s="140">
        <f t="shared" si="21"/>
        <v>1</v>
      </c>
      <c r="C14" s="141">
        <f t="shared" si="0"/>
        <v>105</v>
      </c>
      <c r="D14" s="142">
        <f t="shared" si="1"/>
        <v>0.28767123287671237</v>
      </c>
      <c r="E14" s="142" t="b">
        <f t="shared" si="2"/>
        <v>0</v>
      </c>
      <c r="F14" s="142">
        <f t="shared" si="22"/>
        <v>0</v>
      </c>
      <c r="G14" s="142">
        <f t="shared" si="23"/>
        <v>105000</v>
      </c>
      <c r="H14" s="142">
        <f t="shared" si="3"/>
        <v>0</v>
      </c>
      <c r="I14" s="142" t="b">
        <f t="shared" si="4"/>
        <v>0</v>
      </c>
      <c r="J14" s="143" t="b">
        <f>AND($E14,SUMIFS($H$12:$H14,$E$12:$E14,TRUE)&gt;0)</f>
        <v>0</v>
      </c>
      <c r="K14" s="143" t="b">
        <f t="shared" si="5"/>
        <v>0</v>
      </c>
      <c r="L14" s="128">
        <f t="shared" si="24"/>
        <v>0</v>
      </c>
      <c r="M14" s="128">
        <f t="shared" ref="M14:M43" si="26">_xlfn.LET(_xlpm.prevMawa,$X13, _xlpm.haircut,($H14-_xlpm.prevMawa)/($G14-_xlpm.prevMawa),IF(AND($E14,$H14&gt;_xlpm.prevMawa),_xlpm.haircut,0))</f>
        <v>0</v>
      </c>
      <c r="N14" s="129">
        <f t="shared" si="6"/>
        <v>1</v>
      </c>
      <c r="O14" s="133">
        <f t="shared" ref="O14:O43" si="27">_xlfn.LET(_xlpm.prevStepUp,$O13,_xlpm.prevIncomeBase,$W13, IF($G14-$F14&gt;MAX(_xlpm.prevStepUp,_xlpm.prevIncomeBase),$G14,0))</f>
        <v>105000</v>
      </c>
      <c r="P14" s="134">
        <f t="shared" si="7"/>
        <v>100000</v>
      </c>
      <c r="Q14" s="134">
        <f t="shared" si="8"/>
        <v>0</v>
      </c>
      <c r="R14" s="134">
        <f t="shared" si="9"/>
        <v>0</v>
      </c>
      <c r="S14" s="134">
        <f>IF($J14,0,PRODUCT($N$12:$N14))</f>
        <v>1</v>
      </c>
      <c r="T14" s="128">
        <f t="shared" si="10"/>
        <v>100000</v>
      </c>
      <c r="U14" s="133">
        <f t="shared" ref="U14:U43" si="28">IF($J14,0,MAX($F14+$U13,$O14,$T14))*$N14</f>
        <v>105000</v>
      </c>
      <c r="V14" s="134">
        <f t="shared" ref="V14:V43" si="29">_xlfn.LET(_xlpm.prevIB,$W13,
     _xlpm.maxStepupPreviousYear,_xlfn.MAXIFS($O$12:$O$43,$B$12:$B$43,$B14-1),
     IF(AND($J14,$K14),
          MAX($G14,_xlpm.prevIB,_xlpm.maxStepupPreviousYear),
          IF($E14,_xlpm.prevIB,$V13))*$N14)</f>
        <v>0</v>
      </c>
      <c r="W14" s="135">
        <f t="shared" si="25"/>
        <v>105000</v>
      </c>
      <c r="X14" s="131">
        <f t="shared" si="11"/>
        <v>6300</v>
      </c>
      <c r="Y14" s="132">
        <f t="shared" si="12"/>
        <v>0</v>
      </c>
      <c r="AA14" s="26" t="s">
        <v>3</v>
      </c>
      <c r="AB14" s="14">
        <f t="shared" si="13"/>
        <v>0</v>
      </c>
      <c r="AC14" s="14">
        <f t="shared" si="14"/>
        <v>0</v>
      </c>
      <c r="AD14" s="14">
        <f t="shared" si="15"/>
        <v>0</v>
      </c>
      <c r="AE14" s="14">
        <f t="shared" si="16"/>
        <v>0</v>
      </c>
      <c r="AF14" s="14">
        <f t="shared" si="17"/>
        <v>0</v>
      </c>
      <c r="AG14" s="14">
        <f t="shared" si="18"/>
        <v>0</v>
      </c>
      <c r="AH14" s="14">
        <f t="shared" si="19"/>
        <v>0</v>
      </c>
      <c r="AI14" s="14">
        <f t="shared" si="20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144" t="s">
        <v>4</v>
      </c>
      <c r="B15" s="145">
        <f t="shared" si="21"/>
        <v>1</v>
      </c>
      <c r="C15" s="146">
        <f t="shared" si="0"/>
        <v>200</v>
      </c>
      <c r="D15" s="147">
        <f t="shared" si="1"/>
        <v>0.54794520547945202</v>
      </c>
      <c r="E15" s="147" t="b">
        <f t="shared" si="2"/>
        <v>0</v>
      </c>
      <c r="F15" s="147">
        <f t="shared" si="22"/>
        <v>60000</v>
      </c>
      <c r="G15" s="147">
        <f t="shared" si="23"/>
        <v>162000</v>
      </c>
      <c r="H15" s="147">
        <f t="shared" si="3"/>
        <v>0</v>
      </c>
      <c r="I15" s="147" t="b">
        <f t="shared" si="4"/>
        <v>0</v>
      </c>
      <c r="J15" s="148" t="b">
        <f>AND($E15,SUMIFS($H$12:$H15,$E$12:$E15,TRUE)&gt;0)</f>
        <v>0</v>
      </c>
      <c r="K15" s="148" t="b">
        <f t="shared" si="5"/>
        <v>0</v>
      </c>
      <c r="L15" s="114">
        <f t="shared" si="24"/>
        <v>0</v>
      </c>
      <c r="M15" s="114">
        <f t="shared" si="26"/>
        <v>0</v>
      </c>
      <c r="N15" s="115">
        <f t="shared" si="6"/>
        <v>1</v>
      </c>
      <c r="O15" s="116">
        <f t="shared" si="27"/>
        <v>0</v>
      </c>
      <c r="P15" s="117">
        <f t="shared" si="7"/>
        <v>100000</v>
      </c>
      <c r="Q15" s="117">
        <f t="shared" si="8"/>
        <v>60000</v>
      </c>
      <c r="R15" s="117">
        <f t="shared" si="9"/>
        <v>0</v>
      </c>
      <c r="S15" s="117">
        <f>IF($J15,0,PRODUCT($N$12:$N15))</f>
        <v>1</v>
      </c>
      <c r="T15" s="114">
        <f t="shared" si="10"/>
        <v>160000</v>
      </c>
      <c r="U15" s="116">
        <f t="shared" si="28"/>
        <v>165000</v>
      </c>
      <c r="V15" s="117">
        <f t="shared" si="29"/>
        <v>0</v>
      </c>
      <c r="W15" s="118">
        <f t="shared" si="25"/>
        <v>165000</v>
      </c>
      <c r="X15" s="119">
        <f t="shared" si="11"/>
        <v>9900</v>
      </c>
      <c r="Y15" s="120">
        <f t="shared" si="12"/>
        <v>0</v>
      </c>
      <c r="AA15" s="26" t="s">
        <v>4</v>
      </c>
      <c r="AB15" s="14">
        <f t="shared" si="13"/>
        <v>0</v>
      </c>
      <c r="AC15" s="14">
        <f t="shared" si="14"/>
        <v>0</v>
      </c>
      <c r="AD15" s="14">
        <f t="shared" si="15"/>
        <v>0</v>
      </c>
      <c r="AE15" s="14">
        <f t="shared" si="16"/>
        <v>0</v>
      </c>
      <c r="AF15" s="14">
        <f t="shared" si="17"/>
        <v>0</v>
      </c>
      <c r="AG15" s="14">
        <f t="shared" si="18"/>
        <v>0</v>
      </c>
      <c r="AH15" s="14">
        <f t="shared" si="19"/>
        <v>0</v>
      </c>
      <c r="AI15" s="14">
        <f t="shared" si="20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ht="24" customHeight="1" x14ac:dyDescent="0.25">
      <c r="A16" s="139" t="s">
        <v>5</v>
      </c>
      <c r="B16" s="140">
        <f t="shared" si="21"/>
        <v>1</v>
      </c>
      <c r="C16" s="141">
        <f t="shared" si="0"/>
        <v>300</v>
      </c>
      <c r="D16" s="142">
        <f t="shared" si="1"/>
        <v>0.82191780821917804</v>
      </c>
      <c r="E16" s="142" t="b">
        <f t="shared" si="2"/>
        <v>0</v>
      </c>
      <c r="F16" s="142">
        <f t="shared" si="22"/>
        <v>0</v>
      </c>
      <c r="G16" s="142">
        <f t="shared" si="23"/>
        <v>166000</v>
      </c>
      <c r="H16" s="142">
        <f t="shared" si="3"/>
        <v>0</v>
      </c>
      <c r="I16" s="142" t="b">
        <f t="shared" si="4"/>
        <v>0</v>
      </c>
      <c r="J16" s="143" t="b">
        <f>AND($E16,SUMIFS($H$12:$H16,$E$12:$E16,TRUE)&gt;0)</f>
        <v>0</v>
      </c>
      <c r="K16" s="143" t="b">
        <f t="shared" si="5"/>
        <v>0</v>
      </c>
      <c r="L16" s="128">
        <f t="shared" si="24"/>
        <v>0</v>
      </c>
      <c r="M16" s="128">
        <f t="shared" si="26"/>
        <v>0</v>
      </c>
      <c r="N16" s="129">
        <f t="shared" si="6"/>
        <v>1</v>
      </c>
      <c r="O16" s="133">
        <f t="shared" si="27"/>
        <v>166000</v>
      </c>
      <c r="P16" s="134">
        <f t="shared" si="7"/>
        <v>100000</v>
      </c>
      <c r="Q16" s="134">
        <f t="shared" si="8"/>
        <v>60000</v>
      </c>
      <c r="R16" s="134">
        <f t="shared" si="9"/>
        <v>0</v>
      </c>
      <c r="S16" s="134">
        <f>IF($J16,0,PRODUCT($N$12:$N16))</f>
        <v>1</v>
      </c>
      <c r="T16" s="128">
        <f t="shared" si="10"/>
        <v>160000</v>
      </c>
      <c r="U16" s="133">
        <f t="shared" si="28"/>
        <v>166000</v>
      </c>
      <c r="V16" s="134">
        <f t="shared" si="29"/>
        <v>0</v>
      </c>
      <c r="W16" s="135">
        <f t="shared" si="25"/>
        <v>166000</v>
      </c>
      <c r="X16" s="131">
        <f t="shared" si="11"/>
        <v>9960</v>
      </c>
      <c r="Y16" s="132">
        <f t="shared" si="12"/>
        <v>0</v>
      </c>
      <c r="AA16" s="26" t="s">
        <v>5</v>
      </c>
      <c r="AB16" s="14">
        <f t="shared" si="13"/>
        <v>0</v>
      </c>
      <c r="AC16" s="14">
        <f t="shared" si="14"/>
        <v>0</v>
      </c>
      <c r="AD16" s="14">
        <f t="shared" si="15"/>
        <v>0</v>
      </c>
      <c r="AE16" s="14">
        <f t="shared" si="16"/>
        <v>0</v>
      </c>
      <c r="AF16" s="14">
        <f t="shared" si="17"/>
        <v>0</v>
      </c>
      <c r="AG16" s="14">
        <f t="shared" si="18"/>
        <v>0</v>
      </c>
      <c r="AH16" s="14">
        <f t="shared" si="19"/>
        <v>0</v>
      </c>
      <c r="AI16" s="14">
        <f t="shared" si="20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144" t="s">
        <v>6</v>
      </c>
      <c r="B17" s="145">
        <f t="shared" si="21"/>
        <v>2</v>
      </c>
      <c r="C17" s="146">
        <f t="shared" si="0"/>
        <v>0</v>
      </c>
      <c r="D17" s="147">
        <f t="shared" si="1"/>
        <v>1</v>
      </c>
      <c r="E17" s="147" t="b">
        <f t="shared" si="2"/>
        <v>0</v>
      </c>
      <c r="F17" s="147">
        <f t="shared" si="22"/>
        <v>0</v>
      </c>
      <c r="G17" s="147">
        <f t="shared" si="23"/>
        <v>167000</v>
      </c>
      <c r="H17" s="147">
        <f t="shared" si="3"/>
        <v>0</v>
      </c>
      <c r="I17" s="147" t="b">
        <f t="shared" si="4"/>
        <v>0</v>
      </c>
      <c r="J17" s="148" t="b">
        <f>AND($E17,SUMIFS($H$12:$H17,$E$12:$E17,TRUE)&gt;0)</f>
        <v>0</v>
      </c>
      <c r="K17" s="148" t="b">
        <f t="shared" si="5"/>
        <v>1</v>
      </c>
      <c r="L17" s="114">
        <f t="shared" si="24"/>
        <v>0</v>
      </c>
      <c r="M17" s="114">
        <f t="shared" si="26"/>
        <v>0</v>
      </c>
      <c r="N17" s="115">
        <f t="shared" si="6"/>
        <v>1</v>
      </c>
      <c r="O17" s="116">
        <f t="shared" si="27"/>
        <v>167000</v>
      </c>
      <c r="P17" s="117">
        <f t="shared" si="7"/>
        <v>105000</v>
      </c>
      <c r="Q17" s="117">
        <f t="shared" si="8"/>
        <v>63000</v>
      </c>
      <c r="R17" s="117">
        <f t="shared" si="9"/>
        <v>0</v>
      </c>
      <c r="S17" s="117">
        <f>IF($J17,0,PRODUCT($N$12:$N17))</f>
        <v>1</v>
      </c>
      <c r="T17" s="114">
        <f t="shared" si="10"/>
        <v>168000</v>
      </c>
      <c r="U17" s="116">
        <f t="shared" si="28"/>
        <v>168000</v>
      </c>
      <c r="V17" s="117">
        <f t="shared" si="29"/>
        <v>0</v>
      </c>
      <c r="W17" s="118">
        <f t="shared" si="25"/>
        <v>168000</v>
      </c>
      <c r="X17" s="119">
        <f t="shared" si="11"/>
        <v>10080</v>
      </c>
      <c r="Y17" s="120">
        <f t="shared" si="12"/>
        <v>0</v>
      </c>
      <c r="AA17" s="26" t="s">
        <v>6</v>
      </c>
      <c r="AB17" s="14">
        <f t="shared" si="13"/>
        <v>0</v>
      </c>
      <c r="AC17" s="14">
        <f t="shared" si="14"/>
        <v>0</v>
      </c>
      <c r="AD17" s="14">
        <f t="shared" si="15"/>
        <v>0</v>
      </c>
      <c r="AE17" s="14">
        <f t="shared" si="16"/>
        <v>0</v>
      </c>
      <c r="AF17" s="14">
        <f t="shared" si="17"/>
        <v>0</v>
      </c>
      <c r="AG17" s="14">
        <f t="shared" si="18"/>
        <v>0</v>
      </c>
      <c r="AH17" s="14">
        <f t="shared" si="19"/>
        <v>0</v>
      </c>
      <c r="AI17" s="14">
        <f t="shared" si="20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139" t="s">
        <v>7</v>
      </c>
      <c r="B18" s="140">
        <f t="shared" si="21"/>
        <v>2</v>
      </c>
      <c r="C18" s="141">
        <f t="shared" si="0"/>
        <v>180</v>
      </c>
      <c r="D18" s="142">
        <f t="shared" si="1"/>
        <v>1.493150684931507</v>
      </c>
      <c r="E18" s="142" t="b">
        <f t="shared" si="2"/>
        <v>0</v>
      </c>
      <c r="F18" s="142">
        <f t="shared" si="22"/>
        <v>90000</v>
      </c>
      <c r="G18" s="142">
        <f t="shared" si="23"/>
        <v>250000</v>
      </c>
      <c r="H18" s="142">
        <f t="shared" si="3"/>
        <v>0</v>
      </c>
      <c r="I18" s="142" t="b">
        <f t="shared" si="4"/>
        <v>0</v>
      </c>
      <c r="J18" s="143" t="b">
        <f>AND($E18,SUMIFS($H$12:$H18,$E$12:$E18,TRUE)&gt;0)</f>
        <v>0</v>
      </c>
      <c r="K18" s="143" t="b">
        <f t="shared" si="5"/>
        <v>0</v>
      </c>
      <c r="L18" s="128">
        <f t="shared" si="24"/>
        <v>0</v>
      </c>
      <c r="M18" s="128">
        <f t="shared" si="26"/>
        <v>0</v>
      </c>
      <c r="N18" s="129">
        <f t="shared" si="6"/>
        <v>1</v>
      </c>
      <c r="O18" s="133">
        <f t="shared" si="27"/>
        <v>0</v>
      </c>
      <c r="P18" s="134">
        <f t="shared" si="7"/>
        <v>105000</v>
      </c>
      <c r="Q18" s="134">
        <f t="shared" si="8"/>
        <v>63000</v>
      </c>
      <c r="R18" s="134">
        <f t="shared" si="9"/>
        <v>90000</v>
      </c>
      <c r="S18" s="134">
        <f>IF($J18,0,PRODUCT($N$12:$N18))</f>
        <v>1</v>
      </c>
      <c r="T18" s="128">
        <f t="shared" si="10"/>
        <v>258000</v>
      </c>
      <c r="U18" s="133">
        <f t="shared" si="28"/>
        <v>258000</v>
      </c>
      <c r="V18" s="134">
        <f t="shared" si="29"/>
        <v>0</v>
      </c>
      <c r="W18" s="135">
        <f t="shared" si="25"/>
        <v>258000</v>
      </c>
      <c r="X18" s="131">
        <f t="shared" si="11"/>
        <v>15480</v>
      </c>
      <c r="Y18" s="132">
        <f t="shared" si="12"/>
        <v>0</v>
      </c>
      <c r="AA18" s="26" t="s">
        <v>7</v>
      </c>
      <c r="AB18" s="14">
        <f t="shared" si="13"/>
        <v>0</v>
      </c>
      <c r="AC18" s="14">
        <f t="shared" si="14"/>
        <v>0</v>
      </c>
      <c r="AD18" s="14">
        <f t="shared" si="15"/>
        <v>0</v>
      </c>
      <c r="AE18" s="14">
        <f t="shared" si="16"/>
        <v>0</v>
      </c>
      <c r="AF18" s="14">
        <f t="shared" si="17"/>
        <v>0</v>
      </c>
      <c r="AG18" s="14">
        <f t="shared" si="18"/>
        <v>0</v>
      </c>
      <c r="AH18" s="14">
        <f t="shared" si="19"/>
        <v>0</v>
      </c>
      <c r="AI18" s="14">
        <f t="shared" si="20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144" t="s">
        <v>8</v>
      </c>
      <c r="B19" s="145">
        <f t="shared" si="21"/>
        <v>2</v>
      </c>
      <c r="C19" s="146">
        <f t="shared" si="0"/>
        <v>250</v>
      </c>
      <c r="D19" s="147">
        <f t="shared" si="1"/>
        <v>1.6849315068493151</v>
      </c>
      <c r="E19" s="147" t="b">
        <f t="shared" si="2"/>
        <v>0</v>
      </c>
      <c r="F19" s="147">
        <f t="shared" si="22"/>
        <v>0</v>
      </c>
      <c r="G19" s="147">
        <f t="shared" si="23"/>
        <v>280000</v>
      </c>
      <c r="H19" s="147">
        <f t="shared" si="3"/>
        <v>0</v>
      </c>
      <c r="I19" s="147" t="b">
        <f t="shared" si="4"/>
        <v>0</v>
      </c>
      <c r="J19" s="148" t="b">
        <f>AND($E19,SUMIFS($H$12:$H19,$E$12:$E19,TRUE)&gt;0)</f>
        <v>0</v>
      </c>
      <c r="K19" s="148" t="b">
        <f t="shared" si="5"/>
        <v>0</v>
      </c>
      <c r="L19" s="114">
        <f t="shared" si="24"/>
        <v>0</v>
      </c>
      <c r="M19" s="114">
        <f t="shared" si="26"/>
        <v>0</v>
      </c>
      <c r="N19" s="115">
        <f t="shared" si="6"/>
        <v>1</v>
      </c>
      <c r="O19" s="116">
        <f t="shared" si="27"/>
        <v>280000</v>
      </c>
      <c r="P19" s="117">
        <f t="shared" si="7"/>
        <v>105000</v>
      </c>
      <c r="Q19" s="117">
        <f t="shared" si="8"/>
        <v>63000</v>
      </c>
      <c r="R19" s="117">
        <f t="shared" si="9"/>
        <v>90000</v>
      </c>
      <c r="S19" s="117">
        <f>IF($J19,0,PRODUCT($N$12:$N19))</f>
        <v>1</v>
      </c>
      <c r="T19" s="114">
        <f t="shared" si="10"/>
        <v>258000</v>
      </c>
      <c r="U19" s="116">
        <f t="shared" si="28"/>
        <v>280000</v>
      </c>
      <c r="V19" s="117">
        <f t="shared" si="29"/>
        <v>0</v>
      </c>
      <c r="W19" s="118">
        <f t="shared" si="25"/>
        <v>280000</v>
      </c>
      <c r="X19" s="119">
        <f t="shared" si="11"/>
        <v>16800</v>
      </c>
      <c r="Y19" s="120">
        <f t="shared" si="12"/>
        <v>0</v>
      </c>
      <c r="AA19" s="26" t="s">
        <v>8</v>
      </c>
      <c r="AB19" s="14">
        <f t="shared" si="13"/>
        <v>0</v>
      </c>
      <c r="AC19" s="14">
        <f t="shared" si="14"/>
        <v>0</v>
      </c>
      <c r="AD19" s="14">
        <f t="shared" si="15"/>
        <v>0</v>
      </c>
      <c r="AE19" s="14">
        <f t="shared" si="16"/>
        <v>0</v>
      </c>
      <c r="AF19" s="14">
        <f t="shared" si="17"/>
        <v>0</v>
      </c>
      <c r="AG19" s="14">
        <f t="shared" si="18"/>
        <v>0</v>
      </c>
      <c r="AH19" s="14">
        <f t="shared" si="19"/>
        <v>0</v>
      </c>
      <c r="AI19" s="14">
        <f t="shared" si="20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139" t="s">
        <v>9</v>
      </c>
      <c r="B20" s="140">
        <f t="shared" si="21"/>
        <v>3</v>
      </c>
      <c r="C20" s="141">
        <f t="shared" si="0"/>
        <v>0</v>
      </c>
      <c r="D20" s="142">
        <f t="shared" si="1"/>
        <v>2</v>
      </c>
      <c r="E20" s="142" t="b">
        <f t="shared" si="2"/>
        <v>0</v>
      </c>
      <c r="F20" s="142">
        <f t="shared" si="22"/>
        <v>0</v>
      </c>
      <c r="G20" s="142">
        <f t="shared" si="23"/>
        <v>279000</v>
      </c>
      <c r="H20" s="142">
        <f t="shared" si="3"/>
        <v>0</v>
      </c>
      <c r="I20" s="142" t="b">
        <f t="shared" si="4"/>
        <v>0</v>
      </c>
      <c r="J20" s="143" t="b">
        <f>AND($E20,SUMIFS($H$12:$H20,$E$12:$E20,TRUE)&gt;0)</f>
        <v>0</v>
      </c>
      <c r="K20" s="143" t="b">
        <f t="shared" si="5"/>
        <v>1</v>
      </c>
      <c r="L20" s="128">
        <f t="shared" si="24"/>
        <v>0</v>
      </c>
      <c r="M20" s="128">
        <f t="shared" si="26"/>
        <v>0</v>
      </c>
      <c r="N20" s="129">
        <f t="shared" si="6"/>
        <v>1</v>
      </c>
      <c r="O20" s="133">
        <f t="shared" si="27"/>
        <v>0</v>
      </c>
      <c r="P20" s="134">
        <f t="shared" si="7"/>
        <v>110000.00000000001</v>
      </c>
      <c r="Q20" s="134">
        <f t="shared" si="8"/>
        <v>66000</v>
      </c>
      <c r="R20" s="134">
        <f t="shared" si="9"/>
        <v>94500</v>
      </c>
      <c r="S20" s="134">
        <f>IF($J20,0,PRODUCT($N$12:$N20))</f>
        <v>1</v>
      </c>
      <c r="T20" s="128">
        <f t="shared" si="10"/>
        <v>270500</v>
      </c>
      <c r="U20" s="133">
        <f t="shared" si="28"/>
        <v>280000</v>
      </c>
      <c r="V20" s="134">
        <f t="shared" si="29"/>
        <v>0</v>
      </c>
      <c r="W20" s="135">
        <f t="shared" si="25"/>
        <v>280000</v>
      </c>
      <c r="X20" s="131">
        <f t="shared" si="11"/>
        <v>16800</v>
      </c>
      <c r="Y20" s="132">
        <f t="shared" si="12"/>
        <v>0</v>
      </c>
      <c r="AA20" s="26" t="s">
        <v>9</v>
      </c>
      <c r="AB20" s="14">
        <f t="shared" si="13"/>
        <v>0</v>
      </c>
      <c r="AC20" s="14">
        <f t="shared" si="14"/>
        <v>0</v>
      </c>
      <c r="AD20" s="14">
        <f t="shared" si="15"/>
        <v>0</v>
      </c>
      <c r="AE20" s="14">
        <f t="shared" si="16"/>
        <v>0</v>
      </c>
      <c r="AF20" s="14">
        <f t="shared" si="17"/>
        <v>0</v>
      </c>
      <c r="AG20" s="14">
        <f t="shared" si="18"/>
        <v>0</v>
      </c>
      <c r="AH20" s="14">
        <f t="shared" si="19"/>
        <v>0</v>
      </c>
      <c r="AI20" s="14">
        <f t="shared" si="20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144" t="s">
        <v>11</v>
      </c>
      <c r="B21" s="145">
        <f t="shared" si="21"/>
        <v>3</v>
      </c>
      <c r="C21" s="146">
        <f t="shared" si="0"/>
        <v>45</v>
      </c>
      <c r="D21" s="147">
        <f t="shared" si="1"/>
        <v>2.1232876712328768</v>
      </c>
      <c r="E21" s="147" t="b">
        <f t="shared" si="2"/>
        <v>0</v>
      </c>
      <c r="F21" s="147">
        <f t="shared" si="22"/>
        <v>0</v>
      </c>
      <c r="G21" s="147">
        <f t="shared" si="23"/>
        <v>290000</v>
      </c>
      <c r="H21" s="147">
        <f t="shared" si="3"/>
        <v>0</v>
      </c>
      <c r="I21" s="147" t="b">
        <f t="shared" si="4"/>
        <v>0</v>
      </c>
      <c r="J21" s="148" t="b">
        <f>AND($E21,SUMIFS($H$12:$H21,$E$12:$E21,TRUE)&gt;0)</f>
        <v>0</v>
      </c>
      <c r="K21" s="148" t="b">
        <f t="shared" si="5"/>
        <v>0</v>
      </c>
      <c r="L21" s="114">
        <f t="shared" si="24"/>
        <v>0</v>
      </c>
      <c r="M21" s="114">
        <f t="shared" si="26"/>
        <v>0</v>
      </c>
      <c r="N21" s="115">
        <f t="shared" si="6"/>
        <v>1</v>
      </c>
      <c r="O21" s="116">
        <f t="shared" si="27"/>
        <v>290000</v>
      </c>
      <c r="P21" s="117">
        <f t="shared" si="7"/>
        <v>110000.00000000001</v>
      </c>
      <c r="Q21" s="117">
        <f t="shared" si="8"/>
        <v>66000</v>
      </c>
      <c r="R21" s="117">
        <f t="shared" si="9"/>
        <v>94500</v>
      </c>
      <c r="S21" s="117">
        <f>IF($J21,0,PRODUCT($N$12:$N21))</f>
        <v>1</v>
      </c>
      <c r="T21" s="114">
        <f t="shared" si="10"/>
        <v>270500</v>
      </c>
      <c r="U21" s="116">
        <f t="shared" si="28"/>
        <v>290000</v>
      </c>
      <c r="V21" s="117">
        <f t="shared" si="29"/>
        <v>0</v>
      </c>
      <c r="W21" s="118">
        <f t="shared" si="25"/>
        <v>290000</v>
      </c>
      <c r="X21" s="119">
        <f t="shared" si="11"/>
        <v>17400</v>
      </c>
      <c r="Y21" s="120">
        <f t="shared" si="12"/>
        <v>0</v>
      </c>
      <c r="Z21" s="1"/>
      <c r="AA21" s="26" t="s">
        <v>11</v>
      </c>
      <c r="AB21" s="14">
        <f t="shared" si="13"/>
        <v>0</v>
      </c>
      <c r="AC21" s="14">
        <f t="shared" si="14"/>
        <v>0</v>
      </c>
      <c r="AD21" s="14">
        <f t="shared" si="15"/>
        <v>0</v>
      </c>
      <c r="AE21" s="14">
        <f t="shared" si="16"/>
        <v>0</v>
      </c>
      <c r="AF21" s="14">
        <f t="shared" si="17"/>
        <v>0</v>
      </c>
      <c r="AG21" s="14">
        <f t="shared" si="18"/>
        <v>0</v>
      </c>
      <c r="AH21" s="14">
        <f t="shared" si="19"/>
        <v>0</v>
      </c>
      <c r="AI21" s="14">
        <f t="shared" si="20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139" t="s">
        <v>12</v>
      </c>
      <c r="B22" s="140">
        <f t="shared" si="21"/>
        <v>3</v>
      </c>
      <c r="C22" s="141">
        <f t="shared" si="0"/>
        <v>155</v>
      </c>
      <c r="D22" s="142">
        <f t="shared" si="1"/>
        <v>2.4246575342465753</v>
      </c>
      <c r="E22" s="142" t="b">
        <f t="shared" si="2"/>
        <v>0</v>
      </c>
      <c r="F22" s="142">
        <f t="shared" si="22"/>
        <v>0</v>
      </c>
      <c r="G22" s="142">
        <f t="shared" si="23"/>
        <v>285000</v>
      </c>
      <c r="H22" s="142">
        <f t="shared" si="3"/>
        <v>5000</v>
      </c>
      <c r="I22" s="142" t="b">
        <f t="shared" si="4"/>
        <v>0</v>
      </c>
      <c r="J22" s="143" t="b">
        <f>AND($E22,SUMIFS($H$12:$H22,$E$12:$E22,TRUE)&gt;0)</f>
        <v>0</v>
      </c>
      <c r="K22" s="143" t="b">
        <f t="shared" si="5"/>
        <v>0</v>
      </c>
      <c r="L22" s="128">
        <f t="shared" si="24"/>
        <v>1.7543859649122806E-2</v>
      </c>
      <c r="M22" s="128">
        <f t="shared" si="26"/>
        <v>0</v>
      </c>
      <c r="N22" s="129">
        <f t="shared" si="6"/>
        <v>0.98245614035087714</v>
      </c>
      <c r="O22" s="133">
        <f t="shared" si="27"/>
        <v>0</v>
      </c>
      <c r="P22" s="134">
        <f t="shared" si="7"/>
        <v>110000.00000000001</v>
      </c>
      <c r="Q22" s="134">
        <f t="shared" si="8"/>
        <v>66000</v>
      </c>
      <c r="R22" s="134">
        <f t="shared" si="9"/>
        <v>94500</v>
      </c>
      <c r="S22" s="134">
        <f>IF($J22,0,PRODUCT($N$12:$N22))</f>
        <v>0.98245614035087714</v>
      </c>
      <c r="T22" s="128">
        <f t="shared" si="10"/>
        <v>265754.38596491225</v>
      </c>
      <c r="U22" s="133">
        <f t="shared" si="28"/>
        <v>284912.28070175438</v>
      </c>
      <c r="V22" s="134">
        <f t="shared" si="29"/>
        <v>0</v>
      </c>
      <c r="W22" s="135">
        <f t="shared" si="25"/>
        <v>284912.28070175438</v>
      </c>
      <c r="X22" s="131">
        <f t="shared" si="11"/>
        <v>17094.736842105263</v>
      </c>
      <c r="Y22" s="132">
        <f t="shared" si="12"/>
        <v>0</v>
      </c>
      <c r="Z22" s="1"/>
      <c r="AA22" s="26" t="s">
        <v>12</v>
      </c>
      <c r="AB22" s="14">
        <f t="shared" si="13"/>
        <v>0</v>
      </c>
      <c r="AC22" s="14">
        <f t="shared" si="14"/>
        <v>0</v>
      </c>
      <c r="AD22" s="14">
        <f t="shared" si="15"/>
        <v>0</v>
      </c>
      <c r="AE22" s="14">
        <f t="shared" si="16"/>
        <v>0</v>
      </c>
      <c r="AF22" s="14">
        <f t="shared" si="17"/>
        <v>0.3859649122459814</v>
      </c>
      <c r="AG22" s="14">
        <f t="shared" si="18"/>
        <v>0.28070175438188016</v>
      </c>
      <c r="AH22" s="14">
        <f t="shared" si="19"/>
        <v>-0.26315789473665063</v>
      </c>
      <c r="AI22" s="14">
        <f t="shared" si="20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144" t="s">
        <v>13</v>
      </c>
      <c r="B23" s="145">
        <f t="shared" si="21"/>
        <v>3</v>
      </c>
      <c r="C23" s="146">
        <f t="shared" si="0"/>
        <v>275</v>
      </c>
      <c r="D23" s="147">
        <f t="shared" si="1"/>
        <v>2.7534246575342465</v>
      </c>
      <c r="E23" s="147" t="b">
        <f t="shared" si="2"/>
        <v>0</v>
      </c>
      <c r="F23" s="147">
        <f t="shared" si="22"/>
        <v>0</v>
      </c>
      <c r="G23" s="147">
        <f t="shared" si="23"/>
        <v>300000</v>
      </c>
      <c r="H23" s="147">
        <f t="shared" si="3"/>
        <v>0</v>
      </c>
      <c r="I23" s="147" t="b">
        <f t="shared" si="4"/>
        <v>0</v>
      </c>
      <c r="J23" s="148" t="b">
        <f>AND($E23,SUMIFS($H$12:$H23,$E$12:$E23,TRUE)&gt;0)</f>
        <v>0</v>
      </c>
      <c r="K23" s="148" t="b">
        <f t="shared" si="5"/>
        <v>0</v>
      </c>
      <c r="L23" s="114">
        <f t="shared" si="24"/>
        <v>0</v>
      </c>
      <c r="M23" s="114">
        <f t="shared" si="26"/>
        <v>0</v>
      </c>
      <c r="N23" s="115">
        <f t="shared" si="6"/>
        <v>1</v>
      </c>
      <c r="O23" s="116">
        <f t="shared" si="27"/>
        <v>300000</v>
      </c>
      <c r="P23" s="117">
        <f t="shared" si="7"/>
        <v>110000.00000000001</v>
      </c>
      <c r="Q23" s="117">
        <f t="shared" si="8"/>
        <v>66000</v>
      </c>
      <c r="R23" s="117">
        <f t="shared" si="9"/>
        <v>94500</v>
      </c>
      <c r="S23" s="117">
        <f>IF($J23,0,PRODUCT($N$12:$N23))</f>
        <v>0.98245614035087714</v>
      </c>
      <c r="T23" s="114">
        <f t="shared" si="10"/>
        <v>265754.38596491225</v>
      </c>
      <c r="U23" s="116">
        <f t="shared" si="28"/>
        <v>300000</v>
      </c>
      <c r="V23" s="117">
        <f t="shared" si="29"/>
        <v>0</v>
      </c>
      <c r="W23" s="118">
        <f t="shared" si="25"/>
        <v>300000</v>
      </c>
      <c r="X23" s="119">
        <f t="shared" si="11"/>
        <v>18000</v>
      </c>
      <c r="Y23" s="120">
        <f t="shared" si="12"/>
        <v>0</v>
      </c>
      <c r="Z23" s="1"/>
      <c r="AA23" s="26" t="s">
        <v>13</v>
      </c>
      <c r="AB23" s="14">
        <f t="shared" si="13"/>
        <v>0</v>
      </c>
      <c r="AC23" s="14">
        <f t="shared" si="14"/>
        <v>0</v>
      </c>
      <c r="AD23" s="14">
        <f t="shared" si="15"/>
        <v>0</v>
      </c>
      <c r="AE23" s="14">
        <f t="shared" si="16"/>
        <v>0</v>
      </c>
      <c r="AF23" s="14">
        <f t="shared" si="17"/>
        <v>0.3859649122459814</v>
      </c>
      <c r="AG23" s="14">
        <f t="shared" si="18"/>
        <v>0</v>
      </c>
      <c r="AH23" s="14">
        <f t="shared" si="19"/>
        <v>0</v>
      </c>
      <c r="AI23" s="14">
        <f t="shared" si="20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139" t="s">
        <v>14</v>
      </c>
      <c r="B24" s="140">
        <f t="shared" si="21"/>
        <v>4</v>
      </c>
      <c r="C24" s="141">
        <f t="shared" si="0"/>
        <v>0</v>
      </c>
      <c r="D24" s="142">
        <f t="shared" si="1"/>
        <v>3</v>
      </c>
      <c r="E24" s="142" t="b">
        <f t="shared" si="2"/>
        <v>0</v>
      </c>
      <c r="F24" s="142">
        <f t="shared" si="22"/>
        <v>0</v>
      </c>
      <c r="G24" s="142">
        <f t="shared" si="23"/>
        <v>310000</v>
      </c>
      <c r="H24" s="142">
        <f t="shared" si="3"/>
        <v>0</v>
      </c>
      <c r="I24" s="142" t="b">
        <f t="shared" si="4"/>
        <v>0</v>
      </c>
      <c r="J24" s="143" t="b">
        <f>AND($E24,SUMIFS($H$12:$H24,$E$12:$E24,TRUE)&gt;0)</f>
        <v>0</v>
      </c>
      <c r="K24" s="143" t="b">
        <f t="shared" si="5"/>
        <v>1</v>
      </c>
      <c r="L24" s="128">
        <f t="shared" si="24"/>
        <v>0</v>
      </c>
      <c r="M24" s="128">
        <f t="shared" si="26"/>
        <v>0</v>
      </c>
      <c r="N24" s="129">
        <f t="shared" si="6"/>
        <v>1</v>
      </c>
      <c r="O24" s="133">
        <f t="shared" si="27"/>
        <v>310000</v>
      </c>
      <c r="P24" s="134">
        <f t="shared" si="7"/>
        <v>114999.99999999999</v>
      </c>
      <c r="Q24" s="134">
        <f t="shared" si="8"/>
        <v>69000</v>
      </c>
      <c r="R24" s="134">
        <f t="shared" si="9"/>
        <v>99000.000000000015</v>
      </c>
      <c r="S24" s="134">
        <f>IF($J24,0,PRODUCT($N$12:$N24))</f>
        <v>0.98245614035087714</v>
      </c>
      <c r="T24" s="128">
        <f t="shared" si="10"/>
        <v>278035.08771929826</v>
      </c>
      <c r="U24" s="133">
        <f t="shared" si="28"/>
        <v>310000</v>
      </c>
      <c r="V24" s="134">
        <f t="shared" si="29"/>
        <v>0</v>
      </c>
      <c r="W24" s="135">
        <f t="shared" si="25"/>
        <v>310000</v>
      </c>
      <c r="X24" s="131">
        <f t="shared" si="11"/>
        <v>18600</v>
      </c>
      <c r="Y24" s="132">
        <f t="shared" si="12"/>
        <v>0</v>
      </c>
      <c r="Z24" s="1"/>
      <c r="AA24" s="26" t="s">
        <v>14</v>
      </c>
      <c r="AB24" s="14">
        <f t="shared" si="13"/>
        <v>0</v>
      </c>
      <c r="AC24" s="14">
        <f t="shared" si="14"/>
        <v>0</v>
      </c>
      <c r="AD24" s="14">
        <f t="shared" si="15"/>
        <v>0</v>
      </c>
      <c r="AE24" s="14">
        <f t="shared" si="16"/>
        <v>0</v>
      </c>
      <c r="AF24" s="14">
        <f t="shared" si="17"/>
        <v>8.7719298258889467E-2</v>
      </c>
      <c r="AG24" s="14">
        <f t="shared" si="18"/>
        <v>0</v>
      </c>
      <c r="AH24" s="14">
        <f t="shared" si="19"/>
        <v>0</v>
      </c>
      <c r="AI24" s="14">
        <f t="shared" si="20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149" t="s">
        <v>35</v>
      </c>
      <c r="B25" s="145">
        <f t="shared" si="21"/>
        <v>4</v>
      </c>
      <c r="C25" s="146">
        <f t="shared" si="0"/>
        <v>65</v>
      </c>
      <c r="D25" s="147">
        <f t="shared" si="1"/>
        <v>3.1780821917808222</v>
      </c>
      <c r="E25" s="147" t="b">
        <f t="shared" si="2"/>
        <v>0</v>
      </c>
      <c r="F25" s="147">
        <f t="shared" si="22"/>
        <v>0</v>
      </c>
      <c r="G25" s="147">
        <f t="shared" si="23"/>
        <v>315000</v>
      </c>
      <c r="H25" s="147">
        <f t="shared" si="3"/>
        <v>0</v>
      </c>
      <c r="I25" s="147" t="b">
        <f t="shared" si="4"/>
        <v>0</v>
      </c>
      <c r="J25" s="148" t="b">
        <f>AND($E25,SUMIFS($H$12:$H25,$E$12:$E25,TRUE)&gt;0)</f>
        <v>0</v>
      </c>
      <c r="K25" s="148" t="b">
        <f t="shared" si="5"/>
        <v>0</v>
      </c>
      <c r="L25" s="114">
        <f t="shared" si="24"/>
        <v>0</v>
      </c>
      <c r="M25" s="114">
        <f t="shared" si="26"/>
        <v>0</v>
      </c>
      <c r="N25" s="115">
        <f t="shared" si="6"/>
        <v>1</v>
      </c>
      <c r="O25" s="116">
        <f t="shared" si="27"/>
        <v>315000</v>
      </c>
      <c r="P25" s="117">
        <f t="shared" si="7"/>
        <v>114999.99999999999</v>
      </c>
      <c r="Q25" s="117">
        <f t="shared" si="8"/>
        <v>69000</v>
      </c>
      <c r="R25" s="117">
        <f t="shared" si="9"/>
        <v>99000.000000000015</v>
      </c>
      <c r="S25" s="117">
        <f>IF($J25,0,PRODUCT($N$12:$N25))</f>
        <v>0.98245614035087714</v>
      </c>
      <c r="T25" s="114">
        <f t="shared" si="10"/>
        <v>278035.08771929826</v>
      </c>
      <c r="U25" s="116">
        <f t="shared" si="28"/>
        <v>315000</v>
      </c>
      <c r="V25" s="117">
        <f t="shared" si="29"/>
        <v>0</v>
      </c>
      <c r="W25" s="118">
        <f t="shared" si="25"/>
        <v>315000</v>
      </c>
      <c r="X25" s="119">
        <f t="shared" si="11"/>
        <v>18900</v>
      </c>
      <c r="Y25" s="120">
        <f t="shared" si="12"/>
        <v>0</v>
      </c>
      <c r="Z25" s="1"/>
      <c r="AA25" s="27" t="s">
        <v>35</v>
      </c>
      <c r="AB25" s="14">
        <f t="shared" si="13"/>
        <v>0</v>
      </c>
      <c r="AC25" s="14">
        <f t="shared" si="14"/>
        <v>0</v>
      </c>
      <c r="AD25" s="14">
        <f t="shared" si="15"/>
        <v>0</v>
      </c>
      <c r="AE25" s="14">
        <f t="shared" si="16"/>
        <v>0</v>
      </c>
      <c r="AF25" s="14">
        <f t="shared" si="17"/>
        <v>8.7719298258889467E-2</v>
      </c>
      <c r="AG25" s="14">
        <f t="shared" si="18"/>
        <v>0</v>
      </c>
      <c r="AH25" s="14">
        <f t="shared" si="19"/>
        <v>0</v>
      </c>
      <c r="AI25" s="14">
        <f t="shared" si="20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150" t="s">
        <v>36</v>
      </c>
      <c r="B26" s="140">
        <f t="shared" si="21"/>
        <v>4</v>
      </c>
      <c r="C26" s="141">
        <f t="shared" si="0"/>
        <v>92</v>
      </c>
      <c r="D26" s="142">
        <f t="shared" si="1"/>
        <v>3.2520547945205482</v>
      </c>
      <c r="E26" s="142" t="b">
        <f t="shared" si="2"/>
        <v>1</v>
      </c>
      <c r="F26" s="142">
        <f t="shared" si="22"/>
        <v>0</v>
      </c>
      <c r="G26" s="142">
        <f t="shared" si="23"/>
        <v>312000</v>
      </c>
      <c r="H26" s="142">
        <f t="shared" si="3"/>
        <v>10000</v>
      </c>
      <c r="I26" s="142" t="b">
        <f t="shared" si="4"/>
        <v>0</v>
      </c>
      <c r="J26" s="143" t="b">
        <f>AND($E26,SUMIFS($H$12:$H26,$E$12:$E26,TRUE)&gt;0)</f>
        <v>1</v>
      </c>
      <c r="K26" s="143" t="b">
        <f t="shared" si="5"/>
        <v>0</v>
      </c>
      <c r="L26" s="128">
        <f t="shared" si="24"/>
        <v>0</v>
      </c>
      <c r="M26" s="128">
        <f t="shared" si="26"/>
        <v>0</v>
      </c>
      <c r="N26" s="129">
        <f t="shared" si="6"/>
        <v>1</v>
      </c>
      <c r="O26" s="133">
        <f t="shared" si="27"/>
        <v>0</v>
      </c>
      <c r="P26" s="134">
        <f t="shared" si="7"/>
        <v>0</v>
      </c>
      <c r="Q26" s="134">
        <f t="shared" si="8"/>
        <v>0</v>
      </c>
      <c r="R26" s="134">
        <f t="shared" si="9"/>
        <v>0</v>
      </c>
      <c r="S26" s="134">
        <f>IF($J26,0,PRODUCT($N$12:$N26))</f>
        <v>0</v>
      </c>
      <c r="T26" s="128">
        <f t="shared" si="10"/>
        <v>0</v>
      </c>
      <c r="U26" s="133">
        <f t="shared" si="28"/>
        <v>0</v>
      </c>
      <c r="V26" s="134">
        <f t="shared" si="29"/>
        <v>315000</v>
      </c>
      <c r="W26" s="135">
        <f t="shared" si="25"/>
        <v>315000</v>
      </c>
      <c r="X26" s="131">
        <f t="shared" si="11"/>
        <v>18900</v>
      </c>
      <c r="Y26" s="132">
        <f t="shared" si="12"/>
        <v>0</v>
      </c>
      <c r="Z26" s="1"/>
      <c r="AA26" s="27" t="s">
        <v>36</v>
      </c>
      <c r="AB26" s="14">
        <f t="shared" si="13"/>
        <v>0</v>
      </c>
      <c r="AC26" s="14">
        <f t="shared" si="14"/>
        <v>0</v>
      </c>
      <c r="AD26" s="14">
        <f t="shared" si="15"/>
        <v>0</v>
      </c>
      <c r="AE26" s="14">
        <f t="shared" si="16"/>
        <v>0</v>
      </c>
      <c r="AF26" s="14">
        <f t="shared" si="17"/>
        <v>0</v>
      </c>
      <c r="AG26" s="14">
        <f t="shared" si="18"/>
        <v>0</v>
      </c>
      <c r="AH26" s="14">
        <f t="shared" si="19"/>
        <v>0</v>
      </c>
      <c r="AI26" s="14">
        <f t="shared" si="20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149" t="s">
        <v>37</v>
      </c>
      <c r="B27" s="145">
        <f t="shared" si="21"/>
        <v>4</v>
      </c>
      <c r="C27" s="146">
        <f t="shared" si="0"/>
        <v>350</v>
      </c>
      <c r="D27" s="147">
        <f t="shared" si="1"/>
        <v>3.9589041095890414</v>
      </c>
      <c r="E27" s="147" t="b">
        <f t="shared" si="2"/>
        <v>1</v>
      </c>
      <c r="F27" s="147">
        <f t="shared" si="22"/>
        <v>0</v>
      </c>
      <c r="G27" s="147">
        <f t="shared" si="23"/>
        <v>320000</v>
      </c>
      <c r="H27" s="147">
        <f t="shared" si="3"/>
        <v>0</v>
      </c>
      <c r="I27" s="147" t="b">
        <f t="shared" si="4"/>
        <v>0</v>
      </c>
      <c r="J27" s="148" t="b">
        <f>AND($E27,SUMIFS($H$12:$H27,$E$12:$E27,TRUE)&gt;0)</f>
        <v>1</v>
      </c>
      <c r="K27" s="148" t="b">
        <f t="shared" si="5"/>
        <v>0</v>
      </c>
      <c r="L27" s="114">
        <f t="shared" si="24"/>
        <v>0</v>
      </c>
      <c r="M27" s="114">
        <f t="shared" si="26"/>
        <v>0</v>
      </c>
      <c r="N27" s="115">
        <f t="shared" si="6"/>
        <v>1</v>
      </c>
      <c r="O27" s="116">
        <f t="shared" si="27"/>
        <v>320000</v>
      </c>
      <c r="P27" s="117">
        <f t="shared" si="7"/>
        <v>0</v>
      </c>
      <c r="Q27" s="117">
        <f t="shared" si="8"/>
        <v>0</v>
      </c>
      <c r="R27" s="117">
        <f t="shared" si="9"/>
        <v>0</v>
      </c>
      <c r="S27" s="117">
        <f>IF($J27,0,PRODUCT($N$12:$N27))</f>
        <v>0</v>
      </c>
      <c r="T27" s="114">
        <f t="shared" si="10"/>
        <v>0</v>
      </c>
      <c r="U27" s="116">
        <f t="shared" si="28"/>
        <v>0</v>
      </c>
      <c r="V27" s="117">
        <f t="shared" si="29"/>
        <v>315000</v>
      </c>
      <c r="W27" s="118">
        <f t="shared" si="25"/>
        <v>315000</v>
      </c>
      <c r="X27" s="119">
        <f t="shared" si="11"/>
        <v>18900</v>
      </c>
      <c r="Y27" s="120">
        <f t="shared" si="12"/>
        <v>0</v>
      </c>
      <c r="Z27" s="1"/>
      <c r="AA27" s="27" t="s">
        <v>37</v>
      </c>
      <c r="AB27" s="14">
        <f t="shared" si="13"/>
        <v>0</v>
      </c>
      <c r="AC27" s="14">
        <f t="shared" si="14"/>
        <v>0</v>
      </c>
      <c r="AD27" s="14">
        <f t="shared" si="15"/>
        <v>0</v>
      </c>
      <c r="AE27" s="14">
        <f t="shared" si="16"/>
        <v>0</v>
      </c>
      <c r="AF27" s="14">
        <f t="shared" si="17"/>
        <v>0</v>
      </c>
      <c r="AG27" s="14">
        <f t="shared" si="18"/>
        <v>0</v>
      </c>
      <c r="AH27" s="14">
        <f t="shared" si="19"/>
        <v>0</v>
      </c>
      <c r="AI27" s="14">
        <f t="shared" si="20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150" t="s">
        <v>38</v>
      </c>
      <c r="B28" s="140">
        <f t="shared" si="21"/>
        <v>5</v>
      </c>
      <c r="C28" s="141">
        <f t="shared" si="0"/>
        <v>0</v>
      </c>
      <c r="D28" s="142">
        <f t="shared" si="1"/>
        <v>4</v>
      </c>
      <c r="E28" s="142" t="b">
        <f t="shared" si="2"/>
        <v>1</v>
      </c>
      <c r="F28" s="142">
        <f t="shared" si="22"/>
        <v>0</v>
      </c>
      <c r="G28" s="142">
        <f t="shared" si="23"/>
        <v>311000</v>
      </c>
      <c r="H28" s="142">
        <f t="shared" si="3"/>
        <v>0</v>
      </c>
      <c r="I28" s="142" t="b">
        <f t="shared" si="4"/>
        <v>0</v>
      </c>
      <c r="J28" s="143" t="b">
        <f>AND($E28,SUMIFS($H$12:$H28,$E$12:$E28,TRUE)&gt;0)</f>
        <v>1</v>
      </c>
      <c r="K28" s="143" t="b">
        <f t="shared" si="5"/>
        <v>1</v>
      </c>
      <c r="L28" s="128">
        <f t="shared" si="24"/>
        <v>0</v>
      </c>
      <c r="M28" s="128">
        <f t="shared" si="26"/>
        <v>0</v>
      </c>
      <c r="N28" s="129">
        <f t="shared" si="6"/>
        <v>1</v>
      </c>
      <c r="O28" s="133">
        <f t="shared" si="27"/>
        <v>0</v>
      </c>
      <c r="P28" s="134">
        <f t="shared" si="7"/>
        <v>0</v>
      </c>
      <c r="Q28" s="134">
        <f t="shared" si="8"/>
        <v>0</v>
      </c>
      <c r="R28" s="134">
        <f t="shared" si="9"/>
        <v>0</v>
      </c>
      <c r="S28" s="134">
        <f>IF($J28,0,PRODUCT($N$12:$N28))</f>
        <v>0</v>
      </c>
      <c r="T28" s="128">
        <f t="shared" si="10"/>
        <v>0</v>
      </c>
      <c r="U28" s="133">
        <f t="shared" si="28"/>
        <v>0</v>
      </c>
      <c r="V28" s="134">
        <f t="shared" si="29"/>
        <v>320000</v>
      </c>
      <c r="W28" s="135">
        <f t="shared" si="25"/>
        <v>320000</v>
      </c>
      <c r="X28" s="131">
        <f t="shared" si="11"/>
        <v>19200</v>
      </c>
      <c r="Y28" s="132">
        <f t="shared" si="12"/>
        <v>0</v>
      </c>
      <c r="Z28" s="1"/>
      <c r="AA28" s="27" t="s">
        <v>38</v>
      </c>
      <c r="AB28" s="14">
        <f t="shared" si="13"/>
        <v>0</v>
      </c>
      <c r="AC28" s="14">
        <f t="shared" si="14"/>
        <v>0</v>
      </c>
      <c r="AD28" s="14">
        <f t="shared" si="15"/>
        <v>0</v>
      </c>
      <c r="AE28" s="14">
        <f t="shared" si="16"/>
        <v>0</v>
      </c>
      <c r="AF28" s="14">
        <f t="shared" si="17"/>
        <v>0</v>
      </c>
      <c r="AG28" s="14">
        <f t="shared" si="18"/>
        <v>0</v>
      </c>
      <c r="AH28" s="14">
        <f t="shared" si="19"/>
        <v>0</v>
      </c>
      <c r="AI28" s="14">
        <f t="shared" si="20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149" t="s">
        <v>39</v>
      </c>
      <c r="B29" s="145">
        <f t="shared" si="21"/>
        <v>5</v>
      </c>
      <c r="C29" s="146">
        <f t="shared" si="0"/>
        <v>75</v>
      </c>
      <c r="D29" s="147">
        <f t="shared" si="1"/>
        <v>4.2054794520547949</v>
      </c>
      <c r="E29" s="147" t="b">
        <f t="shared" si="2"/>
        <v>1</v>
      </c>
      <c r="F29" s="147">
        <f t="shared" si="22"/>
        <v>0</v>
      </c>
      <c r="G29" s="147">
        <f t="shared" si="23"/>
        <v>325000</v>
      </c>
      <c r="H29" s="147">
        <f t="shared" si="3"/>
        <v>0</v>
      </c>
      <c r="I29" s="147" t="b">
        <f t="shared" si="4"/>
        <v>0</v>
      </c>
      <c r="J29" s="148" t="b">
        <f>AND($E29,SUMIFS($H$12:$H29,$E$12:$E29,TRUE)&gt;0)</f>
        <v>1</v>
      </c>
      <c r="K29" s="148" t="b">
        <f t="shared" si="5"/>
        <v>0</v>
      </c>
      <c r="L29" s="114">
        <f t="shared" si="24"/>
        <v>0</v>
      </c>
      <c r="M29" s="114">
        <f t="shared" si="26"/>
        <v>0</v>
      </c>
      <c r="N29" s="115">
        <f t="shared" si="6"/>
        <v>1</v>
      </c>
      <c r="O29" s="116">
        <f t="shared" si="27"/>
        <v>325000</v>
      </c>
      <c r="P29" s="117">
        <f t="shared" si="7"/>
        <v>0</v>
      </c>
      <c r="Q29" s="117">
        <f t="shared" si="8"/>
        <v>0</v>
      </c>
      <c r="R29" s="117">
        <f t="shared" si="9"/>
        <v>0</v>
      </c>
      <c r="S29" s="117">
        <f>IF($J29,0,PRODUCT($N$12:$N29))</f>
        <v>0</v>
      </c>
      <c r="T29" s="114">
        <f t="shared" si="10"/>
        <v>0</v>
      </c>
      <c r="U29" s="116">
        <f t="shared" si="28"/>
        <v>0</v>
      </c>
      <c r="V29" s="117">
        <f t="shared" si="29"/>
        <v>320000</v>
      </c>
      <c r="W29" s="118">
        <f t="shared" si="25"/>
        <v>320000</v>
      </c>
      <c r="X29" s="119">
        <f t="shared" si="11"/>
        <v>19200</v>
      </c>
      <c r="Y29" s="120">
        <f t="shared" si="12"/>
        <v>0</v>
      </c>
      <c r="Z29" s="22"/>
      <c r="AA29" s="27" t="s">
        <v>39</v>
      </c>
      <c r="AB29" s="14">
        <f t="shared" si="13"/>
        <v>0</v>
      </c>
      <c r="AC29" s="14">
        <f t="shared" si="14"/>
        <v>0</v>
      </c>
      <c r="AD29" s="14">
        <f t="shared" si="15"/>
        <v>0</v>
      </c>
      <c r="AE29" s="14">
        <f t="shared" si="16"/>
        <v>0</v>
      </c>
      <c r="AF29" s="14">
        <f t="shared" si="17"/>
        <v>0</v>
      </c>
      <c r="AG29" s="14">
        <f t="shared" si="18"/>
        <v>0</v>
      </c>
      <c r="AH29" s="14">
        <f t="shared" si="19"/>
        <v>0</v>
      </c>
      <c r="AI29" s="14">
        <f t="shared" si="20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150" t="s">
        <v>40</v>
      </c>
      <c r="B30" s="140">
        <f t="shared" si="21"/>
        <v>5</v>
      </c>
      <c r="C30" s="141">
        <f t="shared" si="0"/>
        <v>80</v>
      </c>
      <c r="D30" s="142">
        <f t="shared" si="1"/>
        <v>4.2191780821917808</v>
      </c>
      <c r="E30" s="142" t="b">
        <f t="shared" si="2"/>
        <v>1</v>
      </c>
      <c r="F30" s="142">
        <f t="shared" si="22"/>
        <v>0</v>
      </c>
      <c r="G30" s="142">
        <f t="shared" si="23"/>
        <v>322000</v>
      </c>
      <c r="H30" s="142">
        <f t="shared" si="3"/>
        <v>19200</v>
      </c>
      <c r="I30" s="142" t="b">
        <f t="shared" si="4"/>
        <v>0</v>
      </c>
      <c r="J30" s="143" t="b">
        <f>AND($E30,SUMIFS($H$12:$H30,$E$12:$E30,TRUE)&gt;0)</f>
        <v>1</v>
      </c>
      <c r="K30" s="143" t="b">
        <f t="shared" si="5"/>
        <v>0</v>
      </c>
      <c r="L30" s="128">
        <f t="shared" si="24"/>
        <v>0</v>
      </c>
      <c r="M30" s="128">
        <f t="shared" si="26"/>
        <v>0</v>
      </c>
      <c r="N30" s="129">
        <f t="shared" si="6"/>
        <v>1</v>
      </c>
      <c r="O30" s="133">
        <f t="shared" si="27"/>
        <v>0</v>
      </c>
      <c r="P30" s="134">
        <f t="shared" si="7"/>
        <v>0</v>
      </c>
      <c r="Q30" s="134">
        <f t="shared" si="8"/>
        <v>0</v>
      </c>
      <c r="R30" s="134">
        <f t="shared" si="9"/>
        <v>0</v>
      </c>
      <c r="S30" s="134">
        <f>IF($J30,0,PRODUCT($N$12:$N30))</f>
        <v>0</v>
      </c>
      <c r="T30" s="128">
        <f t="shared" si="10"/>
        <v>0</v>
      </c>
      <c r="U30" s="133">
        <f t="shared" si="28"/>
        <v>0</v>
      </c>
      <c r="V30" s="134">
        <f t="shared" si="29"/>
        <v>320000</v>
      </c>
      <c r="W30" s="135">
        <f t="shared" si="25"/>
        <v>320000</v>
      </c>
      <c r="X30" s="131">
        <f t="shared" si="11"/>
        <v>19200</v>
      </c>
      <c r="Y30" s="132">
        <f t="shared" si="12"/>
        <v>0</v>
      </c>
      <c r="AA30" s="27" t="s">
        <v>40</v>
      </c>
      <c r="AB30" s="14">
        <f t="shared" si="13"/>
        <v>0</v>
      </c>
      <c r="AC30" s="14">
        <f t="shared" si="14"/>
        <v>0</v>
      </c>
      <c r="AD30" s="14">
        <f t="shared" si="15"/>
        <v>0</v>
      </c>
      <c r="AE30" s="14">
        <f t="shared" si="16"/>
        <v>0</v>
      </c>
      <c r="AF30" s="14">
        <f t="shared" si="17"/>
        <v>0</v>
      </c>
      <c r="AG30" s="14">
        <f t="shared" si="18"/>
        <v>0</v>
      </c>
      <c r="AH30" s="14">
        <f t="shared" si="19"/>
        <v>0</v>
      </c>
      <c r="AI30" s="14">
        <f t="shared" si="20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ht="15" customHeight="1" x14ac:dyDescent="0.25">
      <c r="A31" s="149" t="s">
        <v>41</v>
      </c>
      <c r="B31" s="145">
        <f t="shared" si="21"/>
        <v>6</v>
      </c>
      <c r="C31" s="146">
        <f t="shared" si="0"/>
        <v>0</v>
      </c>
      <c r="D31" s="147">
        <f t="shared" si="1"/>
        <v>5</v>
      </c>
      <c r="E31" s="147" t="b">
        <f t="shared" si="2"/>
        <v>1</v>
      </c>
      <c r="F31" s="147">
        <f t="shared" si="22"/>
        <v>0</v>
      </c>
      <c r="G31" s="147">
        <f t="shared" si="23"/>
        <v>317000</v>
      </c>
      <c r="H31" s="147">
        <f t="shared" si="3"/>
        <v>0</v>
      </c>
      <c r="I31" s="147" t="b">
        <f t="shared" si="4"/>
        <v>0</v>
      </c>
      <c r="J31" s="148" t="b">
        <f>AND($E31,SUMIFS($H$12:$H31,$E$12:$E31,TRUE)&gt;0)</f>
        <v>1</v>
      </c>
      <c r="K31" s="148" t="b">
        <f t="shared" si="5"/>
        <v>1</v>
      </c>
      <c r="L31" s="114">
        <f t="shared" si="24"/>
        <v>0</v>
      </c>
      <c r="M31" s="114">
        <f t="shared" si="26"/>
        <v>0</v>
      </c>
      <c r="N31" s="115">
        <f t="shared" si="6"/>
        <v>1</v>
      </c>
      <c r="O31" s="116">
        <f t="shared" si="27"/>
        <v>0</v>
      </c>
      <c r="P31" s="117">
        <f t="shared" si="7"/>
        <v>0</v>
      </c>
      <c r="Q31" s="117">
        <f t="shared" si="8"/>
        <v>0</v>
      </c>
      <c r="R31" s="117">
        <f t="shared" si="9"/>
        <v>0</v>
      </c>
      <c r="S31" s="117">
        <f>IF($J31,0,PRODUCT($N$12:$N31))</f>
        <v>0</v>
      </c>
      <c r="T31" s="114">
        <f t="shared" si="10"/>
        <v>0</v>
      </c>
      <c r="U31" s="116">
        <f t="shared" si="28"/>
        <v>0</v>
      </c>
      <c r="V31" s="117">
        <f t="shared" si="29"/>
        <v>325000</v>
      </c>
      <c r="W31" s="118">
        <f t="shared" si="25"/>
        <v>325000</v>
      </c>
      <c r="X31" s="119">
        <f t="shared" si="11"/>
        <v>19500</v>
      </c>
      <c r="Y31" s="120">
        <f t="shared" si="12"/>
        <v>0</v>
      </c>
      <c r="AA31" s="27" t="s">
        <v>41</v>
      </c>
      <c r="AB31" s="14">
        <f t="shared" si="13"/>
        <v>0</v>
      </c>
      <c r="AC31" s="14">
        <f t="shared" si="14"/>
        <v>0</v>
      </c>
      <c r="AD31" s="14">
        <f t="shared" si="15"/>
        <v>0</v>
      </c>
      <c r="AE31" s="14">
        <f t="shared" si="16"/>
        <v>0</v>
      </c>
      <c r="AF31" s="14">
        <f t="shared" si="17"/>
        <v>0</v>
      </c>
      <c r="AG31" s="14">
        <f t="shared" si="18"/>
        <v>0</v>
      </c>
      <c r="AH31" s="14">
        <f t="shared" si="19"/>
        <v>0</v>
      </c>
      <c r="AI31" s="14">
        <f t="shared" si="20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150" t="s">
        <v>42</v>
      </c>
      <c r="B32" s="140">
        <f t="shared" si="21"/>
        <v>6</v>
      </c>
      <c r="C32" s="141">
        <f t="shared" si="0"/>
        <v>155</v>
      </c>
      <c r="D32" s="142">
        <f t="shared" si="1"/>
        <v>5.4246575342465757</v>
      </c>
      <c r="E32" s="142" t="b">
        <f t="shared" si="2"/>
        <v>1</v>
      </c>
      <c r="F32" s="142">
        <f t="shared" si="22"/>
        <v>0</v>
      </c>
      <c r="G32" s="142">
        <f t="shared" si="23"/>
        <v>330000</v>
      </c>
      <c r="H32" s="142">
        <f t="shared" si="3"/>
        <v>0</v>
      </c>
      <c r="I32" s="142" t="b">
        <f t="shared" si="4"/>
        <v>0</v>
      </c>
      <c r="J32" s="143" t="b">
        <f>AND($E32,SUMIFS($H$12:$H32,$E$12:$E32,TRUE)&gt;0)</f>
        <v>1</v>
      </c>
      <c r="K32" s="143" t="b">
        <f t="shared" si="5"/>
        <v>0</v>
      </c>
      <c r="L32" s="128">
        <f t="shared" si="24"/>
        <v>0</v>
      </c>
      <c r="M32" s="128">
        <f t="shared" si="26"/>
        <v>0</v>
      </c>
      <c r="N32" s="129">
        <f t="shared" si="6"/>
        <v>1</v>
      </c>
      <c r="O32" s="133">
        <f t="shared" si="27"/>
        <v>330000</v>
      </c>
      <c r="P32" s="134">
        <f t="shared" si="7"/>
        <v>0</v>
      </c>
      <c r="Q32" s="134">
        <f t="shared" si="8"/>
        <v>0</v>
      </c>
      <c r="R32" s="134">
        <f t="shared" si="9"/>
        <v>0</v>
      </c>
      <c r="S32" s="134">
        <f>IF($J32,0,PRODUCT($N$12:$N32))</f>
        <v>0</v>
      </c>
      <c r="T32" s="128">
        <f t="shared" si="10"/>
        <v>0</v>
      </c>
      <c r="U32" s="133">
        <f t="shared" si="28"/>
        <v>0</v>
      </c>
      <c r="V32" s="134">
        <f t="shared" si="29"/>
        <v>325000</v>
      </c>
      <c r="W32" s="135">
        <f t="shared" si="25"/>
        <v>325000</v>
      </c>
      <c r="X32" s="131">
        <f t="shared" si="11"/>
        <v>19500</v>
      </c>
      <c r="Y32" s="132">
        <f t="shared" si="12"/>
        <v>0</v>
      </c>
      <c r="AA32" s="27" t="s">
        <v>42</v>
      </c>
      <c r="AB32" s="14">
        <f t="shared" si="13"/>
        <v>0</v>
      </c>
      <c r="AC32" s="14">
        <f t="shared" si="14"/>
        <v>0</v>
      </c>
      <c r="AD32" s="14">
        <f t="shared" si="15"/>
        <v>0</v>
      </c>
      <c r="AE32" s="14">
        <f t="shared" si="16"/>
        <v>0</v>
      </c>
      <c r="AF32" s="14">
        <f t="shared" si="17"/>
        <v>0</v>
      </c>
      <c r="AG32" s="14">
        <f t="shared" si="18"/>
        <v>0</v>
      </c>
      <c r="AH32" s="14">
        <f t="shared" si="19"/>
        <v>0</v>
      </c>
      <c r="AI32" s="14">
        <f t="shared" si="20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149" t="s">
        <v>15</v>
      </c>
      <c r="B33" s="145">
        <f t="shared" si="21"/>
        <v>7</v>
      </c>
      <c r="C33" s="146">
        <f t="shared" si="0"/>
        <v>0</v>
      </c>
      <c r="D33" s="147">
        <f t="shared" si="1"/>
        <v>6</v>
      </c>
      <c r="E33" s="147" t="b">
        <f t="shared" si="2"/>
        <v>1</v>
      </c>
      <c r="F33" s="147">
        <f t="shared" si="22"/>
        <v>0</v>
      </c>
      <c r="G33" s="147">
        <f t="shared" si="23"/>
        <v>329000</v>
      </c>
      <c r="H33" s="147">
        <f t="shared" si="3"/>
        <v>0</v>
      </c>
      <c r="I33" s="147" t="b">
        <f t="shared" si="4"/>
        <v>0</v>
      </c>
      <c r="J33" s="148" t="b">
        <f>AND($E33,SUMIFS($H$12:$H33,$E$12:$E33,TRUE)&gt;0)</f>
        <v>1</v>
      </c>
      <c r="K33" s="148" t="b">
        <f t="shared" si="5"/>
        <v>1</v>
      </c>
      <c r="L33" s="114">
        <f t="shared" si="24"/>
        <v>0</v>
      </c>
      <c r="M33" s="114">
        <f t="shared" si="26"/>
        <v>0</v>
      </c>
      <c r="N33" s="115">
        <f t="shared" si="6"/>
        <v>1</v>
      </c>
      <c r="O33" s="116">
        <f t="shared" si="27"/>
        <v>0</v>
      </c>
      <c r="P33" s="117">
        <f t="shared" si="7"/>
        <v>0</v>
      </c>
      <c r="Q33" s="117">
        <f t="shared" si="8"/>
        <v>0</v>
      </c>
      <c r="R33" s="117">
        <f t="shared" si="9"/>
        <v>0</v>
      </c>
      <c r="S33" s="117">
        <f>IF($J33,0,PRODUCT($N$12:$N33))</f>
        <v>0</v>
      </c>
      <c r="T33" s="114">
        <f t="shared" si="10"/>
        <v>0</v>
      </c>
      <c r="U33" s="116">
        <f t="shared" si="28"/>
        <v>0</v>
      </c>
      <c r="V33" s="117">
        <f t="shared" si="29"/>
        <v>330000</v>
      </c>
      <c r="W33" s="118">
        <f t="shared" si="25"/>
        <v>330000</v>
      </c>
      <c r="X33" s="119">
        <f t="shared" si="11"/>
        <v>19800</v>
      </c>
      <c r="Y33" s="120">
        <f t="shared" si="12"/>
        <v>0</v>
      </c>
      <c r="AA33" s="27" t="s">
        <v>15</v>
      </c>
      <c r="AB33" s="14">
        <f t="shared" si="13"/>
        <v>0</v>
      </c>
      <c r="AC33" s="14">
        <f t="shared" si="14"/>
        <v>0</v>
      </c>
      <c r="AD33" s="14">
        <f t="shared" si="15"/>
        <v>0</v>
      </c>
      <c r="AE33" s="14">
        <f t="shared" si="16"/>
        <v>0</v>
      </c>
      <c r="AF33" s="14">
        <f t="shared" si="17"/>
        <v>0</v>
      </c>
      <c r="AG33" s="14">
        <f t="shared" si="18"/>
        <v>0</v>
      </c>
      <c r="AH33" s="14">
        <f t="shared" si="19"/>
        <v>0</v>
      </c>
      <c r="AI33" s="14">
        <f t="shared" si="20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139" t="s">
        <v>16</v>
      </c>
      <c r="B34" s="140">
        <f t="shared" si="21"/>
        <v>7</v>
      </c>
      <c r="C34" s="141">
        <f t="shared" si="0"/>
        <v>37</v>
      </c>
      <c r="D34" s="142">
        <f t="shared" si="1"/>
        <v>6.1013698630136988</v>
      </c>
      <c r="E34" s="142" t="b">
        <f t="shared" si="2"/>
        <v>1</v>
      </c>
      <c r="F34" s="142">
        <f t="shared" si="22"/>
        <v>0</v>
      </c>
      <c r="G34" s="142">
        <f t="shared" si="23"/>
        <v>321000</v>
      </c>
      <c r="H34" s="142">
        <f t="shared" si="3"/>
        <v>26400</v>
      </c>
      <c r="I34" s="142" t="b">
        <f t="shared" si="4"/>
        <v>0</v>
      </c>
      <c r="J34" s="143" t="b">
        <f>AND($E34,SUMIFS($H$12:$H34,$E$12:$E34,TRUE)&gt;0)</f>
        <v>1</v>
      </c>
      <c r="K34" s="143" t="b">
        <f t="shared" si="5"/>
        <v>0</v>
      </c>
      <c r="L34" s="128">
        <f t="shared" si="24"/>
        <v>0</v>
      </c>
      <c r="M34" s="128">
        <f t="shared" si="26"/>
        <v>2.1912350597609563E-2</v>
      </c>
      <c r="N34" s="129">
        <f t="shared" si="6"/>
        <v>0.97808764940239046</v>
      </c>
      <c r="O34" s="133">
        <f t="shared" si="27"/>
        <v>0</v>
      </c>
      <c r="P34" s="134">
        <f t="shared" si="7"/>
        <v>0</v>
      </c>
      <c r="Q34" s="134">
        <f t="shared" si="8"/>
        <v>0</v>
      </c>
      <c r="R34" s="134">
        <f t="shared" si="9"/>
        <v>0</v>
      </c>
      <c r="S34" s="134">
        <f>IF($J34,0,PRODUCT($N$12:$N34))</f>
        <v>0</v>
      </c>
      <c r="T34" s="128">
        <f t="shared" si="10"/>
        <v>0</v>
      </c>
      <c r="U34" s="133">
        <f t="shared" si="28"/>
        <v>0</v>
      </c>
      <c r="V34" s="134">
        <f t="shared" si="29"/>
        <v>322768.92430278886</v>
      </c>
      <c r="W34" s="135">
        <f t="shared" si="25"/>
        <v>322768.92430278886</v>
      </c>
      <c r="X34" s="131">
        <f t="shared" si="11"/>
        <v>19366.135458167329</v>
      </c>
      <c r="Y34" s="132">
        <f t="shared" si="12"/>
        <v>0</v>
      </c>
      <c r="AA34" s="26" t="s">
        <v>16</v>
      </c>
      <c r="AB34" s="14">
        <f t="shared" si="13"/>
        <v>0</v>
      </c>
      <c r="AC34" s="14">
        <f t="shared" si="14"/>
        <v>0</v>
      </c>
      <c r="AD34" s="14">
        <f t="shared" si="15"/>
        <v>0</v>
      </c>
      <c r="AE34" s="14">
        <f t="shared" si="16"/>
        <v>0</v>
      </c>
      <c r="AF34" s="14">
        <f t="shared" si="17"/>
        <v>0</v>
      </c>
      <c r="AG34" s="14">
        <f t="shared" si="18"/>
        <v>-7.5697211141232401E-2</v>
      </c>
      <c r="AH34" s="14">
        <f t="shared" si="19"/>
        <v>0.13545816732948879</v>
      </c>
      <c r="AI34" s="14">
        <f t="shared" si="20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144" t="s">
        <v>17</v>
      </c>
      <c r="B35" s="145">
        <f t="shared" si="21"/>
        <v>7</v>
      </c>
      <c r="C35" s="146">
        <f t="shared" si="0"/>
        <v>362</v>
      </c>
      <c r="D35" s="147">
        <f t="shared" si="1"/>
        <v>6.9917808219178079</v>
      </c>
      <c r="E35" s="147" t="b">
        <f t="shared" si="2"/>
        <v>1</v>
      </c>
      <c r="F35" s="147">
        <f t="shared" si="22"/>
        <v>0</v>
      </c>
      <c r="G35" s="147">
        <f t="shared" si="23"/>
        <v>325000</v>
      </c>
      <c r="H35" s="147">
        <f t="shared" si="3"/>
        <v>0</v>
      </c>
      <c r="I35" s="147" t="b">
        <f t="shared" si="4"/>
        <v>0</v>
      </c>
      <c r="J35" s="148" t="b">
        <f>AND($E35,SUMIFS($H$12:$H35,$E$12:$E35,TRUE)&gt;0)</f>
        <v>1</v>
      </c>
      <c r="K35" s="148" t="b">
        <f t="shared" si="5"/>
        <v>0</v>
      </c>
      <c r="L35" s="114">
        <f t="shared" si="24"/>
        <v>0</v>
      </c>
      <c r="M35" s="114">
        <f t="shared" si="26"/>
        <v>0</v>
      </c>
      <c r="N35" s="115">
        <f t="shared" si="6"/>
        <v>1</v>
      </c>
      <c r="O35" s="116">
        <f t="shared" si="27"/>
        <v>325000</v>
      </c>
      <c r="P35" s="117">
        <f t="shared" si="7"/>
        <v>0</v>
      </c>
      <c r="Q35" s="117">
        <f t="shared" si="8"/>
        <v>0</v>
      </c>
      <c r="R35" s="117">
        <f t="shared" si="9"/>
        <v>0</v>
      </c>
      <c r="S35" s="117">
        <f>IF($J35,0,PRODUCT($N$12:$N35))</f>
        <v>0</v>
      </c>
      <c r="T35" s="114">
        <f t="shared" si="10"/>
        <v>0</v>
      </c>
      <c r="U35" s="116">
        <f t="shared" si="28"/>
        <v>0</v>
      </c>
      <c r="V35" s="117">
        <f t="shared" si="29"/>
        <v>322768.92430278886</v>
      </c>
      <c r="W35" s="118">
        <f t="shared" si="25"/>
        <v>322768.92430278886</v>
      </c>
      <c r="X35" s="119">
        <f t="shared" si="11"/>
        <v>19366.135458167329</v>
      </c>
      <c r="Y35" s="120">
        <f t="shared" si="12"/>
        <v>0</v>
      </c>
      <c r="AA35" s="26" t="s">
        <v>17</v>
      </c>
      <c r="AB35" s="14">
        <f t="shared" si="13"/>
        <v>0</v>
      </c>
      <c r="AC35" s="14">
        <f t="shared" si="14"/>
        <v>0</v>
      </c>
      <c r="AD35" s="14">
        <f t="shared" si="15"/>
        <v>0</v>
      </c>
      <c r="AE35" s="14">
        <f t="shared" si="16"/>
        <v>0</v>
      </c>
      <c r="AF35" s="14">
        <f t="shared" si="17"/>
        <v>0</v>
      </c>
      <c r="AG35" s="14">
        <f t="shared" si="18"/>
        <v>-7.5697211141232401E-2</v>
      </c>
      <c r="AH35" s="14">
        <f t="shared" si="19"/>
        <v>0.13545816732948879</v>
      </c>
      <c r="AI35" s="14">
        <f t="shared" si="20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139" t="s">
        <v>18</v>
      </c>
      <c r="B36" s="140">
        <f t="shared" si="21"/>
        <v>8</v>
      </c>
      <c r="C36" s="141">
        <f t="shared" si="0"/>
        <v>0</v>
      </c>
      <c r="D36" s="142">
        <f t="shared" si="1"/>
        <v>7</v>
      </c>
      <c r="E36" s="142" t="b">
        <f t="shared" si="2"/>
        <v>1</v>
      </c>
      <c r="F36" s="142">
        <f t="shared" si="22"/>
        <v>0</v>
      </c>
      <c r="G36" s="142">
        <f t="shared" si="23"/>
        <v>317000</v>
      </c>
      <c r="H36" s="142">
        <f t="shared" si="3"/>
        <v>0</v>
      </c>
      <c r="I36" s="142" t="b">
        <f t="shared" si="4"/>
        <v>0</v>
      </c>
      <c r="J36" s="143" t="b">
        <f>AND($E36,SUMIFS($H$12:$H36,$E$12:$E36,TRUE)&gt;0)</f>
        <v>1</v>
      </c>
      <c r="K36" s="143" t="b">
        <f t="shared" si="5"/>
        <v>1</v>
      </c>
      <c r="L36" s="128">
        <f t="shared" si="24"/>
        <v>0</v>
      </c>
      <c r="M36" s="128">
        <f t="shared" si="26"/>
        <v>0</v>
      </c>
      <c r="N36" s="129">
        <f t="shared" si="6"/>
        <v>1</v>
      </c>
      <c r="O36" s="133">
        <f t="shared" si="27"/>
        <v>0</v>
      </c>
      <c r="P36" s="134">
        <f t="shared" si="7"/>
        <v>0</v>
      </c>
      <c r="Q36" s="134">
        <f t="shared" si="8"/>
        <v>0</v>
      </c>
      <c r="R36" s="134">
        <f t="shared" si="9"/>
        <v>0</v>
      </c>
      <c r="S36" s="134">
        <f>IF($J36,0,PRODUCT($N$12:$N36))</f>
        <v>0</v>
      </c>
      <c r="T36" s="128">
        <f t="shared" si="10"/>
        <v>0</v>
      </c>
      <c r="U36" s="133">
        <f t="shared" si="28"/>
        <v>0</v>
      </c>
      <c r="V36" s="134">
        <f t="shared" si="29"/>
        <v>325000</v>
      </c>
      <c r="W36" s="135">
        <f t="shared" si="25"/>
        <v>325000</v>
      </c>
      <c r="X36" s="131">
        <f t="shared" si="11"/>
        <v>19500</v>
      </c>
      <c r="Y36" s="132">
        <f t="shared" si="12"/>
        <v>0</v>
      </c>
      <c r="AA36" s="26" t="s">
        <v>18</v>
      </c>
      <c r="AB36" s="14">
        <f t="shared" si="13"/>
        <v>0</v>
      </c>
      <c r="AC36" s="14">
        <f t="shared" si="14"/>
        <v>0</v>
      </c>
      <c r="AD36" s="14">
        <f t="shared" si="15"/>
        <v>0</v>
      </c>
      <c r="AE36" s="14">
        <f t="shared" si="16"/>
        <v>0</v>
      </c>
      <c r="AF36" s="14">
        <f t="shared" si="17"/>
        <v>0</v>
      </c>
      <c r="AG36" s="14">
        <f t="shared" si="18"/>
        <v>0</v>
      </c>
      <c r="AH36" s="14">
        <f t="shared" si="19"/>
        <v>0</v>
      </c>
      <c r="AI36" s="14">
        <f t="shared" si="20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144" t="s">
        <v>19</v>
      </c>
      <c r="B37" s="145">
        <f t="shared" si="21"/>
        <v>8</v>
      </c>
      <c r="C37" s="146">
        <f t="shared" si="0"/>
        <v>46</v>
      </c>
      <c r="D37" s="147">
        <f t="shared" si="1"/>
        <v>7.1260273972602732</v>
      </c>
      <c r="E37" s="147" t="b">
        <f t="shared" si="2"/>
        <v>1</v>
      </c>
      <c r="F37" s="147">
        <f t="shared" si="22"/>
        <v>0</v>
      </c>
      <c r="G37" s="147">
        <f t="shared" si="23"/>
        <v>307000</v>
      </c>
      <c r="H37" s="147">
        <f t="shared" si="3"/>
        <v>26000</v>
      </c>
      <c r="I37" s="147" t="b">
        <f t="shared" si="4"/>
        <v>0</v>
      </c>
      <c r="J37" s="148" t="b">
        <f>AND($E37,SUMIFS($H$12:$H37,$E$12:$E37,TRUE)&gt;0)</f>
        <v>1</v>
      </c>
      <c r="K37" s="148" t="b">
        <f t="shared" si="5"/>
        <v>0</v>
      </c>
      <c r="L37" s="114">
        <f t="shared" si="24"/>
        <v>0</v>
      </c>
      <c r="M37" s="114">
        <f t="shared" si="26"/>
        <v>2.2608695652173914E-2</v>
      </c>
      <c r="N37" s="115">
        <f t="shared" si="6"/>
        <v>0.97739130434782606</v>
      </c>
      <c r="O37" s="116">
        <f t="shared" si="27"/>
        <v>0</v>
      </c>
      <c r="P37" s="117">
        <f t="shared" si="7"/>
        <v>0</v>
      </c>
      <c r="Q37" s="117">
        <f t="shared" si="8"/>
        <v>0</v>
      </c>
      <c r="R37" s="117">
        <f t="shared" si="9"/>
        <v>0</v>
      </c>
      <c r="S37" s="117">
        <f>IF($J37,0,PRODUCT($N$12:$N37))</f>
        <v>0</v>
      </c>
      <c r="T37" s="114">
        <f t="shared" si="10"/>
        <v>0</v>
      </c>
      <c r="U37" s="116">
        <f t="shared" si="28"/>
        <v>0</v>
      </c>
      <c r="V37" s="117">
        <f t="shared" si="29"/>
        <v>317652.17391304346</v>
      </c>
      <c r="W37" s="118">
        <f t="shared" si="25"/>
        <v>317652.17391304346</v>
      </c>
      <c r="X37" s="119">
        <f t="shared" si="11"/>
        <v>19059.130434782608</v>
      </c>
      <c r="Y37" s="120">
        <f t="shared" si="12"/>
        <v>0</v>
      </c>
      <c r="AA37" s="26" t="s">
        <v>19</v>
      </c>
      <c r="AB37" s="14">
        <f t="shared" si="13"/>
        <v>0</v>
      </c>
      <c r="AC37" s="14">
        <f t="shared" si="14"/>
        <v>0</v>
      </c>
      <c r="AD37" s="14">
        <f t="shared" si="15"/>
        <v>0</v>
      </c>
      <c r="AE37" s="14">
        <f t="shared" si="16"/>
        <v>0</v>
      </c>
      <c r="AF37" s="14">
        <f t="shared" si="17"/>
        <v>0</v>
      </c>
      <c r="AG37" s="14">
        <f t="shared" si="18"/>
        <v>0.17391304345801473</v>
      </c>
      <c r="AH37" s="14">
        <f t="shared" si="19"/>
        <v>0.13043478260806296</v>
      </c>
      <c r="AI37" s="14">
        <f t="shared" si="20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139" t="s">
        <v>20</v>
      </c>
      <c r="B38" s="140">
        <f t="shared" si="21"/>
        <v>9</v>
      </c>
      <c r="C38" s="141">
        <f t="shared" si="0"/>
        <v>0</v>
      </c>
      <c r="D38" s="142">
        <f t="shared" si="1"/>
        <v>8</v>
      </c>
      <c r="E38" s="142" t="b">
        <f t="shared" si="2"/>
        <v>1</v>
      </c>
      <c r="F38" s="142">
        <f t="shared" si="22"/>
        <v>0</v>
      </c>
      <c r="G38" s="142">
        <f t="shared" si="23"/>
        <v>270000</v>
      </c>
      <c r="H38" s="142">
        <f t="shared" si="3"/>
        <v>0</v>
      </c>
      <c r="I38" s="142" t="b">
        <f t="shared" si="4"/>
        <v>0</v>
      </c>
      <c r="J38" s="143" t="b">
        <f>AND($E38,SUMIFS($H$12:$H38,$E$12:$E38,TRUE)&gt;0)</f>
        <v>1</v>
      </c>
      <c r="K38" s="143" t="b">
        <f t="shared" si="5"/>
        <v>1</v>
      </c>
      <c r="L38" s="128">
        <f t="shared" si="24"/>
        <v>0</v>
      </c>
      <c r="M38" s="128">
        <f t="shared" si="26"/>
        <v>0</v>
      </c>
      <c r="N38" s="129">
        <f t="shared" si="6"/>
        <v>1</v>
      </c>
      <c r="O38" s="133">
        <f t="shared" si="27"/>
        <v>0</v>
      </c>
      <c r="P38" s="134">
        <f t="shared" si="7"/>
        <v>0</v>
      </c>
      <c r="Q38" s="134">
        <f t="shared" si="8"/>
        <v>0</v>
      </c>
      <c r="R38" s="134">
        <f t="shared" si="9"/>
        <v>0</v>
      </c>
      <c r="S38" s="134">
        <f>IF($J38,0,PRODUCT($N$12:$N38))</f>
        <v>0</v>
      </c>
      <c r="T38" s="128">
        <f t="shared" si="10"/>
        <v>0</v>
      </c>
      <c r="U38" s="133">
        <f t="shared" si="28"/>
        <v>0</v>
      </c>
      <c r="V38" s="134">
        <f t="shared" si="29"/>
        <v>317652.17391304346</v>
      </c>
      <c r="W38" s="135">
        <f t="shared" si="25"/>
        <v>317652.17391304346</v>
      </c>
      <c r="X38" s="131">
        <f t="shared" si="11"/>
        <v>19059.130434782608</v>
      </c>
      <c r="Y38" s="132">
        <f t="shared" si="12"/>
        <v>0</v>
      </c>
      <c r="AA38" s="26" t="s">
        <v>20</v>
      </c>
      <c r="AB38" s="14">
        <f t="shared" si="13"/>
        <v>0</v>
      </c>
      <c r="AC38" s="14">
        <f t="shared" si="14"/>
        <v>0</v>
      </c>
      <c r="AD38" s="14">
        <f t="shared" si="15"/>
        <v>0</v>
      </c>
      <c r="AE38" s="14">
        <f t="shared" si="16"/>
        <v>0</v>
      </c>
      <c r="AF38" s="14">
        <f t="shared" si="17"/>
        <v>0</v>
      </c>
      <c r="AG38" s="14">
        <f t="shared" si="18"/>
        <v>0.17391304345801473</v>
      </c>
      <c r="AH38" s="14">
        <f t="shared" si="19"/>
        <v>0.13043478260806296</v>
      </c>
      <c r="AI38" s="14">
        <f t="shared" si="20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144" t="s">
        <v>21</v>
      </c>
      <c r="B39" s="145">
        <f t="shared" si="21"/>
        <v>10</v>
      </c>
      <c r="C39" s="146">
        <f t="shared" si="0"/>
        <v>0</v>
      </c>
      <c r="D39" s="147">
        <f t="shared" si="1"/>
        <v>9</v>
      </c>
      <c r="E39" s="147" t="b">
        <f t="shared" si="2"/>
        <v>1</v>
      </c>
      <c r="F39" s="147">
        <f t="shared" si="22"/>
        <v>0</v>
      </c>
      <c r="G39" s="147">
        <f t="shared" si="23"/>
        <v>150000</v>
      </c>
      <c r="H39" s="147">
        <f t="shared" si="3"/>
        <v>19059</v>
      </c>
      <c r="I39" s="147" t="b">
        <f t="shared" si="4"/>
        <v>0</v>
      </c>
      <c r="J39" s="148" t="b">
        <f>AND($E39,SUMIFS($H$12:$H39,$E$12:$E39,TRUE)&gt;0)</f>
        <v>1</v>
      </c>
      <c r="K39" s="148" t="b">
        <f t="shared" si="5"/>
        <v>1</v>
      </c>
      <c r="L39" s="114">
        <f t="shared" si="24"/>
        <v>0</v>
      </c>
      <c r="M39" s="114">
        <f t="shared" si="26"/>
        <v>0</v>
      </c>
      <c r="N39" s="115">
        <f t="shared" si="6"/>
        <v>1</v>
      </c>
      <c r="O39" s="116">
        <f t="shared" si="27"/>
        <v>0</v>
      </c>
      <c r="P39" s="117">
        <f t="shared" si="7"/>
        <v>0</v>
      </c>
      <c r="Q39" s="117">
        <f t="shared" si="8"/>
        <v>0</v>
      </c>
      <c r="R39" s="117">
        <f t="shared" si="9"/>
        <v>0</v>
      </c>
      <c r="S39" s="117">
        <f>IF($J39,0,PRODUCT($N$12:$N39))</f>
        <v>0</v>
      </c>
      <c r="T39" s="114">
        <f t="shared" si="10"/>
        <v>0</v>
      </c>
      <c r="U39" s="116">
        <f t="shared" si="28"/>
        <v>0</v>
      </c>
      <c r="V39" s="117">
        <f t="shared" si="29"/>
        <v>317652.17391304346</v>
      </c>
      <c r="W39" s="118">
        <f t="shared" si="25"/>
        <v>317652.17391304346</v>
      </c>
      <c r="X39" s="119">
        <f t="shared" si="11"/>
        <v>19059.130434782608</v>
      </c>
      <c r="Y39" s="120">
        <f t="shared" si="12"/>
        <v>0</v>
      </c>
      <c r="AA39" s="26" t="s">
        <v>21</v>
      </c>
      <c r="AB39" s="14">
        <f t="shared" si="13"/>
        <v>0</v>
      </c>
      <c r="AC39" s="14">
        <f t="shared" si="14"/>
        <v>0</v>
      </c>
      <c r="AD39" s="14">
        <f t="shared" si="15"/>
        <v>0</v>
      </c>
      <c r="AE39" s="14">
        <f t="shared" si="16"/>
        <v>0</v>
      </c>
      <c r="AF39" s="14">
        <f t="shared" si="17"/>
        <v>0</v>
      </c>
      <c r="AG39" s="14">
        <f t="shared" si="18"/>
        <v>0.17391304345801473</v>
      </c>
      <c r="AH39" s="14">
        <f t="shared" si="19"/>
        <v>0.13043478260806296</v>
      </c>
      <c r="AI39" s="14">
        <f t="shared" si="20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139" t="s">
        <v>22</v>
      </c>
      <c r="B40" s="140">
        <f t="shared" si="21"/>
        <v>11</v>
      </c>
      <c r="C40" s="141">
        <f t="shared" si="0"/>
        <v>0</v>
      </c>
      <c r="D40" s="142">
        <f t="shared" si="1"/>
        <v>10</v>
      </c>
      <c r="E40" s="142" t="b">
        <f t="shared" si="2"/>
        <v>1</v>
      </c>
      <c r="F40" s="142">
        <f t="shared" si="22"/>
        <v>0</v>
      </c>
      <c r="G40" s="142">
        <f t="shared" si="23"/>
        <v>100000</v>
      </c>
      <c r="H40" s="142">
        <f t="shared" si="3"/>
        <v>19059</v>
      </c>
      <c r="I40" s="142" t="b">
        <f t="shared" si="4"/>
        <v>0</v>
      </c>
      <c r="J40" s="143" t="b">
        <f>AND($E40,SUMIFS($H$12:$H40,$E$12:$E40,TRUE)&gt;0)</f>
        <v>1</v>
      </c>
      <c r="K40" s="143" t="b">
        <f t="shared" si="5"/>
        <v>1</v>
      </c>
      <c r="L40" s="128">
        <f t="shared" si="24"/>
        <v>0</v>
      </c>
      <c r="M40" s="128">
        <f t="shared" si="26"/>
        <v>0</v>
      </c>
      <c r="N40" s="129">
        <f t="shared" si="6"/>
        <v>1</v>
      </c>
      <c r="O40" s="133">
        <f t="shared" si="27"/>
        <v>0</v>
      </c>
      <c r="P40" s="134">
        <f t="shared" si="7"/>
        <v>0</v>
      </c>
      <c r="Q40" s="134">
        <f t="shared" si="8"/>
        <v>0</v>
      </c>
      <c r="R40" s="134">
        <f t="shared" si="9"/>
        <v>0</v>
      </c>
      <c r="S40" s="134">
        <f>IF($J40,0,PRODUCT($N$12:$N40))</f>
        <v>0</v>
      </c>
      <c r="T40" s="128">
        <f t="shared" si="10"/>
        <v>0</v>
      </c>
      <c r="U40" s="133">
        <f t="shared" si="28"/>
        <v>0</v>
      </c>
      <c r="V40" s="134">
        <f t="shared" si="29"/>
        <v>317652.17391304346</v>
      </c>
      <c r="W40" s="135">
        <f t="shared" si="25"/>
        <v>317652.17391304346</v>
      </c>
      <c r="X40" s="131">
        <f t="shared" si="11"/>
        <v>19059.130434782608</v>
      </c>
      <c r="Y40" s="132">
        <f t="shared" si="12"/>
        <v>0</v>
      </c>
      <c r="AA40" s="26" t="s">
        <v>22</v>
      </c>
      <c r="AB40" s="14">
        <f t="shared" si="13"/>
        <v>0</v>
      </c>
      <c r="AC40" s="14">
        <f t="shared" si="14"/>
        <v>0</v>
      </c>
      <c r="AD40" s="14">
        <f t="shared" si="15"/>
        <v>0</v>
      </c>
      <c r="AE40" s="14">
        <f t="shared" si="16"/>
        <v>0</v>
      </c>
      <c r="AF40" s="14">
        <f t="shared" si="17"/>
        <v>0</v>
      </c>
      <c r="AG40" s="14">
        <f t="shared" si="18"/>
        <v>0.17391304345801473</v>
      </c>
      <c r="AH40" s="14">
        <f t="shared" si="19"/>
        <v>0.13043478260806296</v>
      </c>
      <c r="AI40" s="14">
        <f t="shared" si="20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144" t="s">
        <v>23</v>
      </c>
      <c r="B41" s="145">
        <f t="shared" si="21"/>
        <v>12</v>
      </c>
      <c r="C41" s="146">
        <f t="shared" si="0"/>
        <v>0</v>
      </c>
      <c r="D41" s="147">
        <f t="shared" si="1"/>
        <v>11</v>
      </c>
      <c r="E41" s="147" t="b">
        <f t="shared" si="2"/>
        <v>1</v>
      </c>
      <c r="F41" s="147">
        <f t="shared" si="22"/>
        <v>0</v>
      </c>
      <c r="G41" s="147">
        <f t="shared" si="23"/>
        <v>50000</v>
      </c>
      <c r="H41" s="147">
        <f t="shared" si="3"/>
        <v>19059</v>
      </c>
      <c r="I41" s="147" t="b">
        <f t="shared" si="4"/>
        <v>0</v>
      </c>
      <c r="J41" s="148" t="b">
        <f>AND($E41,SUMIFS($H$12:$H41,$E$12:$E41,TRUE)&gt;0)</f>
        <v>1</v>
      </c>
      <c r="K41" s="148" t="b">
        <f t="shared" si="5"/>
        <v>1</v>
      </c>
      <c r="L41" s="114">
        <f t="shared" si="24"/>
        <v>0</v>
      </c>
      <c r="M41" s="114">
        <f t="shared" si="26"/>
        <v>0</v>
      </c>
      <c r="N41" s="115">
        <f t="shared" si="6"/>
        <v>1</v>
      </c>
      <c r="O41" s="116">
        <f t="shared" si="27"/>
        <v>0</v>
      </c>
      <c r="P41" s="117">
        <f t="shared" si="7"/>
        <v>0</v>
      </c>
      <c r="Q41" s="117">
        <f t="shared" si="8"/>
        <v>0</v>
      </c>
      <c r="R41" s="117">
        <f t="shared" si="9"/>
        <v>0</v>
      </c>
      <c r="S41" s="117">
        <f>IF($J41,0,PRODUCT($N$12:$N41))</f>
        <v>0</v>
      </c>
      <c r="T41" s="114">
        <f t="shared" si="10"/>
        <v>0</v>
      </c>
      <c r="U41" s="116">
        <f t="shared" si="28"/>
        <v>0</v>
      </c>
      <c r="V41" s="117">
        <f t="shared" si="29"/>
        <v>317652.17391304346</v>
      </c>
      <c r="W41" s="118">
        <f t="shared" si="25"/>
        <v>317652.17391304346</v>
      </c>
      <c r="X41" s="119">
        <f t="shared" si="11"/>
        <v>19059.130434782608</v>
      </c>
      <c r="Y41" s="120">
        <f t="shared" si="12"/>
        <v>0</v>
      </c>
      <c r="AA41" s="26" t="s">
        <v>23</v>
      </c>
      <c r="AB41" s="14">
        <f t="shared" si="13"/>
        <v>0</v>
      </c>
      <c r="AC41" s="14">
        <f t="shared" si="14"/>
        <v>0</v>
      </c>
      <c r="AD41" s="14">
        <f t="shared" si="15"/>
        <v>0</v>
      </c>
      <c r="AE41" s="14">
        <f t="shared" si="16"/>
        <v>0</v>
      </c>
      <c r="AF41" s="14">
        <f t="shared" si="17"/>
        <v>0</v>
      </c>
      <c r="AG41" s="14">
        <f t="shared" si="18"/>
        <v>0.17391304345801473</v>
      </c>
      <c r="AH41" s="14">
        <f t="shared" si="19"/>
        <v>0.13043478260806296</v>
      </c>
      <c r="AI41" s="14">
        <f t="shared" si="20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139" t="s">
        <v>24</v>
      </c>
      <c r="B42" s="140">
        <f t="shared" si="21"/>
        <v>12</v>
      </c>
      <c r="C42" s="141">
        <f t="shared" si="0"/>
        <v>81</v>
      </c>
      <c r="D42" s="142">
        <f t="shared" si="1"/>
        <v>11.221917808219178</v>
      </c>
      <c r="E42" s="142" t="b">
        <f t="shared" si="2"/>
        <v>1</v>
      </c>
      <c r="F42" s="142">
        <f t="shared" si="22"/>
        <v>0</v>
      </c>
      <c r="G42" s="142">
        <f t="shared" si="23"/>
        <v>0</v>
      </c>
      <c r="H42" s="142">
        <f t="shared" si="3"/>
        <v>19059</v>
      </c>
      <c r="I42" s="142" t="b">
        <f t="shared" si="4"/>
        <v>1</v>
      </c>
      <c r="J42" s="143" t="b">
        <f>AND($E42,SUMIFS($H$12:$H42,$E$12:$E42,TRUE)&gt;0)</f>
        <v>1</v>
      </c>
      <c r="K42" s="143" t="b">
        <f t="shared" si="5"/>
        <v>0</v>
      </c>
      <c r="L42" s="128">
        <f t="shared" si="24"/>
        <v>0</v>
      </c>
      <c r="M42" s="128">
        <f t="shared" si="26"/>
        <v>0</v>
      </c>
      <c r="N42" s="129">
        <f t="shared" si="6"/>
        <v>1</v>
      </c>
      <c r="O42" s="133">
        <f t="shared" si="27"/>
        <v>0</v>
      </c>
      <c r="P42" s="134">
        <f t="shared" si="7"/>
        <v>0</v>
      </c>
      <c r="Q42" s="134">
        <f t="shared" si="8"/>
        <v>0</v>
      </c>
      <c r="R42" s="134">
        <f t="shared" si="9"/>
        <v>0</v>
      </c>
      <c r="S42" s="134">
        <f>IF($J42,0,PRODUCT($N$12:$N42))</f>
        <v>0</v>
      </c>
      <c r="T42" s="128">
        <f t="shared" si="10"/>
        <v>0</v>
      </c>
      <c r="U42" s="133">
        <f t="shared" si="28"/>
        <v>0</v>
      </c>
      <c r="V42" s="134">
        <f t="shared" si="29"/>
        <v>317652.17391304346</v>
      </c>
      <c r="W42" s="135">
        <f t="shared" si="25"/>
        <v>317652.17391304346</v>
      </c>
      <c r="X42" s="131">
        <f t="shared" si="11"/>
        <v>0</v>
      </c>
      <c r="Y42" s="132">
        <f t="shared" si="12"/>
        <v>0</v>
      </c>
      <c r="AA42" s="26" t="s">
        <v>24</v>
      </c>
      <c r="AB42" s="14">
        <f t="shared" si="13"/>
        <v>0</v>
      </c>
      <c r="AC42" s="14">
        <f t="shared" si="14"/>
        <v>0</v>
      </c>
      <c r="AD42" s="14">
        <f t="shared" si="15"/>
        <v>0</v>
      </c>
      <c r="AE42" s="14">
        <f t="shared" si="16"/>
        <v>0</v>
      </c>
      <c r="AF42" s="14">
        <f t="shared" si="17"/>
        <v>0</v>
      </c>
      <c r="AG42" s="14">
        <f t="shared" si="18"/>
        <v>0.17391304345801473</v>
      </c>
      <c r="AH42" s="14">
        <f t="shared" si="19"/>
        <v>0</v>
      </c>
      <c r="AI42" s="14">
        <f t="shared" si="20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151" t="s">
        <v>25</v>
      </c>
      <c r="B43" s="152">
        <f t="shared" si="21"/>
        <v>13</v>
      </c>
      <c r="C43" s="153">
        <f t="shared" si="0"/>
        <v>0</v>
      </c>
      <c r="D43" s="154">
        <f t="shared" si="1"/>
        <v>12</v>
      </c>
      <c r="E43" s="154" t="b">
        <f t="shared" si="2"/>
        <v>1</v>
      </c>
      <c r="F43" s="154">
        <f t="shared" si="22"/>
        <v>0</v>
      </c>
      <c r="G43" s="154">
        <f t="shared" si="23"/>
        <v>0</v>
      </c>
      <c r="H43" s="154">
        <f t="shared" si="3"/>
        <v>0</v>
      </c>
      <c r="I43" s="154" t="b">
        <f t="shared" si="4"/>
        <v>1</v>
      </c>
      <c r="J43" s="155" t="b">
        <f>AND($E43,SUMIFS($H$12:$H43,$E$12:$E43,TRUE)&gt;0)</f>
        <v>1</v>
      </c>
      <c r="K43" s="155" t="b">
        <f t="shared" si="5"/>
        <v>1</v>
      </c>
      <c r="L43" s="121">
        <f t="shared" si="24"/>
        <v>0</v>
      </c>
      <c r="M43" s="121">
        <f t="shared" si="26"/>
        <v>0</v>
      </c>
      <c r="N43" s="122">
        <f t="shared" si="6"/>
        <v>1</v>
      </c>
      <c r="O43" s="123">
        <f t="shared" si="27"/>
        <v>0</v>
      </c>
      <c r="P43" s="124">
        <f t="shared" si="7"/>
        <v>0</v>
      </c>
      <c r="Q43" s="124">
        <f t="shared" si="8"/>
        <v>0</v>
      </c>
      <c r="R43" s="124">
        <f t="shared" si="9"/>
        <v>0</v>
      </c>
      <c r="S43" s="124">
        <f>IF($J43,0,PRODUCT($N$12:$N43))</f>
        <v>0</v>
      </c>
      <c r="T43" s="121">
        <f t="shared" si="10"/>
        <v>0</v>
      </c>
      <c r="U43" s="123">
        <f t="shared" si="28"/>
        <v>0</v>
      </c>
      <c r="V43" s="124">
        <f t="shared" si="29"/>
        <v>317652.17391304346</v>
      </c>
      <c r="W43" s="125">
        <f t="shared" si="25"/>
        <v>317652.17391304346</v>
      </c>
      <c r="X43" s="126">
        <f t="shared" si="11"/>
        <v>0</v>
      </c>
      <c r="Y43" s="127">
        <f t="shared" si="12"/>
        <v>12706.086956521738</v>
      </c>
      <c r="AA43" s="26" t="s">
        <v>25</v>
      </c>
      <c r="AB43" s="14">
        <f t="shared" si="13"/>
        <v>0</v>
      </c>
      <c r="AC43" s="14">
        <f t="shared" si="14"/>
        <v>0</v>
      </c>
      <c r="AD43" s="14">
        <f t="shared" si="15"/>
        <v>0</v>
      </c>
      <c r="AE43" s="14">
        <f t="shared" si="16"/>
        <v>0</v>
      </c>
      <c r="AF43" s="14">
        <f t="shared" si="17"/>
        <v>0</v>
      </c>
      <c r="AG43" s="14">
        <f t="shared" si="18"/>
        <v>0.17391304345801473</v>
      </c>
      <c r="AH43" s="14">
        <f t="shared" si="19"/>
        <v>0</v>
      </c>
      <c r="AI43" s="14">
        <f t="shared" si="20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6" spans="1:45" x14ac:dyDescent="0.25">
      <c r="T46" s="39"/>
    </row>
    <row r="47" spans="1:45" x14ac:dyDescent="0.25">
      <c r="T47" s="36"/>
      <c r="V47" s="39"/>
    </row>
    <row r="48" spans="1:45" x14ac:dyDescent="0.25">
      <c r="T48" s="40"/>
      <c r="V48" s="36"/>
    </row>
    <row r="49" spans="8:35" x14ac:dyDescent="0.25">
      <c r="H49" s="4"/>
      <c r="I49" s="4"/>
      <c r="J49" s="4"/>
      <c r="K49" s="4"/>
      <c r="L49" s="4"/>
      <c r="M49" s="4"/>
      <c r="T49" s="40"/>
      <c r="V49" s="40"/>
    </row>
    <row r="50" spans="8:35" x14ac:dyDescent="0.25">
      <c r="H50" s="4"/>
      <c r="I50" s="4"/>
      <c r="J50" s="4"/>
      <c r="K50" s="4"/>
      <c r="L50" s="4"/>
      <c r="M50" s="4"/>
      <c r="T50" s="40"/>
      <c r="V50" s="40"/>
    </row>
    <row r="51" spans="8:35" x14ac:dyDescent="0.25">
      <c r="H51" s="4"/>
      <c r="I51" s="4"/>
      <c r="J51" s="4"/>
      <c r="K51" s="4"/>
      <c r="L51" s="4"/>
      <c r="M51" s="4"/>
      <c r="T51" s="40"/>
      <c r="V51" s="40"/>
    </row>
    <row r="52" spans="8:35" x14ac:dyDescent="0.25">
      <c r="H52" s="4"/>
      <c r="I52" s="4"/>
      <c r="J52" s="4"/>
      <c r="K52" s="4"/>
      <c r="L52" s="4"/>
      <c r="M52" s="4"/>
      <c r="T52" s="40"/>
      <c r="V52" s="40"/>
    </row>
    <row r="53" spans="8:35" x14ac:dyDescent="0.25">
      <c r="H53" s="12"/>
      <c r="I53" s="36"/>
      <c r="J53" s="12"/>
      <c r="K53" s="12"/>
      <c r="L53" s="12"/>
      <c r="M53" s="12"/>
      <c r="T53" s="40"/>
      <c r="V53" s="40"/>
    </row>
    <row r="54" spans="8:35" x14ac:dyDescent="0.25">
      <c r="H54" s="12"/>
      <c r="I54" s="36"/>
      <c r="J54" s="12"/>
      <c r="K54" s="12"/>
      <c r="L54" s="12"/>
      <c r="M54" s="12"/>
      <c r="V54" s="40"/>
    </row>
    <row r="55" spans="8:35" x14ac:dyDescent="0.25">
      <c r="H55" s="12"/>
      <c r="I55" s="36"/>
      <c r="J55" s="12"/>
      <c r="K55" s="12"/>
      <c r="L55" s="12"/>
      <c r="M55" s="12"/>
    </row>
    <row r="56" spans="8:35" x14ac:dyDescent="0.25">
      <c r="H56" s="12"/>
      <c r="I56" s="36"/>
      <c r="J56" s="12"/>
      <c r="K56" s="12"/>
      <c r="L56" s="12"/>
      <c r="M56" s="12"/>
      <c r="T56" s="41"/>
    </row>
    <row r="57" spans="8:35" x14ac:dyDescent="0.25">
      <c r="H57" s="12"/>
      <c r="I57" s="36"/>
      <c r="J57" s="12"/>
      <c r="K57" s="12"/>
      <c r="L57" s="12"/>
      <c r="M57" s="12"/>
      <c r="T57" s="40"/>
      <c r="V57" s="41"/>
    </row>
    <row r="58" spans="8:35" ht="15" customHeight="1" x14ac:dyDescent="0.25">
      <c r="H58" s="12"/>
      <c r="I58" s="36"/>
      <c r="J58" s="12"/>
      <c r="K58" s="12"/>
      <c r="L58" s="12"/>
      <c r="M58" s="12"/>
      <c r="T58" s="40"/>
      <c r="V58" s="40"/>
    </row>
    <row r="59" spans="8:35" ht="24" customHeight="1" x14ac:dyDescent="0.25">
      <c r="H59" s="12"/>
      <c r="I59" s="36"/>
      <c r="J59" s="12"/>
      <c r="K59" s="12"/>
      <c r="L59" s="12"/>
      <c r="M59" s="12"/>
      <c r="T59" s="40"/>
      <c r="V59" s="40"/>
    </row>
    <row r="60" spans="8:35" ht="36.75" customHeight="1" x14ac:dyDescent="0.25">
      <c r="H60" s="12"/>
      <c r="I60" s="36"/>
      <c r="J60" s="12"/>
      <c r="K60" s="12"/>
      <c r="L60" s="12"/>
      <c r="M60" s="12"/>
      <c r="T60" s="40"/>
      <c r="V60" s="40"/>
    </row>
    <row r="61" spans="8:35" x14ac:dyDescent="0.25">
      <c r="H61" s="12"/>
      <c r="I61" s="36"/>
      <c r="J61" s="12"/>
      <c r="K61" s="12"/>
      <c r="L61" s="12"/>
      <c r="M61" s="12"/>
      <c r="N61" s="1"/>
      <c r="O61" s="1"/>
      <c r="P61" s="1"/>
      <c r="Q61" s="1"/>
      <c r="R61" s="1"/>
      <c r="S61" s="1"/>
      <c r="T61" s="5"/>
      <c r="U61" s="40"/>
      <c r="V61" s="40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8:35" x14ac:dyDescent="0.25">
      <c r="N62" s="1"/>
      <c r="O62" s="1"/>
      <c r="P62" s="1"/>
      <c r="Q62" s="1"/>
      <c r="R62" s="1"/>
      <c r="S62" s="1"/>
      <c r="T62" s="42"/>
      <c r="U62" s="40"/>
      <c r="V62" s="5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8:35" x14ac:dyDescent="0.25">
      <c r="N63" s="1"/>
      <c r="O63" s="1"/>
      <c r="P63" s="1"/>
      <c r="Q63" s="1"/>
      <c r="R63" s="1"/>
      <c r="S63" s="1"/>
      <c r="T63" s="43"/>
      <c r="U63" s="40"/>
      <c r="V63" s="4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8:35" x14ac:dyDescent="0.25">
      <c r="N64" s="1"/>
      <c r="O64" s="1"/>
      <c r="P64" s="1"/>
      <c r="Q64" s="1"/>
      <c r="R64" s="1"/>
      <c r="S64" s="1"/>
      <c r="T64" s="1"/>
      <c r="U64" s="40"/>
      <c r="V64" s="43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4:35" x14ac:dyDescent="0.25"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75" spans="14:35" ht="15" customHeight="1" x14ac:dyDescent="0.25"/>
    <row r="78" spans="14:35" x14ac:dyDescent="0.25"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14:35" x14ac:dyDescent="0.25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4:35" x14ac:dyDescent="0.25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4:35" x14ac:dyDescent="0.25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4:35" x14ac:dyDescent="0.25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4:35" x14ac:dyDescent="0.25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4:35" x14ac:dyDescent="0.25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4:35" x14ac:dyDescent="0.25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4:35" x14ac:dyDescent="0.25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4:35" x14ac:dyDescent="0.25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4:35" x14ac:dyDescent="0.25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92" spans="14:35" ht="15" customHeight="1" x14ac:dyDescent="0.25"/>
    <row r="101" spans="8:13" ht="15" customHeight="1" x14ac:dyDescent="0.25"/>
    <row r="103" spans="8:13" x14ac:dyDescent="0.25">
      <c r="H103" s="4"/>
      <c r="I103" s="4"/>
      <c r="J103" s="4"/>
      <c r="K103" s="4"/>
      <c r="L103" s="4"/>
      <c r="M103" s="4"/>
    </row>
    <row r="104" spans="8:13" x14ac:dyDescent="0.25">
      <c r="H104" s="4"/>
      <c r="I104" s="4"/>
      <c r="J104" s="4"/>
      <c r="K104" s="4"/>
      <c r="L104" s="4"/>
      <c r="M104" s="4"/>
    </row>
    <row r="105" spans="8:13" x14ac:dyDescent="0.25">
      <c r="H105" s="4"/>
      <c r="I105" s="4"/>
      <c r="J105" s="4"/>
      <c r="K105" s="4"/>
      <c r="L105" s="4"/>
      <c r="M105" s="4"/>
    </row>
    <row r="106" spans="8:13" x14ac:dyDescent="0.25">
      <c r="H106" s="13"/>
      <c r="I106" s="13"/>
      <c r="J106" s="13"/>
      <c r="K106" s="13"/>
      <c r="L106" s="13"/>
      <c r="M106" s="13"/>
    </row>
    <row r="107" spans="8:13" x14ac:dyDescent="0.25">
      <c r="H107" s="13"/>
      <c r="I107" s="13"/>
      <c r="J107" s="13"/>
      <c r="K107" s="13"/>
      <c r="L107" s="13"/>
      <c r="M107" s="13"/>
    </row>
    <row r="108" spans="8:13" x14ac:dyDescent="0.25">
      <c r="H108" s="13"/>
      <c r="I108" s="13"/>
      <c r="J108" s="13"/>
      <c r="K108" s="13"/>
      <c r="L108" s="13"/>
      <c r="M108" s="13"/>
    </row>
    <row r="109" spans="8:13" x14ac:dyDescent="0.25">
      <c r="H109" s="13"/>
      <c r="I109" s="13"/>
      <c r="J109" s="13"/>
      <c r="K109" s="13"/>
      <c r="L109" s="13"/>
      <c r="M109" s="13"/>
    </row>
    <row r="110" spans="8:13" x14ac:dyDescent="0.25">
      <c r="H110" s="13"/>
      <c r="I110" s="13"/>
      <c r="J110" s="13"/>
      <c r="K110" s="13"/>
      <c r="L110" s="13"/>
      <c r="M110" s="13"/>
    </row>
    <row r="111" spans="8:13" ht="15" customHeight="1" x14ac:dyDescent="0.25">
      <c r="H111" s="11"/>
      <c r="I111" s="11"/>
      <c r="J111" s="11"/>
      <c r="K111" s="11"/>
      <c r="L111" s="11"/>
      <c r="M111" s="11"/>
    </row>
    <row r="114" spans="14:35" x14ac:dyDescent="0.25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4:35" x14ac:dyDescent="0.2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4:35" x14ac:dyDescent="0.2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4:35" x14ac:dyDescent="0.25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4:35" x14ac:dyDescent="0.2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4:35" x14ac:dyDescent="0.2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30" spans="14:35" ht="15" customHeight="1" x14ac:dyDescent="0.25"/>
    <row r="133" spans="14:35" x14ac:dyDescent="0.25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4:35" x14ac:dyDescent="0.25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4:35" x14ac:dyDescent="0.2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4:35" x14ac:dyDescent="0.25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4:35" x14ac:dyDescent="0.25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4:35" x14ac:dyDescent="0.25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</sheetData>
  <mergeCells count="3">
    <mergeCell ref="AK7:AN8"/>
    <mergeCell ref="A8:D9"/>
    <mergeCell ref="AA8:AD9"/>
  </mergeCells>
  <conditionalFormatting sqref="K12 K13:M43">
    <cfRule type="cellIs" dxfId="4" priority="3" operator="equal">
      <formula>TRUE</formula>
    </cfRule>
  </conditionalFormatting>
  <conditionalFormatting sqref="T55">
    <cfRule type="cellIs" dxfId="3" priority="2" operator="equal">
      <formula>TRUE</formula>
    </cfRule>
  </conditionalFormatting>
  <conditionalFormatting sqref="V56">
    <cfRule type="cellIs" dxfId="2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15361" r:id="rId4">
          <objectPr defaultSize="0" autoPict="0" r:id="rId5">
            <anchor moveWithCells="1">
              <from>
                <xdr:col>40</xdr:col>
                <xdr:colOff>0</xdr:colOff>
                <xdr:row>142</xdr:row>
                <xdr:rowOff>171450</xdr:rowOff>
              </from>
              <to>
                <xdr:col>44</xdr:col>
                <xdr:colOff>285750</xdr:colOff>
                <xdr:row>196</xdr:row>
                <xdr:rowOff>171450</xdr:rowOff>
              </to>
            </anchor>
          </objectPr>
        </oleObject>
      </mc:Choice>
      <mc:Fallback>
        <oleObject progId="Word.Document.12" shapeId="15361" r:id="rId4"/>
      </mc:Fallback>
    </mc:AlternateContent>
    <mc:AlternateContent xmlns:mc="http://schemas.openxmlformats.org/markup-compatibility/2006">
      <mc:Choice Requires="x14">
        <oleObject progId="Word.Document.12" shapeId="15362" r:id="rId6">
          <objectPr defaultSize="0" autoPict="0" r:id="rId7">
            <anchor moveWithCells="1">
              <from>
                <xdr:col>1</xdr:col>
                <xdr:colOff>390525</xdr:colOff>
                <xdr:row>190</xdr:row>
                <xdr:rowOff>123825</xdr:rowOff>
              </from>
              <to>
                <xdr:col>12</xdr:col>
                <xdr:colOff>762000</xdr:colOff>
                <xdr:row>404</xdr:row>
                <xdr:rowOff>142875</xdr:rowOff>
              </to>
            </anchor>
          </objectPr>
        </oleObject>
      </mc:Choice>
      <mc:Fallback>
        <oleObject progId="Word.Document.12" shapeId="15362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F30B-2E22-421F-A268-7F8385038C68}">
  <sheetPr>
    <tabColor theme="5" tint="0.39997558519241921"/>
  </sheetPr>
  <dimension ref="A4:AS78"/>
  <sheetViews>
    <sheetView workbookViewId="0">
      <pane xSplit="1" ySplit="11" topLeftCell="Q12" activePane="bottomRight" state="frozen"/>
      <selection pane="topRight" activeCell="B1" sqref="B1"/>
      <selection pane="bottomLeft" activeCell="A12" sqref="A12"/>
      <selection pane="bottomRight" activeCell="V13" sqref="V13"/>
    </sheetView>
  </sheetViews>
  <sheetFormatPr defaultRowHeight="15" x14ac:dyDescent="0.25"/>
  <cols>
    <col min="1" max="1" width="24" customWidth="1"/>
    <col min="2" max="3" width="9.28515625" bestFit="1" customWidth="1"/>
    <col min="4" max="4" width="12.7109375" customWidth="1"/>
    <col min="5" max="5" width="9.85546875" customWidth="1"/>
    <col min="6" max="6" width="17.7109375" customWidth="1"/>
    <col min="7" max="7" width="16.140625" customWidth="1"/>
    <col min="8" max="8" width="19.28515625" customWidth="1"/>
    <col min="9" max="9" width="18.5703125" customWidth="1"/>
    <col min="10" max="10" width="17" customWidth="1"/>
    <col min="11" max="11" width="15.5703125" customWidth="1"/>
    <col min="12" max="12" width="21.42578125" customWidth="1"/>
    <col min="13" max="13" width="20.140625" customWidth="1"/>
    <col min="14" max="14" width="14.28515625" customWidth="1"/>
    <col min="15" max="15" width="14.7109375" customWidth="1"/>
    <col min="16" max="16" width="17.140625" customWidth="1"/>
    <col min="17" max="17" width="13.5703125" customWidth="1"/>
    <col min="18" max="18" width="12" customWidth="1"/>
    <col min="19" max="19" width="16.85546875" customWidth="1"/>
    <col min="20" max="20" width="14" customWidth="1"/>
    <col min="21" max="21" width="18.28515625" customWidth="1"/>
    <col min="22" max="22" width="18.5703125" customWidth="1"/>
    <col min="23" max="23" width="14.28515625" customWidth="1"/>
    <col min="24" max="24" width="19.42578125" customWidth="1"/>
    <col min="25" max="25" width="16.7109375" customWidth="1"/>
    <col min="26" max="26" width="12.42578125" customWidth="1"/>
    <col min="27" max="27" width="16.42578125" bestFit="1" customWidth="1"/>
    <col min="28" max="28" width="10.28515625" customWidth="1"/>
    <col min="29" max="29" width="8.85546875" bestFit="1" customWidth="1"/>
    <col min="30" max="30" width="8.28515625" bestFit="1" customWidth="1"/>
    <col min="31" max="31" width="8.42578125" bestFit="1" customWidth="1"/>
    <col min="32" max="32" width="11.42578125" customWidth="1"/>
    <col min="33" max="33" width="10.7109375" customWidth="1"/>
    <col min="34" max="34" width="17.85546875" customWidth="1"/>
    <col min="35" max="35" width="13.140625" customWidth="1"/>
    <col min="37" max="37" width="16.42578125" bestFit="1" customWidth="1"/>
    <col min="38" max="38" width="11" bestFit="1" customWidth="1"/>
    <col min="39" max="39" width="11.5703125" bestFit="1" customWidth="1"/>
    <col min="40" max="40" width="10.5703125" bestFit="1" customWidth="1"/>
    <col min="41" max="43" width="11.5703125" bestFit="1" customWidth="1"/>
    <col min="44" max="44" width="20" customWidth="1"/>
    <col min="45" max="45" width="10" bestFit="1" customWidth="1"/>
  </cols>
  <sheetData>
    <row r="4" spans="1:45" x14ac:dyDescent="0.25">
      <c r="Q4" s="78"/>
    </row>
    <row r="6" spans="1:45" x14ac:dyDescent="0.25">
      <c r="R6" s="82"/>
      <c r="T6" s="78"/>
    </row>
    <row r="7" spans="1:45" x14ac:dyDescent="0.25">
      <c r="I7" s="78"/>
      <c r="M7" s="78"/>
      <c r="Q7" s="78"/>
      <c r="AK7" s="162" t="s">
        <v>45</v>
      </c>
      <c r="AL7" s="162"/>
      <c r="AM7" s="163"/>
      <c r="AN7" s="163"/>
    </row>
    <row r="8" spans="1:45" x14ac:dyDescent="0.25">
      <c r="AA8" s="162" t="s">
        <v>48</v>
      </c>
      <c r="AB8" s="162"/>
      <c r="AC8" s="163"/>
      <c r="AD8" s="163"/>
      <c r="AK8" s="162"/>
      <c r="AL8" s="162"/>
      <c r="AM8" s="163"/>
      <c r="AN8" s="163"/>
    </row>
    <row r="9" spans="1:45" x14ac:dyDescent="0.25">
      <c r="AA9" s="162"/>
      <c r="AB9" s="162"/>
      <c r="AC9" s="163"/>
      <c r="AD9" s="163"/>
    </row>
    <row r="10" spans="1:45" x14ac:dyDescent="0.25">
      <c r="L10" s="22"/>
      <c r="Q10" s="79"/>
      <c r="R10" s="79"/>
      <c r="T10" s="81"/>
    </row>
    <row r="11" spans="1:45" ht="66" customHeight="1" x14ac:dyDescent="0.25">
      <c r="A11" s="46" t="s">
        <v>76</v>
      </c>
      <c r="B11" s="46" t="s">
        <v>46</v>
      </c>
      <c r="C11" s="46" t="s">
        <v>47</v>
      </c>
      <c r="D11" s="46" t="s">
        <v>54</v>
      </c>
      <c r="E11" s="46" t="s">
        <v>56</v>
      </c>
      <c r="F11" s="46" t="s">
        <v>77</v>
      </c>
      <c r="G11" s="46" t="s">
        <v>65</v>
      </c>
      <c r="H11" s="46" t="s">
        <v>10</v>
      </c>
      <c r="I11" s="46" t="s">
        <v>57</v>
      </c>
      <c r="J11" s="46" t="s">
        <v>62</v>
      </c>
      <c r="K11" s="46" t="s">
        <v>58</v>
      </c>
      <c r="L11" s="46" t="s">
        <v>63</v>
      </c>
      <c r="M11" s="46" t="s">
        <v>64</v>
      </c>
      <c r="N11" s="46" t="s">
        <v>49</v>
      </c>
      <c r="O11" s="46" t="s">
        <v>0</v>
      </c>
      <c r="P11" s="46" t="s">
        <v>67</v>
      </c>
      <c r="Q11" s="46" t="s">
        <v>68</v>
      </c>
      <c r="R11" s="46" t="s">
        <v>72</v>
      </c>
      <c r="S11" s="46" t="s">
        <v>74</v>
      </c>
      <c r="T11" s="46" t="s">
        <v>75</v>
      </c>
      <c r="U11" s="46" t="s">
        <v>59</v>
      </c>
      <c r="V11" s="46" t="s">
        <v>60</v>
      </c>
      <c r="W11" s="46" t="s">
        <v>66</v>
      </c>
      <c r="X11" s="46" t="s">
        <v>29</v>
      </c>
      <c r="Y11" s="47" t="s">
        <v>52</v>
      </c>
      <c r="AA11" s="17" t="s">
        <v>26</v>
      </c>
      <c r="AB11" s="17" t="s">
        <v>27</v>
      </c>
      <c r="AC11" s="17" t="s">
        <v>28</v>
      </c>
      <c r="AD11" s="17" t="s">
        <v>10</v>
      </c>
      <c r="AE11" s="17" t="s">
        <v>0</v>
      </c>
      <c r="AF11" s="17" t="s">
        <v>43</v>
      </c>
      <c r="AG11" s="17" t="s">
        <v>44</v>
      </c>
      <c r="AH11" s="17" t="s">
        <v>29</v>
      </c>
      <c r="AI11" s="17" t="s">
        <v>52</v>
      </c>
      <c r="AK11" s="17" t="s">
        <v>26</v>
      </c>
      <c r="AL11" s="17" t="s">
        <v>27</v>
      </c>
      <c r="AM11" s="17" t="s">
        <v>28</v>
      </c>
      <c r="AN11" s="17" t="s">
        <v>10</v>
      </c>
      <c r="AO11" s="17" t="s">
        <v>0</v>
      </c>
      <c r="AP11" s="17" t="s">
        <v>43</v>
      </c>
      <c r="AQ11" s="17" t="s">
        <v>44</v>
      </c>
      <c r="AR11" s="17" t="s">
        <v>29</v>
      </c>
      <c r="AS11" s="17" t="s">
        <v>52</v>
      </c>
    </row>
    <row r="12" spans="1:45" ht="30" x14ac:dyDescent="0.25">
      <c r="A12" s="95" t="str" cm="1">
        <f t="array" ref="A12:A43">AA12:AA43</f>
        <v>Benefit Effective Date</v>
      </c>
      <c r="B12" s="48" cm="1">
        <f t="array" ref="B12:B43">_xlfn.SCAN(1,_xlfn.ANCHORARRAY($A12),_xlfn.LAMBDA(_xlpm.accum,_xlpm.ValuesAsOf,IFERROR(IF(FIND("Anniversary",_xlpm.ValuesAsOf)&gt;0,_xlpm.accum+1,_xlpm.accum),_xlpm.accum)))</f>
        <v>1</v>
      </c>
      <c r="C12" s="49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50" cm="1">
        <f t="array" ref="D12:D43">_xlfn.MAP(_xlfn.ANCHORARRAY(B12),_xlfn.ANCHORARRAY(C12),_xlfn.LAMBDA(_xlpm.year,_xlpm.day,_xlpm.year+_xlpm.day/365-1))</f>
        <v>0</v>
      </c>
      <c r="E12" s="50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50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0" cm="1">
        <f t="array" ref="G12:G43">AM12:AM43</f>
        <v>100000</v>
      </c>
      <c r="H12" s="100" cm="1">
        <f t="array" ref="H12:H43">AN12:AN43</f>
        <v>0</v>
      </c>
      <c r="I12" s="50" t="b" cm="1">
        <f t="array" ref="I12:I43">_xlfn.ANCHORARRAY(G12)&lt;0.01</f>
        <v>0</v>
      </c>
      <c r="J12" s="51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51" t="b" cm="1">
        <f t="array" ref="K12:K43">_xlfn.ANCHORARRAY($C12)=0</f>
        <v>1</v>
      </c>
      <c r="L12" s="52" cm="1">
        <f t="array" ref="L12">_xlfn.MAP($E12,$H12,$G12,_xlfn.LAMBDA(_xlpm.IsActivation,_xlpm.wdTaken,_xlpm.ContractValue,IF(NOT(_xlpm.IsActivation),_xlpm.wdTaken/_xlpm.ContractValue,0)))</f>
        <v>0</v>
      </c>
      <c r="M12" s="52" cm="1">
        <f t="array" aca="1" ref="M12" ca="1">_xlfn.MAP(OFFSET($X12,-1,0),$E12,$H12,$G12,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2" s="52" cm="1">
        <f t="array" ref="N12">_xlfn.MAP($I12,$H12,$L12,$M12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2" s="53" cm="1">
        <f t="array" aca="1" ref="O12" ca="1">_xlfn.MAP(OFFSET($O12,-1,0),OFFSET($W12,-1,0),$G12,$F12,
         _xlfn.LAMBDA(_xlpm.prevStepUp,_xlpm.prevIncomeBase,_xlpm.contractValue,_xlpm.ppInvested,IF(_xlpm.contractValue-_xlpm.ppInvested&gt;MAX(_xlpm.prevStepUp,_xlpm.prevIncomeBase),_xlpm.contractValue,0)))</f>
        <v>0</v>
      </c>
      <c r="P12" s="54" cm="1">
        <f t="array" ref="P12">_xlfn.MAP($J12,$D12,_xlfn.LAMBDA(_xlpm.hasWdOccurrAfterAct,_xlpm.timeFromValuation,IF(_xlpm.hasWdOccurrAfterAct,0,(1+INT(_xlpm.timeFromValuation)*Minimum_Income_Base_Percentage))*InitialPurchasePayment))</f>
        <v>100000</v>
      </c>
      <c r="Q12" s="54" t="e" cm="1">
        <f t="array" aca="1" ref="Q12" ca="1">_xlfn.MAP($J12,$D12,_xlfn.LAMBDA(_xlpm.hasWdOccurredAfterActivation,_xlpm.timeFromValuation,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2" s="54" t="e" cm="1">
        <f t="array" aca="1" ref="R12" ca="1">_xlfn.MAP($J12,$D12,_xlfn.LAMBDA(_xlpm.hasWdOccurredAfterActivation,_xlpm.timeFromValuation,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2" s="80" cm="1">
        <f t="array" aca="1" ref="S12:S43" ca="1">_xlfn.MAP(_xlfn.ANCHORARRAY(J12),_xlfn.SCAN(1,$N12:$N43,_xlfn.LAMBDA(_xlpm.accum,_xlpm.current,_xlpm.accum*_xlpm.current)),_xlfn.LAMBDA(_xlpm.hasWdOccurredAfterActivation,_xlpm.wdPenaltyAccum,IF(_xlpm.hasWdOccurredAfterActivation,0,1)*_xlpm.wdPenaltyAccum))</f>
        <v>1</v>
      </c>
      <c r="T12" s="50" t="e" cm="1">
        <f t="array" aca="1" ref="T12" ca="1">_xlfn.MAP($P12,$Q12,$R12,$S12,_xlfn.LAMBDA(_xlpm.startMinIncomeBase,_xlpm.pp1_,_xlpm.pp2_,_xlpm.accumWdPenalty,(_xlpm.startMinIncomeBase+_xlpm.pp1_+_xlpm.pp2_)*_xlpm.accumWdPenalty))</f>
        <v>#NAME?</v>
      </c>
      <c r="U12" s="54" cm="1">
        <f t="array" aca="1" ref="U12" ca="1">_xlfn.MAP($D12,$F12,_xlfn.LAMBDA(_xlpm.timeFromVal,_xlpm.ppInvested,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100000</v>
      </c>
      <c r="V12" s="54" cm="1">
        <f t="array" aca="1" ref="V12" ca="1">_xlfn.LET(_xlpm.maxStepValuePreviousYear,_xlfn.LAMBDA(_xlpm.year,_xlfn.MAXIFS($O$12:$O$43,_xlfn.ANCHORARRAY($B$12),_xlpm.year-1)),
_xlfn.MAP(OFFSET($W12,-1,0),$D12,$J12,$K12,$G12,$B12,$E12,OFFSET($V12,-1,0),$N12,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2" s="54" cm="1">
        <f t="array" aca="1" ref="W12" ca="1">_xlfn.MAP($U12,$V12,_xlfn.LAMBDA(_xlpm.preActIB,_xlpm.postActIB, _xlpm.preActIB+_xlpm.postActIB))</f>
        <v>100000</v>
      </c>
      <c r="X12" s="55" cm="1">
        <f t="array" aca="1" ref="X12" ca="1">_xlfn.MAP($I12,$W12,_xlfn.SEQUENCE(1,,MAW,0),_xlfn.LAMBDA(_xlpm.hasLifetimeIncomeStarted,_xlpm.IB,_xlpm.mawd,IF(NOT(_xlpm.hasLifetimeIncomeStarted),_xlpm.IB*_xlpm.mawd,0)))</f>
        <v>6000</v>
      </c>
      <c r="Y12" s="56" cm="1">
        <f t="array" ref="Y12">_xlfn.MAP($I12,$K12,$W12,_xlfn.LAMBDA(_xlpm.HasLifetimeIncomeStarted,_xlpm.IsAnn,_xlpm.IncomeBase,IF(AND(_xlpm.HasLifetimeIncomeStarted,_xlpm.IsAnn),PIP*_xlpm.IncomeBase,0)))</f>
        <v>0</v>
      </c>
      <c r="Z12" s="83"/>
      <c r="AA12" s="23" t="s">
        <v>1</v>
      </c>
      <c r="AB12" s="14">
        <f t="shared" ref="AB12:AB43" si="0">F12-AL12</f>
        <v>0</v>
      </c>
      <c r="AC12" s="14">
        <f t="shared" ref="AC12:AC43" si="1">G12-AM12</f>
        <v>0</v>
      </c>
      <c r="AD12" s="14">
        <f t="shared" ref="AD12:AD43" si="2">H12-AN12</f>
        <v>0</v>
      </c>
      <c r="AE12" s="14">
        <f ca="1">O12-AO12</f>
        <v>0</v>
      </c>
      <c r="AF12" s="14" t="e">
        <f t="shared" ref="AF12:AF43" ca="1" si="3">T12-AP12</f>
        <v>#NAME?</v>
      </c>
      <c r="AG12" s="14">
        <f t="shared" ref="AG12:AG43" ca="1" si="4">W12-AQ12</f>
        <v>0</v>
      </c>
      <c r="AH12" s="14">
        <f t="shared" ref="AH12:AH43" ca="1" si="5">X12-AR12</f>
        <v>0</v>
      </c>
      <c r="AI12" s="14">
        <f t="shared" ref="AI12:AI43" si="6">Y12-AS12</f>
        <v>0</v>
      </c>
      <c r="AK12" s="23" t="s">
        <v>1</v>
      </c>
      <c r="AL12" s="24">
        <v>100000</v>
      </c>
      <c r="AM12" s="24">
        <v>100000</v>
      </c>
      <c r="AN12" s="25">
        <v>0</v>
      </c>
      <c r="AO12" s="21">
        <v>0</v>
      </c>
      <c r="AP12" s="18">
        <v>100000</v>
      </c>
      <c r="AQ12" s="18">
        <v>100000</v>
      </c>
      <c r="AR12" s="18">
        <v>6000</v>
      </c>
      <c r="AS12" s="21">
        <v>0</v>
      </c>
    </row>
    <row r="13" spans="1:45" x14ac:dyDescent="0.25">
      <c r="A13" s="96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1">
        <v>102000</v>
      </c>
      <c r="H13" s="101">
        <v>0</v>
      </c>
      <c r="I13" s="59" t="b">
        <v>0</v>
      </c>
      <c r="J13" s="60" t="b">
        <v>0</v>
      </c>
      <c r="K13" s="60" t="b">
        <v>0</v>
      </c>
      <c r="L13" s="59" cm="1">
        <f t="array" ref="L13">_xlfn.MAP($E13,$H13,$G13,_xlfn.LAMBDA(_xlpm.IsActivation,_xlpm.wdTaken,_xlpm.ContractValue,IF(NOT(_xlpm.IsActivation),_xlpm.wdTaken/_xlpm.ContractValue,0)))</f>
        <v>0</v>
      </c>
      <c r="M13" s="59" cm="1">
        <f t="array" aca="1" ref="M13" ca="1">_xlfn.MAP(OFFSET($X13,-1,0),$E13,$H13,$G13,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3" s="61" cm="1">
        <f t="array" ref="N13">_xlfn.MAP($I13,$H13,$L13,$M13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3" s="62" cm="1">
        <f t="array" aca="1" ref="O13" ca="1">_xlfn.MAP(OFFSET($O13,-1,0),OFFSET($W13,-1,0),$G13,$F13,
         _xlfn.LAMBDA(_xlpm.prevStepUp,_xlpm.prevIncomeBase,_xlpm.contractValue,_xlpm.ppInvested,IF(_xlpm.contractValue-_xlpm.ppInvested&gt;MAX(_xlpm.prevStepUp,_xlpm.prevIncomeBase),_xlpm.contractValue,0)))</f>
        <v>102000</v>
      </c>
      <c r="P13" s="63" cm="1">
        <f t="array" ref="P13">_xlfn.MAP($J13,$D13,_xlfn.LAMBDA(_xlpm.hasWdOccurrAfterAct,_xlpm.timeFromValuation,IF(_xlpm.hasWdOccurrAfterAct,0,(1+INT(_xlpm.timeFromValuation)*Minimum_Income_Base_Percentage))*InitialPurchasePayment))</f>
        <v>100000</v>
      </c>
      <c r="Q13" s="63" t="e" cm="1">
        <f t="array" aca="1" ref="Q13" ca="1">_xlfn.MAP($J13,$D13,_xlfn.LAMBDA(_xlpm.hasWdOccurredAfterActivation,_xlpm.timeFromValuation,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3" s="63" t="e" cm="1">
        <f t="array" aca="1" ref="R13" ca="1">_xlfn.MAP($J13,$D13,_xlfn.LAMBDA(_xlpm.hasWdOccurredAfterActivation,_xlpm.timeFromValuation,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3" s="63">
        <f ca="1"/>
        <v>1</v>
      </c>
      <c r="T13" s="59" t="e" cm="1">
        <f t="array" aca="1" ref="T13" ca="1">_xlfn.MAP($P13,$Q13,$R13,$S13,_xlfn.LAMBDA(_xlpm.startMinIncomeBase,_xlpm.pp1_,_xlpm.pp2_,_xlpm.accumWdPenalty,(_xlpm.startMinIncomeBase+_xlpm.pp1_+_xlpm.pp2_)*_xlpm.accumWdPenalty))</f>
        <v>#NAME?</v>
      </c>
      <c r="U13" s="62" cm="1">
        <f t="array" aca="1" ref="U13" ca="1">_xlfn.MAP($D13,$F13,_xlfn.LAMBDA(_xlpm.timeFromVal,_xlpm.ppInvested,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102000</v>
      </c>
      <c r="V13" s="64" cm="1">
        <f t="array" aca="1" ref="V13" ca="1">_xlfn.LET(_xlpm.maxStepValuePreviousYear,_xlfn.LAMBDA(_xlpm.year,_xlfn.MAXIFS($O$12:$O$43,_xlfn.ANCHORARRAY($B$12),_xlpm.year-1)),
_xlfn.MAP(OFFSET($W13,-1,0),$D13,$J13,$K13,$G13,$B13,$E13,OFFSET($V13,-1,0),$N13,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3" s="64" cm="1">
        <f t="array" aca="1" ref="W13" ca="1">_xlfn.MAP($U13,$V13,_xlfn.LAMBDA(_xlpm.preActIB,_xlpm.postActIB, _xlpm.preActIB+_xlpm.postActIB))</f>
        <v>102000</v>
      </c>
      <c r="X13" s="65" cm="1">
        <f t="array" aca="1" ref="X13" ca="1">_xlfn.MAP($I13,$W13,_xlfn.SEQUENCE(1,,MAW,0),_xlfn.LAMBDA(_xlpm.hasLifetimeIncomeStarted,_xlpm.IB,_xlpm.mawd,IF(NOT(_xlpm.hasLifetimeIncomeStarted),_xlpm.IB*_xlpm.mawd,0)))</f>
        <v>6120</v>
      </c>
      <c r="Y13" s="66" cm="1">
        <f t="array" ref="Y13">_xlfn.MAP($I13,$K13,$W13,_xlfn.LAMBDA(_xlpm.HasLifetimeIncomeStarted,_xlpm.IsAnn,_xlpm.IncomeBase,IF(AND(_xlpm.HasLifetimeIncomeStarted,_xlpm.IsAnn),PIP*_xlpm.IncomeBase,0)))</f>
        <v>0</v>
      </c>
      <c r="Z13" s="83"/>
      <c r="AA13" s="26" t="s">
        <v>2</v>
      </c>
      <c r="AB13" s="14">
        <f t="shared" si="0"/>
        <v>0</v>
      </c>
      <c r="AC13" s="14">
        <f t="shared" si="1"/>
        <v>0</v>
      </c>
      <c r="AD13" s="14">
        <f t="shared" si="2"/>
        <v>0</v>
      </c>
      <c r="AE13" s="14">
        <f ca="1">Calculations[[#This Row],[Step-up Value]]-AO13</f>
        <v>0</v>
      </c>
      <c r="AF13" s="14" t="e">
        <f t="shared" ca="1" si="3"/>
        <v>#NAME?</v>
      </c>
      <c r="AG13" s="14">
        <f t="shared" ca="1" si="4"/>
        <v>0</v>
      </c>
      <c r="AH13" s="14">
        <f t="shared" ca="1" si="5"/>
        <v>0</v>
      </c>
      <c r="AI13" s="14">
        <f t="shared" si="6"/>
        <v>0</v>
      </c>
      <c r="AK13" s="26" t="s">
        <v>2</v>
      </c>
      <c r="AL13" s="25">
        <v>0</v>
      </c>
      <c r="AM13" s="25">
        <v>102000</v>
      </c>
      <c r="AN13" s="25">
        <v>0</v>
      </c>
      <c r="AO13" s="21">
        <v>102000</v>
      </c>
      <c r="AP13" s="21">
        <v>100000</v>
      </c>
      <c r="AQ13" s="21">
        <v>102000</v>
      </c>
      <c r="AR13" s="21">
        <v>6120</v>
      </c>
      <c r="AS13" s="21">
        <v>0</v>
      </c>
    </row>
    <row r="14" spans="1:45" x14ac:dyDescent="0.25">
      <c r="A14" s="95" t="str">
        <v>Year 1 – Day 105</v>
      </c>
      <c r="B14" s="48">
        <v>1</v>
      </c>
      <c r="C14" s="49">
        <v>105</v>
      </c>
      <c r="D14" s="50">
        <v>0.28767123287671237</v>
      </c>
      <c r="E14" s="50" t="b">
        <v>0</v>
      </c>
      <c r="F14" s="50">
        <v>0</v>
      </c>
      <c r="G14" s="100">
        <v>105000</v>
      </c>
      <c r="H14" s="100">
        <v>0</v>
      </c>
      <c r="I14" s="50" t="b">
        <v>0</v>
      </c>
      <c r="J14" s="51" t="b">
        <v>0</v>
      </c>
      <c r="K14" s="51" t="b">
        <v>0</v>
      </c>
      <c r="L14" s="50" cm="1">
        <f t="array" ref="L14">_xlfn.MAP($E14,$H14,$G14,_xlfn.LAMBDA(_xlpm.IsActivation,_xlpm.wdTaken,_xlpm.ContractValue,IF(NOT(_xlpm.IsActivation),_xlpm.wdTaken/_xlpm.ContractValue,0)))</f>
        <v>0</v>
      </c>
      <c r="M14" s="50" cm="1">
        <f t="array" aca="1" ref="M14" ca="1">_xlfn.MAP(OFFSET($X14,-1,0),$E14,$H14,$G14,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4" s="52" cm="1">
        <f t="array" ref="N14">_xlfn.MAP($I14,$H14,$L14,$M14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4" s="53" cm="1">
        <f t="array" aca="1" ref="O14" ca="1">_xlfn.MAP(OFFSET($O14,-1,0),OFFSET($W14,-1,0),$G14,$F14,
         _xlfn.LAMBDA(_xlpm.prevStepUp,_xlpm.prevIncomeBase,_xlpm.contractValue,_xlpm.ppInvested,IF(_xlpm.contractValue-_xlpm.ppInvested&gt;MAX(_xlpm.prevStepUp,_xlpm.prevIncomeBase),_xlpm.contractValue,0)))</f>
        <v>105000</v>
      </c>
      <c r="P14" s="54" cm="1">
        <f t="array" ref="P14">_xlfn.MAP($J14,$D14,_xlfn.LAMBDA(_xlpm.hasWdOccurrAfterAct,_xlpm.timeFromValuation,IF(_xlpm.hasWdOccurrAfterAct,0,(1+INT(_xlpm.timeFromValuation)*Minimum_Income_Base_Percentage))*InitialPurchasePayment))</f>
        <v>100000</v>
      </c>
      <c r="Q14" s="54" t="e" cm="1">
        <f t="array" aca="1" ref="Q14" ca="1">_xlfn.MAP($J14,$D14,_xlfn.LAMBDA(_xlpm.hasWdOccurredAfterActivation,_xlpm.timeFromValuation,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4" s="54" t="e" cm="1">
        <f t="array" aca="1" ref="R14" ca="1">_xlfn.MAP($J14,$D14,_xlfn.LAMBDA(_xlpm.hasWdOccurredAfterActivation,_xlpm.timeFromValuation,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4" s="54">
        <f ca="1"/>
        <v>1</v>
      </c>
      <c r="T14" s="50" t="e" cm="1">
        <f t="array" aca="1" ref="T14" ca="1">_xlfn.MAP($P14,$Q14,$R14,$S14,_xlfn.LAMBDA(_xlpm.startMinIncomeBase,_xlpm.pp1_,_xlpm.pp2_,_xlpm.accumWdPenalty,(_xlpm.startMinIncomeBase+_xlpm.pp1_+_xlpm.pp2_)*_xlpm.accumWdPenalty))</f>
        <v>#NAME?</v>
      </c>
      <c r="U14" s="53" cm="1">
        <f t="array" aca="1" ref="U14" ca="1">_xlfn.MAP($D14,$F14,_xlfn.LAMBDA(_xlpm.timeFromVal,_xlpm.ppInvested,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105000</v>
      </c>
      <c r="V14" s="67" cm="1">
        <f t="array" aca="1" ref="V14" ca="1">_xlfn.LET(_xlpm.maxStepValuePreviousYear,_xlfn.LAMBDA(_xlpm.year,_xlfn.MAXIFS($O$12:$O$43,_xlfn.ANCHORARRAY($B$12),_xlpm.year-1)),
_xlfn.MAP(OFFSET($W14,-1,0),$D14,$J14,$K14,$G14,$B14,$E14,OFFSET($V14,-1,0),$N14,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4" s="67" cm="1">
        <f t="array" aca="1" ref="W14" ca="1">_xlfn.MAP($U14,$V14,_xlfn.LAMBDA(_xlpm.preActIB,_xlpm.postActIB, _xlpm.preActIB+_xlpm.postActIB))</f>
        <v>105000</v>
      </c>
      <c r="X14" s="55" cm="1">
        <f t="array" aca="1" ref="X14" ca="1">_xlfn.MAP($I14,$W14,_xlfn.SEQUENCE(1,,MAW,0),_xlfn.LAMBDA(_xlpm.hasLifetimeIncomeStarted,_xlpm.IB,_xlpm.mawd,IF(NOT(_xlpm.hasLifetimeIncomeStarted),_xlpm.IB*_xlpm.mawd,0)))</f>
        <v>6300</v>
      </c>
      <c r="Y14" s="56" cm="1">
        <f t="array" ref="Y14">_xlfn.MAP($I14,$K14,$W14,_xlfn.LAMBDA(_xlpm.HasLifetimeIncomeStarted,_xlpm.IsAnn,_xlpm.IncomeBase,IF(AND(_xlpm.HasLifetimeIncomeStarted,_xlpm.IsAnn),PIP*_xlpm.IncomeBase,0)))</f>
        <v>0</v>
      </c>
      <c r="Z14" s="83"/>
      <c r="AA14" s="26" t="s">
        <v>3</v>
      </c>
      <c r="AB14" s="14">
        <f t="shared" si="0"/>
        <v>0</v>
      </c>
      <c r="AC14" s="14">
        <f t="shared" si="1"/>
        <v>0</v>
      </c>
      <c r="AD14" s="14">
        <f t="shared" si="2"/>
        <v>0</v>
      </c>
      <c r="AE14" s="14">
        <f ca="1">Calculations[[#This Row],[Step-up Value]]-AO14</f>
        <v>0</v>
      </c>
      <c r="AF14" s="14" t="e">
        <f t="shared" ca="1" si="3"/>
        <v>#NAME?</v>
      </c>
      <c r="AG14" s="14">
        <f t="shared" ca="1" si="4"/>
        <v>0</v>
      </c>
      <c r="AH14" s="14">
        <f t="shared" ca="1" si="5"/>
        <v>0</v>
      </c>
      <c r="AI14" s="14">
        <f t="shared" si="6"/>
        <v>0</v>
      </c>
      <c r="AK14" s="26" t="s">
        <v>3</v>
      </c>
      <c r="AL14" s="25">
        <v>0</v>
      </c>
      <c r="AM14" s="25">
        <v>105000</v>
      </c>
      <c r="AN14" s="25">
        <v>0</v>
      </c>
      <c r="AO14" s="21">
        <v>105000</v>
      </c>
      <c r="AP14" s="21">
        <v>100000</v>
      </c>
      <c r="AQ14" s="21">
        <v>105000</v>
      </c>
      <c r="AR14" s="21">
        <v>6300</v>
      </c>
      <c r="AS14" s="21">
        <v>0</v>
      </c>
    </row>
    <row r="15" spans="1:45" x14ac:dyDescent="0.25">
      <c r="A15" s="96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1">
        <v>162000</v>
      </c>
      <c r="H15" s="101">
        <v>0</v>
      </c>
      <c r="I15" s="59" t="b">
        <v>0</v>
      </c>
      <c r="J15" s="60" t="b">
        <v>0</v>
      </c>
      <c r="K15" s="60" t="b">
        <v>0</v>
      </c>
      <c r="L15" s="59" cm="1">
        <f t="array" ref="L15">_xlfn.MAP($E15,$H15,$G15,_xlfn.LAMBDA(_xlpm.IsActivation,_xlpm.wdTaken,_xlpm.ContractValue,IF(NOT(_xlpm.IsActivation),_xlpm.wdTaken/_xlpm.ContractValue,0)))</f>
        <v>0</v>
      </c>
      <c r="M15" s="59" cm="1">
        <f t="array" aca="1" ref="M15" ca="1">_xlfn.MAP(OFFSET($X15,-1,0),$E15,$H15,$G15,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5" s="61" cm="1">
        <f t="array" ref="N15">_xlfn.MAP($I15,$H15,$L15,$M15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5" s="62" cm="1">
        <f t="array" aca="1" ref="O15" ca="1">_xlfn.MAP(OFFSET($O15,-1,0),OFFSET($W15,-1,0),$G15,$F15,
         _xlfn.LAMBDA(_xlpm.prevStepUp,_xlpm.prevIncomeBase,_xlpm.contractValue,_xlpm.ppInvested,IF(_xlpm.contractValue-_xlpm.ppInvested&gt;MAX(_xlpm.prevStepUp,_xlpm.prevIncomeBase),_xlpm.contractValue,0)))</f>
        <v>0</v>
      </c>
      <c r="P15" s="63" cm="1">
        <f t="array" ref="P15">_xlfn.MAP($J15,$D15,_xlfn.LAMBDA(_xlpm.hasWdOccurrAfterAct,_xlpm.timeFromValuation,IF(_xlpm.hasWdOccurrAfterAct,0,(1+INT(_xlpm.timeFromValuation)*Minimum_Income_Base_Percentage))*InitialPurchasePayment))</f>
        <v>100000</v>
      </c>
      <c r="Q15" s="63" t="e" cm="1">
        <f t="array" aca="1" ref="Q15" ca="1">_xlfn.MAP($J15,$D15,_xlfn.LAMBDA(_xlpm.hasWdOccurredAfterActivation,_xlpm.timeFromValuation,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5" s="63" t="e" cm="1">
        <f t="array" aca="1" ref="R15" ca="1">_xlfn.MAP($J15,$D15,_xlfn.LAMBDA(_xlpm.hasWdOccurredAfterActivation,_xlpm.timeFromValuation,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5" s="63">
        <f ca="1"/>
        <v>1</v>
      </c>
      <c r="T15" s="59" t="e" cm="1">
        <f t="array" aca="1" ref="T15" ca="1">_xlfn.MAP($P15,$Q15,$R15,$S15,_xlfn.LAMBDA(_xlpm.startMinIncomeBase,_xlpm.pp1_,_xlpm.pp2_,_xlpm.accumWdPenalty,(_xlpm.startMinIncomeBase+_xlpm.pp1_+_xlpm.pp2_)*_xlpm.accumWdPenalty))</f>
        <v>#NAME?</v>
      </c>
      <c r="U15" s="62" cm="1">
        <f t="array" aca="1" ref="U15" ca="1">_xlfn.MAP($D15,$F15,_xlfn.LAMBDA(_xlpm.timeFromVal,_xlpm.ppInvested,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165000</v>
      </c>
      <c r="V15" s="64" cm="1">
        <f t="array" aca="1" ref="V15" ca="1">_xlfn.LET(_xlpm.maxStepValuePreviousYear,_xlfn.LAMBDA(_xlpm.year,_xlfn.MAXIFS($O$12:$O$43,_xlfn.ANCHORARRAY($B$12),_xlpm.year-1)),
_xlfn.MAP(OFFSET($W15,-1,0),$D15,$J15,$K15,$G15,$B15,$E15,OFFSET($V15,-1,0),$N15,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5" s="64" cm="1">
        <f t="array" aca="1" ref="W15" ca="1">_xlfn.MAP($U15,$V15,_xlfn.LAMBDA(_xlpm.preActIB,_xlpm.postActIB, _xlpm.preActIB+_xlpm.postActIB))</f>
        <v>165000</v>
      </c>
      <c r="X15" s="65" cm="1">
        <f t="array" aca="1" ref="X15" ca="1">_xlfn.MAP($I15,$W15,_xlfn.SEQUENCE(1,,MAW,0),_xlfn.LAMBDA(_xlpm.hasLifetimeIncomeStarted,_xlpm.IB,_xlpm.mawd,IF(NOT(_xlpm.hasLifetimeIncomeStarted),_xlpm.IB*_xlpm.mawd,0)))</f>
        <v>9900</v>
      </c>
      <c r="Y15" s="66" cm="1">
        <f t="array" ref="Y15">_xlfn.MAP($I15,$K15,$W15,_xlfn.LAMBDA(_xlpm.HasLifetimeIncomeStarted,_xlpm.IsAnn,_xlpm.IncomeBase,IF(AND(_xlpm.HasLifetimeIncomeStarted,_xlpm.IsAnn),PIP*_xlpm.IncomeBase,0)))</f>
        <v>0</v>
      </c>
      <c r="Z15" s="83"/>
      <c r="AA15" s="26" t="s">
        <v>4</v>
      </c>
      <c r="AB15" s="14">
        <f t="shared" si="0"/>
        <v>0</v>
      </c>
      <c r="AC15" s="14">
        <f t="shared" si="1"/>
        <v>0</v>
      </c>
      <c r="AD15" s="14">
        <f t="shared" si="2"/>
        <v>0</v>
      </c>
      <c r="AE15" s="14">
        <f ca="1">Calculations[[#This Row],[Step-up Value]]-AO15</f>
        <v>0</v>
      </c>
      <c r="AF15" s="14" t="e">
        <f t="shared" ca="1" si="3"/>
        <v>#NAME?</v>
      </c>
      <c r="AG15" s="14">
        <f t="shared" ca="1" si="4"/>
        <v>0</v>
      </c>
      <c r="AH15" s="14">
        <f t="shared" ca="1" si="5"/>
        <v>0</v>
      </c>
      <c r="AI15" s="14">
        <f t="shared" si="6"/>
        <v>0</v>
      </c>
      <c r="AK15" s="26" t="s">
        <v>4</v>
      </c>
      <c r="AL15" s="25">
        <v>60000</v>
      </c>
      <c r="AM15" s="25">
        <v>162000</v>
      </c>
      <c r="AN15" s="25">
        <v>0</v>
      </c>
      <c r="AO15" s="21">
        <v>0</v>
      </c>
      <c r="AP15" s="21">
        <v>160000</v>
      </c>
      <c r="AQ15" s="21">
        <v>165000</v>
      </c>
      <c r="AR15" s="21">
        <v>9900</v>
      </c>
      <c r="AS15" s="21">
        <v>0</v>
      </c>
    </row>
    <row r="16" spans="1:45" x14ac:dyDescent="0.25">
      <c r="A16" s="95" t="str">
        <v>Year 1 – Day 300</v>
      </c>
      <c r="B16" s="48">
        <v>1</v>
      </c>
      <c r="C16" s="49">
        <v>300</v>
      </c>
      <c r="D16" s="50">
        <v>0.82191780821917804</v>
      </c>
      <c r="E16" s="50" t="b">
        <v>0</v>
      </c>
      <c r="F16" s="50">
        <v>0</v>
      </c>
      <c r="G16" s="100">
        <v>166000</v>
      </c>
      <c r="H16" s="100">
        <v>0</v>
      </c>
      <c r="I16" s="50" t="b">
        <v>0</v>
      </c>
      <c r="J16" s="51" t="b">
        <v>0</v>
      </c>
      <c r="K16" s="51" t="b">
        <v>0</v>
      </c>
      <c r="L16" s="50" cm="1">
        <f t="array" ref="L16">_xlfn.MAP($E16,$H16,$G16,_xlfn.LAMBDA(_xlpm.IsActivation,_xlpm.wdTaken,_xlpm.ContractValue,IF(NOT(_xlpm.IsActivation),_xlpm.wdTaken/_xlpm.ContractValue,0)))</f>
        <v>0</v>
      </c>
      <c r="M16" s="50" cm="1">
        <f t="array" aca="1" ref="M16" ca="1">_xlfn.MAP(OFFSET($X16,-1,0),$E16,$H16,$G16,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6" s="52" cm="1">
        <f t="array" ref="N16">_xlfn.MAP($I16,$H16,$L16,$M16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6" s="53" cm="1">
        <f t="array" aca="1" ref="O16" ca="1">_xlfn.MAP(OFFSET($O16,-1,0),OFFSET($W16,-1,0),$G16,$F16,
         _xlfn.LAMBDA(_xlpm.prevStepUp,_xlpm.prevIncomeBase,_xlpm.contractValue,_xlpm.ppInvested,IF(_xlpm.contractValue-_xlpm.ppInvested&gt;MAX(_xlpm.prevStepUp,_xlpm.prevIncomeBase),_xlpm.contractValue,0)))</f>
        <v>166000</v>
      </c>
      <c r="P16" s="54" cm="1">
        <f t="array" ref="P16">_xlfn.MAP($J16,$D16,_xlfn.LAMBDA(_xlpm.hasWdOccurrAfterAct,_xlpm.timeFromValuation,IF(_xlpm.hasWdOccurrAfterAct,0,(1+INT(_xlpm.timeFromValuation)*Minimum_Income_Base_Percentage))*InitialPurchasePayment))</f>
        <v>100000</v>
      </c>
      <c r="Q16" s="54" t="e" cm="1">
        <f t="array" aca="1" ref="Q16" ca="1">_xlfn.MAP($J16,$D16,_xlfn.LAMBDA(_xlpm.hasWdOccurredAfterActivation,_xlpm.timeFromValuation,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6" s="54" t="e" cm="1">
        <f t="array" aca="1" ref="R16" ca="1">_xlfn.MAP($J16,$D16,_xlfn.LAMBDA(_xlpm.hasWdOccurredAfterActivation,_xlpm.timeFromValuation,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6" s="54">
        <f ca="1"/>
        <v>1</v>
      </c>
      <c r="T16" s="50" t="e" cm="1">
        <f t="array" aca="1" ref="T16" ca="1">_xlfn.MAP($P16,$Q16,$R16,$S16,_xlfn.LAMBDA(_xlpm.startMinIncomeBase,_xlpm.pp1_,_xlpm.pp2_,_xlpm.accumWdPenalty,(_xlpm.startMinIncomeBase+_xlpm.pp1_+_xlpm.pp2_)*_xlpm.accumWdPenalty))</f>
        <v>#NAME?</v>
      </c>
      <c r="U16" s="53" cm="1">
        <f t="array" aca="1" ref="U16" ca="1">_xlfn.MAP($D16,$F16,_xlfn.LAMBDA(_xlpm.timeFromVal,_xlpm.ppInvested,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166000</v>
      </c>
      <c r="V16" s="67" cm="1">
        <f t="array" aca="1" ref="V16" ca="1">_xlfn.LET(_xlpm.maxStepValuePreviousYear,_xlfn.LAMBDA(_xlpm.year,_xlfn.MAXIFS($O$12:$O$43,_xlfn.ANCHORARRAY($B$12),_xlpm.year-1)),
_xlfn.MAP(OFFSET($W16,-1,0),$D16,$J16,$K16,$G16,$B16,$E16,OFFSET($V16,-1,0),$N16,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6" s="67" cm="1">
        <f t="array" aca="1" ref="W16" ca="1">_xlfn.MAP($U16,$V16,_xlfn.LAMBDA(_xlpm.preActIB,_xlpm.postActIB, _xlpm.preActIB+_xlpm.postActIB))</f>
        <v>166000</v>
      </c>
      <c r="X16" s="55" cm="1">
        <f t="array" aca="1" ref="X16" ca="1">_xlfn.MAP($I16,$W16,_xlfn.SEQUENCE(1,,MAW,0),_xlfn.LAMBDA(_xlpm.hasLifetimeIncomeStarted,_xlpm.IB,_xlpm.mawd,IF(NOT(_xlpm.hasLifetimeIncomeStarted),_xlpm.IB*_xlpm.mawd,0)))</f>
        <v>9960</v>
      </c>
      <c r="Y16" s="56" cm="1">
        <f t="array" ref="Y16">_xlfn.MAP($I16,$K16,$W16,_xlfn.LAMBDA(_xlpm.HasLifetimeIncomeStarted,_xlpm.IsAnn,_xlpm.IncomeBase,IF(AND(_xlpm.HasLifetimeIncomeStarted,_xlpm.IsAnn),PIP*_xlpm.IncomeBase,0)))</f>
        <v>0</v>
      </c>
      <c r="Z16" s="83"/>
      <c r="AA16" s="26" t="s">
        <v>5</v>
      </c>
      <c r="AB16" s="14">
        <f t="shared" si="0"/>
        <v>0</v>
      </c>
      <c r="AC16" s="14">
        <f t="shared" si="1"/>
        <v>0</v>
      </c>
      <c r="AD16" s="14">
        <f t="shared" si="2"/>
        <v>0</v>
      </c>
      <c r="AE16" s="14">
        <f ca="1">Calculations[[#This Row],[Step-up Value]]-AO16</f>
        <v>0</v>
      </c>
      <c r="AF16" s="14" t="e">
        <f t="shared" ca="1" si="3"/>
        <v>#NAME?</v>
      </c>
      <c r="AG16" s="14">
        <f t="shared" ca="1" si="4"/>
        <v>0</v>
      </c>
      <c r="AH16" s="14">
        <f t="shared" ca="1" si="5"/>
        <v>0</v>
      </c>
      <c r="AI16" s="14">
        <f t="shared" si="6"/>
        <v>0</v>
      </c>
      <c r="AK16" s="26" t="s">
        <v>5</v>
      </c>
      <c r="AL16" s="25">
        <v>0</v>
      </c>
      <c r="AM16" s="25">
        <v>166000</v>
      </c>
      <c r="AN16" s="25">
        <v>0</v>
      </c>
      <c r="AO16" s="21">
        <v>166000</v>
      </c>
      <c r="AP16" s="21">
        <v>160000</v>
      </c>
      <c r="AQ16" s="21">
        <v>166000</v>
      </c>
      <c r="AR16" s="21">
        <v>9960</v>
      </c>
      <c r="AS16" s="21">
        <v>0</v>
      </c>
    </row>
    <row r="17" spans="1:45" x14ac:dyDescent="0.25">
      <c r="A17" s="96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1">
        <v>167000</v>
      </c>
      <c r="H17" s="101">
        <v>0</v>
      </c>
      <c r="I17" s="59" t="b">
        <v>0</v>
      </c>
      <c r="J17" s="60" t="b">
        <v>0</v>
      </c>
      <c r="K17" s="60" t="b">
        <v>1</v>
      </c>
      <c r="L17" s="59" cm="1">
        <f t="array" ref="L17">_xlfn.MAP($E17,$H17,$G17,_xlfn.LAMBDA(_xlpm.IsActivation,_xlpm.wdTaken,_xlpm.ContractValue,IF(NOT(_xlpm.IsActivation),_xlpm.wdTaken/_xlpm.ContractValue,0)))</f>
        <v>0</v>
      </c>
      <c r="M17" s="59" cm="1">
        <f t="array" aca="1" ref="M17" ca="1">_xlfn.MAP(OFFSET($X17,-1,0),$E17,$H17,$G17,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7" s="61" cm="1">
        <f t="array" ref="N17">_xlfn.MAP($I17,$H17,$L17,$M17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7" s="62" cm="1">
        <f t="array" aca="1" ref="O17" ca="1">_xlfn.MAP(OFFSET($O17,-1,0),OFFSET($W17,-1,0),$G17,$F17,
         _xlfn.LAMBDA(_xlpm.prevStepUp,_xlpm.prevIncomeBase,_xlpm.contractValue,_xlpm.ppInvested,IF(_xlpm.contractValue-_xlpm.ppInvested&gt;MAX(_xlpm.prevStepUp,_xlpm.prevIncomeBase),_xlpm.contractValue,0)))</f>
        <v>167000</v>
      </c>
      <c r="P17" s="63" cm="1">
        <f t="array" ref="P17">_xlfn.MAP($J17,$D17,_xlfn.LAMBDA(_xlpm.hasWdOccurrAfterAct,_xlpm.timeFromValuation,IF(_xlpm.hasWdOccurrAfterAct,0,(1+INT(_xlpm.timeFromValuation)*Minimum_Income_Base_Percentage))*InitialPurchasePayment))</f>
        <v>105000</v>
      </c>
      <c r="Q17" s="63" t="e" cm="1">
        <f t="array" aca="1" ref="Q17" ca="1">_xlfn.MAP($J17,$D17,_xlfn.LAMBDA(_xlpm.hasWdOccurredAfterActivation,_xlpm.timeFromValuation,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7" s="63" t="e" cm="1">
        <f t="array" aca="1" ref="R17" ca="1">_xlfn.MAP($J17,$D17,_xlfn.LAMBDA(_xlpm.hasWdOccurredAfterActivation,_xlpm.timeFromValuation,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7" s="63">
        <f ca="1"/>
        <v>1</v>
      </c>
      <c r="T17" s="59" t="e" cm="1">
        <f t="array" aca="1" ref="T17" ca="1">_xlfn.MAP($P17,$Q17,$R17,$S17,_xlfn.LAMBDA(_xlpm.startMinIncomeBase,_xlpm.pp1_,_xlpm.pp2_,_xlpm.accumWdPenalty,(_xlpm.startMinIncomeBase+_xlpm.pp1_+_xlpm.pp2_)*_xlpm.accumWdPenalty))</f>
        <v>#NAME?</v>
      </c>
      <c r="U17" s="62" cm="1">
        <f t="array" aca="1" ref="U17" ca="1">_xlfn.MAP($D17,$F17,_xlfn.LAMBDA(_xlpm.timeFromVal,_xlpm.ppInvested,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168000</v>
      </c>
      <c r="V17" s="64" cm="1">
        <f t="array" aca="1" ref="V17" ca="1">_xlfn.LET(_xlpm.maxStepValuePreviousYear,_xlfn.LAMBDA(_xlpm.year,_xlfn.MAXIFS($O$12:$O$43,_xlfn.ANCHORARRAY($B$12),_xlpm.year-1)),
_xlfn.MAP(OFFSET($W17,-1,0),$D17,$J17,$K17,$G17,$B17,$E17,OFFSET($V17,-1,0),$N17,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7" s="64" cm="1">
        <f t="array" aca="1" ref="W17" ca="1">_xlfn.MAP($U17,$V17,_xlfn.LAMBDA(_xlpm.preActIB,_xlpm.postActIB, _xlpm.preActIB+_xlpm.postActIB))</f>
        <v>168000</v>
      </c>
      <c r="X17" s="65" cm="1">
        <f t="array" aca="1" ref="X17" ca="1">_xlfn.MAP($I17,$W17,_xlfn.SEQUENCE(1,,MAW,0),_xlfn.LAMBDA(_xlpm.hasLifetimeIncomeStarted,_xlpm.IB,_xlpm.mawd,IF(NOT(_xlpm.hasLifetimeIncomeStarted),_xlpm.IB*_xlpm.mawd,0)))</f>
        <v>10080</v>
      </c>
      <c r="Y17" s="66" cm="1">
        <f t="array" ref="Y17">_xlfn.MAP($I17,$K17,$W17,_xlfn.LAMBDA(_xlpm.HasLifetimeIncomeStarted,_xlpm.IsAnn,_xlpm.IncomeBase,IF(AND(_xlpm.HasLifetimeIncomeStarted,_xlpm.IsAnn),PIP*_xlpm.IncomeBase,0)))</f>
        <v>0</v>
      </c>
      <c r="Z17" s="83"/>
      <c r="AA17" s="26" t="s">
        <v>6</v>
      </c>
      <c r="AB17" s="14">
        <f t="shared" si="0"/>
        <v>0</v>
      </c>
      <c r="AC17" s="14">
        <f t="shared" si="1"/>
        <v>0</v>
      </c>
      <c r="AD17" s="14">
        <f t="shared" si="2"/>
        <v>0</v>
      </c>
      <c r="AE17" s="14">
        <f ca="1">Calculations[[#This Row],[Step-up Value]]-AO17</f>
        <v>0</v>
      </c>
      <c r="AF17" s="14" t="e">
        <f t="shared" ca="1" si="3"/>
        <v>#NAME?</v>
      </c>
      <c r="AG17" s="14">
        <f t="shared" ca="1" si="4"/>
        <v>0</v>
      </c>
      <c r="AH17" s="14">
        <f t="shared" ca="1" si="5"/>
        <v>0</v>
      </c>
      <c r="AI17" s="14">
        <f t="shared" si="6"/>
        <v>0</v>
      </c>
      <c r="AK17" s="26" t="s">
        <v>6</v>
      </c>
      <c r="AL17" s="25">
        <v>0</v>
      </c>
      <c r="AM17" s="25">
        <v>167000</v>
      </c>
      <c r="AN17" s="25">
        <v>0</v>
      </c>
      <c r="AO17" s="21">
        <v>167000</v>
      </c>
      <c r="AP17" s="21">
        <v>168000</v>
      </c>
      <c r="AQ17" s="21">
        <v>168000</v>
      </c>
      <c r="AR17" s="21">
        <v>10080</v>
      </c>
      <c r="AS17" s="21">
        <v>0</v>
      </c>
    </row>
    <row r="18" spans="1:45" x14ac:dyDescent="0.25">
      <c r="A18" s="95" t="str">
        <v>Year 2 – Day 180</v>
      </c>
      <c r="B18" s="48">
        <v>2</v>
      </c>
      <c r="C18" s="49">
        <v>180</v>
      </c>
      <c r="D18" s="50">
        <v>1.493150684931507</v>
      </c>
      <c r="E18" s="50" t="b">
        <v>0</v>
      </c>
      <c r="F18" s="50">
        <v>90000</v>
      </c>
      <c r="G18" s="100">
        <v>250000</v>
      </c>
      <c r="H18" s="100">
        <v>0</v>
      </c>
      <c r="I18" s="50" t="b">
        <v>0</v>
      </c>
      <c r="J18" s="51" t="b">
        <v>0</v>
      </c>
      <c r="K18" s="51" t="b">
        <v>0</v>
      </c>
      <c r="L18" s="50" cm="1">
        <f t="array" ref="L18">_xlfn.MAP($E18,$H18,$G18,_xlfn.LAMBDA(_xlpm.IsActivation,_xlpm.wdTaken,_xlpm.ContractValue,IF(NOT(_xlpm.IsActivation),_xlpm.wdTaken/_xlpm.ContractValue,0)))</f>
        <v>0</v>
      </c>
      <c r="M18" s="50" cm="1">
        <f t="array" aca="1" ref="M18" ca="1">_xlfn.MAP(OFFSET($X18,-1,0),$E18,$H18,$G18,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8" s="52" cm="1">
        <f t="array" ref="N18">_xlfn.MAP($I18,$H18,$L18,$M18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8" s="53" cm="1">
        <f t="array" aca="1" ref="O18" ca="1">_xlfn.MAP(OFFSET($O18,-1,0),OFFSET($W18,-1,0),$G18,$F18,
         _xlfn.LAMBDA(_xlpm.prevStepUp,_xlpm.prevIncomeBase,_xlpm.contractValue,_xlpm.ppInvested,IF(_xlpm.contractValue-_xlpm.ppInvested&gt;MAX(_xlpm.prevStepUp,_xlpm.prevIncomeBase),_xlpm.contractValue,0)))</f>
        <v>0</v>
      </c>
      <c r="P18" s="54" cm="1">
        <f t="array" ref="P18">_xlfn.MAP($J18,$D18,_xlfn.LAMBDA(_xlpm.hasWdOccurrAfterAct,_xlpm.timeFromValuation,IF(_xlpm.hasWdOccurrAfterAct,0,(1+INT(_xlpm.timeFromValuation)*Minimum_Income_Base_Percentage))*InitialPurchasePayment))</f>
        <v>105000</v>
      </c>
      <c r="Q18" s="54" t="e" cm="1">
        <f t="array" aca="1" ref="Q18" ca="1">_xlfn.MAP($J18,$D18,_xlfn.LAMBDA(_xlpm.hasWdOccurredAfterActivation,_xlpm.timeFromValuation,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8" s="54" t="e" cm="1">
        <f t="array" aca="1" ref="R18" ca="1">_xlfn.MAP($J18,$D18,_xlfn.LAMBDA(_xlpm.hasWdOccurredAfterActivation,_xlpm.timeFromValuation,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8" s="54">
        <f ca="1"/>
        <v>1</v>
      </c>
      <c r="T18" s="50" t="e" cm="1">
        <f t="array" aca="1" ref="T18" ca="1">_xlfn.MAP($P18,$Q18,$R18,$S18,_xlfn.LAMBDA(_xlpm.startMinIncomeBase,_xlpm.pp1_,_xlpm.pp2_,_xlpm.accumWdPenalty,(_xlpm.startMinIncomeBase+_xlpm.pp1_+_xlpm.pp2_)*_xlpm.accumWdPenalty))</f>
        <v>#NAME?</v>
      </c>
      <c r="U18" s="53" cm="1">
        <f t="array" aca="1" ref="U18" ca="1">_xlfn.MAP($D18,$F18,_xlfn.LAMBDA(_xlpm.timeFromVal,_xlpm.ppInvested,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258000</v>
      </c>
      <c r="V18" s="67" cm="1">
        <f t="array" aca="1" ref="V18" ca="1">_xlfn.LET(_xlpm.maxStepValuePreviousYear,_xlfn.LAMBDA(_xlpm.year,_xlfn.MAXIFS($O$12:$O$43,_xlfn.ANCHORARRAY($B$12),_xlpm.year-1)),
_xlfn.MAP(OFFSET($W18,-1,0),$D18,$J18,$K18,$G18,$B18,$E18,OFFSET($V18,-1,0),$N18,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8" s="67" cm="1">
        <f t="array" aca="1" ref="W18" ca="1">_xlfn.MAP($U18,$V18,_xlfn.LAMBDA(_xlpm.preActIB,_xlpm.postActIB, _xlpm.preActIB+_xlpm.postActIB))</f>
        <v>258000</v>
      </c>
      <c r="X18" s="55" cm="1">
        <f t="array" aca="1" ref="X18" ca="1">_xlfn.MAP($I18,$W18,_xlfn.SEQUENCE(1,,MAW,0),_xlfn.LAMBDA(_xlpm.hasLifetimeIncomeStarted,_xlpm.IB,_xlpm.mawd,IF(NOT(_xlpm.hasLifetimeIncomeStarted),_xlpm.IB*_xlpm.mawd,0)))</f>
        <v>15480</v>
      </c>
      <c r="Y18" s="56" cm="1">
        <f t="array" ref="Y18">_xlfn.MAP($I18,$K18,$W18,_xlfn.LAMBDA(_xlpm.HasLifetimeIncomeStarted,_xlpm.IsAnn,_xlpm.IncomeBase,IF(AND(_xlpm.HasLifetimeIncomeStarted,_xlpm.IsAnn),PIP*_xlpm.IncomeBase,0)))</f>
        <v>0</v>
      </c>
      <c r="Z18" s="83"/>
      <c r="AA18" s="26" t="s">
        <v>7</v>
      </c>
      <c r="AB18" s="14">
        <f t="shared" si="0"/>
        <v>0</v>
      </c>
      <c r="AC18" s="14">
        <f t="shared" si="1"/>
        <v>0</v>
      </c>
      <c r="AD18" s="14">
        <f t="shared" si="2"/>
        <v>0</v>
      </c>
      <c r="AE18" s="14">
        <f ca="1">Calculations[[#This Row],[Step-up Value]]-AO18</f>
        <v>0</v>
      </c>
      <c r="AF18" s="14" t="e">
        <f t="shared" ca="1" si="3"/>
        <v>#NAME?</v>
      </c>
      <c r="AG18" s="14">
        <f t="shared" ca="1" si="4"/>
        <v>0</v>
      </c>
      <c r="AH18" s="14">
        <f t="shared" ca="1" si="5"/>
        <v>0</v>
      </c>
      <c r="AI18" s="14">
        <f t="shared" si="6"/>
        <v>0</v>
      </c>
      <c r="AK18" s="26" t="s">
        <v>7</v>
      </c>
      <c r="AL18" s="25">
        <v>90000</v>
      </c>
      <c r="AM18" s="25">
        <v>250000</v>
      </c>
      <c r="AN18" s="25">
        <v>0</v>
      </c>
      <c r="AO18" s="21">
        <v>0</v>
      </c>
      <c r="AP18" s="21">
        <v>258000</v>
      </c>
      <c r="AQ18" s="21">
        <v>258000</v>
      </c>
      <c r="AR18" s="21">
        <v>15480</v>
      </c>
      <c r="AS18" s="21">
        <v>0</v>
      </c>
    </row>
    <row r="19" spans="1:45" x14ac:dyDescent="0.25">
      <c r="A19" s="96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1">
        <v>280000</v>
      </c>
      <c r="H19" s="101">
        <v>0</v>
      </c>
      <c r="I19" s="59" t="b">
        <v>0</v>
      </c>
      <c r="J19" s="60" t="b">
        <v>0</v>
      </c>
      <c r="K19" s="60" t="b">
        <v>0</v>
      </c>
      <c r="L19" s="59" cm="1">
        <f t="array" ref="L19">_xlfn.MAP($E19,$H19,$G19,_xlfn.LAMBDA(_xlpm.IsActivation,_xlpm.wdTaken,_xlpm.ContractValue,IF(NOT(_xlpm.IsActivation),_xlpm.wdTaken/_xlpm.ContractValue,0)))</f>
        <v>0</v>
      </c>
      <c r="M19" s="59" cm="1">
        <f t="array" aca="1" ref="M19" ca="1">_xlfn.MAP(OFFSET($X19,-1,0),$E19,$H19,$G19,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19" s="61" cm="1">
        <f t="array" ref="N19">_xlfn.MAP($I19,$H19,$L19,$M19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19" s="62" cm="1">
        <f t="array" aca="1" ref="O19" ca="1">_xlfn.MAP(OFFSET($O19,-1,0),OFFSET($W19,-1,0),$G19,$F19,
         _xlfn.LAMBDA(_xlpm.prevStepUp,_xlpm.prevIncomeBase,_xlpm.contractValue,_xlpm.ppInvested,IF(_xlpm.contractValue-_xlpm.ppInvested&gt;MAX(_xlpm.prevStepUp,_xlpm.prevIncomeBase),_xlpm.contractValue,0)))</f>
        <v>280000</v>
      </c>
      <c r="P19" s="63" cm="1">
        <f t="array" ref="P19">_xlfn.MAP($J19,$D19,_xlfn.LAMBDA(_xlpm.hasWdOccurrAfterAct,_xlpm.timeFromValuation,IF(_xlpm.hasWdOccurrAfterAct,0,(1+INT(_xlpm.timeFromValuation)*Minimum_Income_Base_Percentage))*InitialPurchasePayment))</f>
        <v>105000</v>
      </c>
      <c r="Q19" s="63" t="e" cm="1">
        <f t="array" aca="1" ref="Q19" ca="1">_xlfn.MAP($J19,$D19,_xlfn.LAMBDA(_xlpm.hasWdOccurredAfterActivation,_xlpm.timeFromValuation,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19" s="63" t="e" cm="1">
        <f t="array" aca="1" ref="R19" ca="1">_xlfn.MAP($J19,$D19,_xlfn.LAMBDA(_xlpm.hasWdOccurredAfterActivation,_xlpm.timeFromValuation,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19" s="63">
        <f ca="1"/>
        <v>1</v>
      </c>
      <c r="T19" s="59" t="e" cm="1">
        <f t="array" aca="1" ref="T19" ca="1">_xlfn.MAP($P19,$Q19,$R19,$S19,_xlfn.LAMBDA(_xlpm.startMinIncomeBase,_xlpm.pp1_,_xlpm.pp2_,_xlpm.accumWdPenalty,(_xlpm.startMinIncomeBase+_xlpm.pp1_+_xlpm.pp2_)*_xlpm.accumWdPenalty))</f>
        <v>#NAME?</v>
      </c>
      <c r="U19" s="62" cm="1">
        <f t="array" aca="1" ref="U19" ca="1">_xlfn.MAP($D19,$F19,_xlfn.LAMBDA(_xlpm.timeFromVal,_xlpm.ppInvested,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19" s="64" cm="1">
        <f t="array" aca="1" ref="V19" ca="1">_xlfn.LET(_xlpm.maxStepValuePreviousYear,_xlfn.LAMBDA(_xlpm.year,_xlfn.MAXIFS($O$12:$O$43,_xlfn.ANCHORARRAY($B$12),_xlpm.year-1)),
_xlfn.MAP(OFFSET($W19,-1,0),$D19,$J19,$K19,$G19,$B19,$E19,OFFSET($V19,-1,0),$N19,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19" s="64" cm="1">
        <f t="array" aca="1" ref="W19" ca="1">_xlfn.MAP($U19,$V19,_xlfn.LAMBDA(_xlpm.preActIB,_xlpm.postActIB, _xlpm.preActIB+_xlpm.postActIB))</f>
        <v>280000</v>
      </c>
      <c r="X19" s="65" cm="1">
        <f t="array" aca="1" ref="X19" ca="1">_xlfn.MAP($I19,$W19,_xlfn.SEQUENCE(1,,MAW,0),_xlfn.LAMBDA(_xlpm.hasLifetimeIncomeStarted,_xlpm.IB,_xlpm.mawd,IF(NOT(_xlpm.hasLifetimeIncomeStarted),_xlpm.IB*_xlpm.mawd,0)))</f>
        <v>16800</v>
      </c>
      <c r="Y19" s="66" cm="1">
        <f t="array" ref="Y19">_xlfn.MAP($I19,$K19,$W19,_xlfn.LAMBDA(_xlpm.HasLifetimeIncomeStarted,_xlpm.IsAnn,_xlpm.IncomeBase,IF(AND(_xlpm.HasLifetimeIncomeStarted,_xlpm.IsAnn),PIP*_xlpm.IncomeBase,0)))</f>
        <v>0</v>
      </c>
      <c r="Z19" s="83"/>
      <c r="AA19" s="26" t="s">
        <v>8</v>
      </c>
      <c r="AB19" s="14">
        <f t="shared" si="0"/>
        <v>0</v>
      </c>
      <c r="AC19" s="14">
        <f t="shared" si="1"/>
        <v>0</v>
      </c>
      <c r="AD19" s="14">
        <f t="shared" si="2"/>
        <v>0</v>
      </c>
      <c r="AE19" s="14">
        <f ca="1">Calculations[[#This Row],[Step-up Value]]-AO19</f>
        <v>0</v>
      </c>
      <c r="AF19" s="14" t="e">
        <f t="shared" ca="1" si="3"/>
        <v>#NAME?</v>
      </c>
      <c r="AG19" s="14">
        <f t="shared" ca="1" si="4"/>
        <v>0</v>
      </c>
      <c r="AH19" s="14">
        <f t="shared" ca="1" si="5"/>
        <v>0</v>
      </c>
      <c r="AI19" s="14">
        <f t="shared" si="6"/>
        <v>0</v>
      </c>
      <c r="AK19" s="26" t="s">
        <v>8</v>
      </c>
      <c r="AL19" s="25">
        <v>0</v>
      </c>
      <c r="AM19" s="25">
        <v>280000</v>
      </c>
      <c r="AN19" s="25">
        <v>0</v>
      </c>
      <c r="AO19" s="21">
        <v>280000</v>
      </c>
      <c r="AP19" s="21">
        <v>258000</v>
      </c>
      <c r="AQ19" s="21">
        <v>280000</v>
      </c>
      <c r="AR19" s="21">
        <v>16800</v>
      </c>
      <c r="AS19" s="21">
        <v>0</v>
      </c>
    </row>
    <row r="20" spans="1:45" x14ac:dyDescent="0.25">
      <c r="A20" s="95" t="str">
        <v>2nd Anniversary</v>
      </c>
      <c r="B20" s="48">
        <v>3</v>
      </c>
      <c r="C20" s="49">
        <v>0</v>
      </c>
      <c r="D20" s="50">
        <v>2</v>
      </c>
      <c r="E20" s="50" t="b">
        <v>0</v>
      </c>
      <c r="F20" s="50">
        <v>0</v>
      </c>
      <c r="G20" s="100">
        <v>279000</v>
      </c>
      <c r="H20" s="100">
        <v>0</v>
      </c>
      <c r="I20" s="50" t="b">
        <v>0</v>
      </c>
      <c r="J20" s="51" t="b">
        <v>0</v>
      </c>
      <c r="K20" s="51" t="b">
        <v>1</v>
      </c>
      <c r="L20" s="50" cm="1">
        <f t="array" ref="L20">_xlfn.MAP($E20,$H20,$G20,_xlfn.LAMBDA(_xlpm.IsActivation,_xlpm.wdTaken,_xlpm.ContractValue,IF(NOT(_xlpm.IsActivation),_xlpm.wdTaken/_xlpm.ContractValue,0)))</f>
        <v>0</v>
      </c>
      <c r="M20" s="50" cm="1">
        <f t="array" aca="1" ref="M20" ca="1">_xlfn.MAP(OFFSET($X20,-1,0),$E20,$H20,$G20,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0" s="52" cm="1">
        <f t="array" ref="N20">_xlfn.MAP($I20,$H20,$L20,$M20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0" s="53" cm="1">
        <f t="array" aca="1" ref="O20" ca="1">_xlfn.MAP(OFFSET($O20,-1,0),OFFSET($W20,-1,0),$G20,$F20,
         _xlfn.LAMBDA(_xlpm.prevStepUp,_xlpm.prevIncomeBase,_xlpm.contractValue,_xlpm.ppInvested,IF(_xlpm.contractValue-_xlpm.ppInvested&gt;MAX(_xlpm.prevStepUp,_xlpm.prevIncomeBase),_xlpm.contractValue,0)))</f>
        <v>0</v>
      </c>
      <c r="P20" s="54" cm="1">
        <f t="array" ref="P20">_xlfn.MAP($J20,$D20,_xlfn.LAMBDA(_xlpm.hasWdOccurrAfterAct,_xlpm.timeFromValuation,IF(_xlpm.hasWdOccurrAfterAct,0,(1+INT(_xlpm.timeFromValuation)*Minimum_Income_Base_Percentage))*InitialPurchasePayment))</f>
        <v>110000.00000000001</v>
      </c>
      <c r="Q20" s="54" t="e" cm="1">
        <f t="array" aca="1" ref="Q20" ca="1">_xlfn.MAP($J20,$D20,_xlfn.LAMBDA(_xlpm.hasWdOccurredAfterActivation,_xlpm.timeFromValuation,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0" s="54" t="e" cm="1">
        <f t="array" aca="1" ref="R20" ca="1">_xlfn.MAP($J20,$D20,_xlfn.LAMBDA(_xlpm.hasWdOccurredAfterActivation,_xlpm.timeFromValuation,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0" s="54">
        <f ca="1"/>
        <v>1</v>
      </c>
      <c r="T20" s="50" t="e" cm="1">
        <f t="array" aca="1" ref="T20" ca="1">_xlfn.MAP($P20,$Q20,$R20,$S20,_xlfn.LAMBDA(_xlpm.startMinIncomeBase,_xlpm.pp1_,_xlpm.pp2_,_xlpm.accumWdPenalty,(_xlpm.startMinIncomeBase+_xlpm.pp1_+_xlpm.pp2_)*_xlpm.accumWdPenalty))</f>
        <v>#NAME?</v>
      </c>
      <c r="U20" s="53" cm="1">
        <f t="array" aca="1" ref="U20" ca="1">_xlfn.MAP($D20,$F20,_xlfn.LAMBDA(_xlpm.timeFromVal,_xlpm.ppInvested,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280000</v>
      </c>
      <c r="V20" s="67" cm="1">
        <f t="array" aca="1" ref="V20" ca="1">_xlfn.LET(_xlpm.maxStepValuePreviousYear,_xlfn.LAMBDA(_xlpm.year,_xlfn.MAXIFS($O$12:$O$43,_xlfn.ANCHORARRAY($B$12),_xlpm.year-1)),
_xlfn.MAP(OFFSET($W20,-1,0),$D20,$J20,$K20,$G20,$B20,$E20,OFFSET($V20,-1,0),$N20,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0" s="67" cm="1">
        <f t="array" aca="1" ref="W20" ca="1">_xlfn.MAP($U20,$V20,_xlfn.LAMBDA(_xlpm.preActIB,_xlpm.postActIB, _xlpm.preActIB+_xlpm.postActIB))</f>
        <v>280000</v>
      </c>
      <c r="X20" s="55" cm="1">
        <f t="array" aca="1" ref="X20" ca="1">_xlfn.MAP($I20,$W20,_xlfn.SEQUENCE(1,,MAW,0),_xlfn.LAMBDA(_xlpm.hasLifetimeIncomeStarted,_xlpm.IB,_xlpm.mawd,IF(NOT(_xlpm.hasLifetimeIncomeStarted),_xlpm.IB*_xlpm.mawd,0)))</f>
        <v>16800</v>
      </c>
      <c r="Y20" s="56" cm="1">
        <f t="array" ref="Y20">_xlfn.MAP($I20,$K20,$W20,_xlfn.LAMBDA(_xlpm.HasLifetimeIncomeStarted,_xlpm.IsAnn,_xlpm.IncomeBase,IF(AND(_xlpm.HasLifetimeIncomeStarted,_xlpm.IsAnn),PIP*_xlpm.IncomeBase,0)))</f>
        <v>0</v>
      </c>
      <c r="Z20" s="83"/>
      <c r="AA20" s="26" t="s">
        <v>9</v>
      </c>
      <c r="AB20" s="14">
        <f t="shared" si="0"/>
        <v>0</v>
      </c>
      <c r="AC20" s="14">
        <f t="shared" si="1"/>
        <v>0</v>
      </c>
      <c r="AD20" s="14">
        <f t="shared" si="2"/>
        <v>0</v>
      </c>
      <c r="AE20" s="14">
        <f ca="1">Calculations[[#This Row],[Step-up Value]]-AO20</f>
        <v>0</v>
      </c>
      <c r="AF20" s="14" t="e">
        <f t="shared" ca="1" si="3"/>
        <v>#NAME?</v>
      </c>
      <c r="AG20" s="14">
        <f t="shared" ca="1" si="4"/>
        <v>0</v>
      </c>
      <c r="AH20" s="14">
        <f t="shared" ca="1" si="5"/>
        <v>0</v>
      </c>
      <c r="AI20" s="14">
        <f t="shared" si="6"/>
        <v>0</v>
      </c>
      <c r="AK20" s="26" t="s">
        <v>9</v>
      </c>
      <c r="AL20" s="25">
        <v>0</v>
      </c>
      <c r="AM20" s="25">
        <v>279000</v>
      </c>
      <c r="AN20" s="25">
        <v>0</v>
      </c>
      <c r="AO20" s="21">
        <v>0</v>
      </c>
      <c r="AP20" s="38">
        <v>270500</v>
      </c>
      <c r="AQ20" s="21">
        <v>280000</v>
      </c>
      <c r="AR20" s="21">
        <v>16800</v>
      </c>
      <c r="AS20" s="21">
        <v>0</v>
      </c>
    </row>
    <row r="21" spans="1:45" x14ac:dyDescent="0.25">
      <c r="A21" s="96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1">
        <v>290000</v>
      </c>
      <c r="H21" s="101">
        <v>0</v>
      </c>
      <c r="I21" s="59" t="b">
        <v>0</v>
      </c>
      <c r="J21" s="60" t="b">
        <v>0</v>
      </c>
      <c r="K21" s="60" t="b">
        <v>0</v>
      </c>
      <c r="L21" s="59" cm="1">
        <f t="array" ref="L21">_xlfn.MAP($E21,$H21,$G21,_xlfn.LAMBDA(_xlpm.IsActivation,_xlpm.wdTaken,_xlpm.ContractValue,IF(NOT(_xlpm.IsActivation),_xlpm.wdTaken/_xlpm.ContractValue,0)))</f>
        <v>0</v>
      </c>
      <c r="M21" s="59" cm="1">
        <f t="array" aca="1" ref="M21" ca="1">_xlfn.MAP(OFFSET($X21,-1,0),$E21,$H21,$G21,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1" s="61" cm="1">
        <f t="array" ref="N21">_xlfn.MAP($I21,$H21,$L21,$M21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1" s="62" cm="1">
        <f t="array" aca="1" ref="O21" ca="1">_xlfn.MAP(OFFSET($O21,-1,0),OFFSET($W21,-1,0),$G21,$F21,
         _xlfn.LAMBDA(_xlpm.prevStepUp,_xlpm.prevIncomeBase,_xlpm.contractValue,_xlpm.ppInvested,IF(_xlpm.contractValue-_xlpm.ppInvested&gt;MAX(_xlpm.prevStepUp,_xlpm.prevIncomeBase),_xlpm.contractValue,0)))</f>
        <v>290000</v>
      </c>
      <c r="P21" s="63" cm="1">
        <f t="array" ref="P21">_xlfn.MAP($J21,$D21,_xlfn.LAMBDA(_xlpm.hasWdOccurrAfterAct,_xlpm.timeFromValuation,IF(_xlpm.hasWdOccurrAfterAct,0,(1+INT(_xlpm.timeFromValuation)*Minimum_Income_Base_Percentage))*InitialPurchasePayment))</f>
        <v>110000.00000000001</v>
      </c>
      <c r="Q21" s="63" t="e" cm="1">
        <f t="array" aca="1" ref="Q21" ca="1">_xlfn.MAP($J21,$D21,_xlfn.LAMBDA(_xlpm.hasWdOccurredAfterActivation,_xlpm.timeFromValuation,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1" s="63" t="e" cm="1">
        <f t="array" aca="1" ref="R21" ca="1">_xlfn.MAP($J21,$D21,_xlfn.LAMBDA(_xlpm.hasWdOccurredAfterActivation,_xlpm.timeFromValuation,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1" s="63">
        <f ca="1"/>
        <v>1</v>
      </c>
      <c r="T21" s="59" t="e" cm="1">
        <f t="array" aca="1" ref="T21" ca="1">_xlfn.MAP($P21,$Q21,$R21,$S21,_xlfn.LAMBDA(_xlpm.startMinIncomeBase,_xlpm.pp1_,_xlpm.pp2_,_xlpm.accumWdPenalty,(_xlpm.startMinIncomeBase+_xlpm.pp1_+_xlpm.pp2_)*_xlpm.accumWdPenalty))</f>
        <v>#NAME?</v>
      </c>
      <c r="U21" s="62" cm="1">
        <f t="array" aca="1" ref="U21" ca="1">_xlfn.MAP($D21,$F21,_xlfn.LAMBDA(_xlpm.timeFromVal,_xlpm.ppInvested,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290000</v>
      </c>
      <c r="V21" s="64" cm="1">
        <f t="array" aca="1" ref="V21" ca="1">_xlfn.LET(_xlpm.maxStepValuePreviousYear,_xlfn.LAMBDA(_xlpm.year,_xlfn.MAXIFS($O$12:$O$43,_xlfn.ANCHORARRAY($B$12),_xlpm.year-1)),
_xlfn.MAP(OFFSET($W21,-1,0),$D21,$J21,$K21,$G21,$B21,$E21,OFFSET($V21,-1,0),$N21,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1" s="64" cm="1">
        <f t="array" aca="1" ref="W21" ca="1">_xlfn.MAP($U21,$V21,_xlfn.LAMBDA(_xlpm.preActIB,_xlpm.postActIB, _xlpm.preActIB+_xlpm.postActIB))</f>
        <v>290000</v>
      </c>
      <c r="X21" s="65" cm="1">
        <f t="array" aca="1" ref="X21" ca="1">_xlfn.MAP($I21,$W21,_xlfn.SEQUENCE(1,,MAW,0),_xlfn.LAMBDA(_xlpm.hasLifetimeIncomeStarted,_xlpm.IB,_xlpm.mawd,IF(NOT(_xlpm.hasLifetimeIncomeStarted),_xlpm.IB*_xlpm.mawd,0)))</f>
        <v>17400</v>
      </c>
      <c r="Y21" s="66" cm="1">
        <f t="array" ref="Y21">_xlfn.MAP($I21,$K21,$W21,_xlfn.LAMBDA(_xlpm.HasLifetimeIncomeStarted,_xlpm.IsAnn,_xlpm.IncomeBase,IF(AND(_xlpm.HasLifetimeIncomeStarted,_xlpm.IsAnn),PIP*_xlpm.IncomeBase,0)))</f>
        <v>0</v>
      </c>
      <c r="Z21" s="83"/>
      <c r="AA21" s="26" t="s">
        <v>11</v>
      </c>
      <c r="AB21" s="14">
        <f t="shared" si="0"/>
        <v>0</v>
      </c>
      <c r="AC21" s="14">
        <f t="shared" si="1"/>
        <v>0</v>
      </c>
      <c r="AD21" s="14">
        <f t="shared" si="2"/>
        <v>0</v>
      </c>
      <c r="AE21" s="14">
        <f ca="1">Calculations[[#This Row],[Step-up Value]]-AO21</f>
        <v>0</v>
      </c>
      <c r="AF21" s="14" t="e">
        <f t="shared" ca="1" si="3"/>
        <v>#NAME?</v>
      </c>
      <c r="AG21" s="14">
        <f t="shared" ca="1" si="4"/>
        <v>0</v>
      </c>
      <c r="AH21" s="14">
        <f t="shared" ca="1" si="5"/>
        <v>0</v>
      </c>
      <c r="AI21" s="14">
        <f t="shared" si="6"/>
        <v>0</v>
      </c>
      <c r="AK21" s="26" t="s">
        <v>11</v>
      </c>
      <c r="AL21" s="25">
        <v>0</v>
      </c>
      <c r="AM21" s="25">
        <v>290000</v>
      </c>
      <c r="AN21" s="25">
        <v>0</v>
      </c>
      <c r="AO21" s="21">
        <v>290000</v>
      </c>
      <c r="AP21" s="21">
        <v>270500</v>
      </c>
      <c r="AQ21" s="21">
        <v>290000</v>
      </c>
      <c r="AR21" s="21">
        <v>17400</v>
      </c>
      <c r="AS21" s="21">
        <v>0</v>
      </c>
    </row>
    <row r="22" spans="1:45" x14ac:dyDescent="0.25">
      <c r="A22" s="95" t="str">
        <v>Year 3 – Day 155</v>
      </c>
      <c r="B22" s="48">
        <v>3</v>
      </c>
      <c r="C22" s="49">
        <v>155</v>
      </c>
      <c r="D22" s="50">
        <v>2.4246575342465753</v>
      </c>
      <c r="E22" s="50" t="b">
        <v>0</v>
      </c>
      <c r="F22" s="50">
        <v>0</v>
      </c>
      <c r="G22" s="100">
        <v>285000</v>
      </c>
      <c r="H22" s="100">
        <v>5000</v>
      </c>
      <c r="I22" s="50" t="b">
        <v>0</v>
      </c>
      <c r="J22" s="51" t="b">
        <v>0</v>
      </c>
      <c r="K22" s="51" t="b">
        <v>0</v>
      </c>
      <c r="L22" s="50" cm="1">
        <f t="array" ref="L22">_xlfn.MAP($E22,$H22,$G22,_xlfn.LAMBDA(_xlpm.IsActivation,_xlpm.wdTaken,_xlpm.ContractValue,IF(NOT(_xlpm.IsActivation),_xlpm.wdTaken/_xlpm.ContractValue,0)))</f>
        <v>1.7543859649122806E-2</v>
      </c>
      <c r="M22" s="50" cm="1">
        <f t="array" aca="1" ref="M22" ca="1">_xlfn.MAP(OFFSET($X22,-1,0),$E22,$H22,$G22,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2" s="52" cm="1">
        <f t="array" aca="1" ref="N22" ca="1">_xlfn.MAP($I22,$H22,$L22,$M22,_xlfn.LAMBDA(_xlpm.hasLifetimeIncomeStarted,_xlpm.wdTaken,_xlpm.wdHaircutBeforeActivation,_xlpm.wdHaircutAfterActivation,1-IF(AND(NOT(_xlpm.hasLifetimeIncomeStarted),_xlpm.wdTaken&gt;0),_xlpm.wdHaircutBeforeActivation+_xlpm.wdHaircutAfterActivation,0)))</f>
        <v>0.98245614035087714</v>
      </c>
      <c r="O22" s="53" cm="1">
        <f t="array" aca="1" ref="O22" ca="1">_xlfn.MAP(OFFSET($O22,-1,0),OFFSET($W22,-1,0),$G22,$F22,
         _xlfn.LAMBDA(_xlpm.prevStepUp,_xlpm.prevIncomeBase,_xlpm.contractValue,_xlpm.ppInvested,IF(_xlpm.contractValue-_xlpm.ppInvested&gt;MAX(_xlpm.prevStepUp,_xlpm.prevIncomeBase),_xlpm.contractValue,0)))</f>
        <v>0</v>
      </c>
      <c r="P22" s="54" cm="1">
        <f t="array" ref="P22">_xlfn.MAP($J22,$D22,_xlfn.LAMBDA(_xlpm.hasWdOccurrAfterAct,_xlpm.timeFromValuation,IF(_xlpm.hasWdOccurrAfterAct,0,(1+INT(_xlpm.timeFromValuation)*Minimum_Income_Base_Percentage))*InitialPurchasePayment))</f>
        <v>110000.00000000001</v>
      </c>
      <c r="Q22" s="54" t="e" cm="1">
        <f t="array" aca="1" ref="Q22" ca="1">_xlfn.MAP($J22,$D22,_xlfn.LAMBDA(_xlpm.hasWdOccurredAfterActivation,_xlpm.timeFromValuation,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2" s="54" t="e" cm="1">
        <f t="array" aca="1" ref="R22" ca="1">_xlfn.MAP($J22,$D22,_xlfn.LAMBDA(_xlpm.hasWdOccurredAfterActivation,_xlpm.timeFromValuation,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2" s="54">
        <f ca="1"/>
        <v>0.98245614035087714</v>
      </c>
      <c r="T22" s="50" t="e" cm="1">
        <f t="array" aca="1" ref="T22" ca="1">_xlfn.MAP($P22,$Q22,$R22,$S22,_xlfn.LAMBDA(_xlpm.startMinIncomeBase,_xlpm.pp1_,_xlpm.pp2_,_xlpm.accumWdPenalty,(_xlpm.startMinIncomeBase+_xlpm.pp1_+_xlpm.pp2_)*_xlpm.accumWdPenalty))</f>
        <v>#NAME?</v>
      </c>
      <c r="U22" s="53" cm="1">
        <f t="array" aca="1" ref="U22" ca="1">_xlfn.MAP($D22,$F22,_xlfn.LAMBDA(_xlpm.timeFromVal,_xlpm.ppInvested,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284912.28070175438</v>
      </c>
      <c r="V22" s="67" cm="1">
        <f t="array" aca="1" ref="V22" ca="1">_xlfn.LET(_xlpm.maxStepValuePreviousYear,_xlfn.LAMBDA(_xlpm.year,_xlfn.MAXIFS($O$12:$O$43,_xlfn.ANCHORARRAY($B$12),_xlpm.year-1)),
_xlfn.MAP(OFFSET($W22,-1,0),$D22,$J22,$K22,$G22,$B22,$E22,OFFSET($V22,-1,0),$N22,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2" s="67" cm="1">
        <f t="array" aca="1" ref="W22" ca="1">_xlfn.MAP($U22,$V22,_xlfn.LAMBDA(_xlpm.preActIB,_xlpm.postActIB, _xlpm.preActIB+_xlpm.postActIB))</f>
        <v>284912.28070175438</v>
      </c>
      <c r="X22" s="55" cm="1">
        <f t="array" aca="1" ref="X22" ca="1">_xlfn.MAP($I22,$W22,_xlfn.SEQUENCE(1,,MAW,0),_xlfn.LAMBDA(_xlpm.hasLifetimeIncomeStarted,_xlpm.IB,_xlpm.mawd,IF(NOT(_xlpm.hasLifetimeIncomeStarted),_xlpm.IB*_xlpm.mawd,0)))</f>
        <v>17094.736842105263</v>
      </c>
      <c r="Y22" s="56" cm="1">
        <f t="array" ref="Y22">_xlfn.MAP($I22,$K22,$W22,_xlfn.LAMBDA(_xlpm.HasLifetimeIncomeStarted,_xlpm.IsAnn,_xlpm.IncomeBase,IF(AND(_xlpm.HasLifetimeIncomeStarted,_xlpm.IsAnn),PIP*_xlpm.IncomeBase,0)))</f>
        <v>0</v>
      </c>
      <c r="Z22" s="83"/>
      <c r="AA22" s="26" t="s">
        <v>12</v>
      </c>
      <c r="AB22" s="14">
        <f t="shared" si="0"/>
        <v>0</v>
      </c>
      <c r="AC22" s="14">
        <f t="shared" si="1"/>
        <v>0</v>
      </c>
      <c r="AD22" s="14">
        <f t="shared" si="2"/>
        <v>0</v>
      </c>
      <c r="AE22" s="14">
        <f ca="1">Calculations[[#This Row],[Step-up Value]]-AO22</f>
        <v>0</v>
      </c>
      <c r="AF22" s="14" t="e">
        <f t="shared" ca="1" si="3"/>
        <v>#NAME?</v>
      </c>
      <c r="AG22" s="14">
        <f t="shared" ca="1" si="4"/>
        <v>0.28070175438188016</v>
      </c>
      <c r="AH22" s="14">
        <f t="shared" ca="1" si="5"/>
        <v>-0.26315789473665063</v>
      </c>
      <c r="AI22" s="14">
        <f t="shared" si="6"/>
        <v>0</v>
      </c>
      <c r="AK22" s="26" t="s">
        <v>12</v>
      </c>
      <c r="AL22" s="25">
        <v>0</v>
      </c>
      <c r="AM22" s="25">
        <v>285000</v>
      </c>
      <c r="AN22" s="25">
        <v>5000</v>
      </c>
      <c r="AO22" s="21">
        <v>0</v>
      </c>
      <c r="AP22" s="21">
        <v>265754</v>
      </c>
      <c r="AQ22" s="21">
        <v>284912</v>
      </c>
      <c r="AR22" s="21">
        <v>17095</v>
      </c>
      <c r="AS22" s="21">
        <v>0</v>
      </c>
    </row>
    <row r="23" spans="1:45" x14ac:dyDescent="0.25">
      <c r="A23" s="96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1">
        <v>300000</v>
      </c>
      <c r="H23" s="101">
        <v>0</v>
      </c>
      <c r="I23" s="59" t="b">
        <v>0</v>
      </c>
      <c r="J23" s="60" t="b">
        <v>0</v>
      </c>
      <c r="K23" s="60" t="b">
        <v>0</v>
      </c>
      <c r="L23" s="59" cm="1">
        <f t="array" ref="L23">_xlfn.MAP($E23,$H23,$G23,_xlfn.LAMBDA(_xlpm.IsActivation,_xlpm.wdTaken,_xlpm.ContractValue,IF(NOT(_xlpm.IsActivation),_xlpm.wdTaken/_xlpm.ContractValue,0)))</f>
        <v>0</v>
      </c>
      <c r="M23" s="59" cm="1">
        <f t="array" aca="1" ref="M23" ca="1">_xlfn.MAP(OFFSET($X23,-1,0),$E23,$H23,$G23,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3" s="61" cm="1">
        <f t="array" ref="N23">_xlfn.MAP($I23,$H23,$L23,$M23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3" s="62" cm="1">
        <f t="array" aca="1" ref="O23" ca="1">_xlfn.MAP(OFFSET($O23,-1,0),OFFSET($W23,-1,0),$G23,$F23,
         _xlfn.LAMBDA(_xlpm.prevStepUp,_xlpm.prevIncomeBase,_xlpm.contractValue,_xlpm.ppInvested,IF(_xlpm.contractValue-_xlpm.ppInvested&gt;MAX(_xlpm.prevStepUp,_xlpm.prevIncomeBase),_xlpm.contractValue,0)))</f>
        <v>300000</v>
      </c>
      <c r="P23" s="63" cm="1">
        <f t="array" ref="P23">_xlfn.MAP($J23,$D23,_xlfn.LAMBDA(_xlpm.hasWdOccurrAfterAct,_xlpm.timeFromValuation,IF(_xlpm.hasWdOccurrAfterAct,0,(1+INT(_xlpm.timeFromValuation)*Minimum_Income_Base_Percentage))*InitialPurchasePayment))</f>
        <v>110000.00000000001</v>
      </c>
      <c r="Q23" s="63" t="e" cm="1">
        <f t="array" aca="1" ref="Q23" ca="1">_xlfn.MAP($J23,$D23,_xlfn.LAMBDA(_xlpm.hasWdOccurredAfterActivation,_xlpm.timeFromValuation,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3" s="63" t="e" cm="1">
        <f t="array" aca="1" ref="R23" ca="1">_xlfn.MAP($J23,$D23,_xlfn.LAMBDA(_xlpm.hasWdOccurredAfterActivation,_xlpm.timeFromValuation,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3" s="63">
        <f ca="1"/>
        <v>0.98245614035087714</v>
      </c>
      <c r="T23" s="59" t="e" cm="1">
        <f t="array" aca="1" ref="T23" ca="1">_xlfn.MAP($P23,$Q23,$R23,$S23,_xlfn.LAMBDA(_xlpm.startMinIncomeBase,_xlpm.pp1_,_xlpm.pp2_,_xlpm.accumWdPenalty,(_xlpm.startMinIncomeBase+_xlpm.pp1_+_xlpm.pp2_)*_xlpm.accumWdPenalty))</f>
        <v>#NAME?</v>
      </c>
      <c r="U23" s="62" cm="1">
        <f t="array" aca="1" ref="U23" ca="1">_xlfn.MAP($D23,$F23,_xlfn.LAMBDA(_xlpm.timeFromVal,_xlpm.ppInvested,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300000</v>
      </c>
      <c r="V23" s="64" cm="1">
        <f t="array" aca="1" ref="V23" ca="1">_xlfn.LET(_xlpm.maxStepValuePreviousYear,_xlfn.LAMBDA(_xlpm.year,_xlfn.MAXIFS($O$12:$O$43,_xlfn.ANCHORARRAY($B$12),_xlpm.year-1)),
_xlfn.MAP(OFFSET($W23,-1,0),$D23,$J23,$K23,$G23,$B23,$E23,OFFSET($V23,-1,0),$N23,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3" s="64" cm="1">
        <f t="array" aca="1" ref="W23" ca="1">_xlfn.MAP($U23,$V23,_xlfn.LAMBDA(_xlpm.preActIB,_xlpm.postActIB, _xlpm.preActIB+_xlpm.postActIB))</f>
        <v>300000</v>
      </c>
      <c r="X23" s="65" cm="1">
        <f t="array" aca="1" ref="X23" ca="1">_xlfn.MAP($I23,$W23,_xlfn.SEQUENCE(1,,MAW,0),_xlfn.LAMBDA(_xlpm.hasLifetimeIncomeStarted,_xlpm.IB,_xlpm.mawd,IF(NOT(_xlpm.hasLifetimeIncomeStarted),_xlpm.IB*_xlpm.mawd,0)))</f>
        <v>18000</v>
      </c>
      <c r="Y23" s="66" cm="1">
        <f t="array" ref="Y23">_xlfn.MAP($I23,$K23,$W23,_xlfn.LAMBDA(_xlpm.HasLifetimeIncomeStarted,_xlpm.IsAnn,_xlpm.IncomeBase,IF(AND(_xlpm.HasLifetimeIncomeStarted,_xlpm.IsAnn),PIP*_xlpm.IncomeBase,0)))</f>
        <v>0</v>
      </c>
      <c r="Z23" s="83"/>
      <c r="AA23" s="26" t="s">
        <v>13</v>
      </c>
      <c r="AB23" s="14">
        <f t="shared" si="0"/>
        <v>0</v>
      </c>
      <c r="AC23" s="14">
        <f t="shared" si="1"/>
        <v>0</v>
      </c>
      <c r="AD23" s="14">
        <f t="shared" si="2"/>
        <v>0</v>
      </c>
      <c r="AE23" s="14">
        <f ca="1">Calculations[[#This Row],[Step-up Value]]-AO23</f>
        <v>0</v>
      </c>
      <c r="AF23" s="14" t="e">
        <f t="shared" ca="1" si="3"/>
        <v>#NAME?</v>
      </c>
      <c r="AG23" s="14">
        <f t="shared" ca="1" si="4"/>
        <v>0</v>
      </c>
      <c r="AH23" s="14">
        <f t="shared" ca="1" si="5"/>
        <v>0</v>
      </c>
      <c r="AI23" s="14">
        <f t="shared" si="6"/>
        <v>0</v>
      </c>
      <c r="AK23" s="26" t="s">
        <v>13</v>
      </c>
      <c r="AL23" s="25">
        <v>0</v>
      </c>
      <c r="AM23" s="25">
        <v>300000</v>
      </c>
      <c r="AN23" s="25">
        <v>0</v>
      </c>
      <c r="AO23" s="21">
        <v>300000</v>
      </c>
      <c r="AP23" s="21">
        <v>265754</v>
      </c>
      <c r="AQ23" s="21">
        <v>300000</v>
      </c>
      <c r="AR23" s="21">
        <v>18000</v>
      </c>
      <c r="AS23" s="21">
        <v>0</v>
      </c>
    </row>
    <row r="24" spans="1:45" x14ac:dyDescent="0.25">
      <c r="A24" s="95" t="str">
        <v>3rd Anniversary</v>
      </c>
      <c r="B24" s="48">
        <v>4</v>
      </c>
      <c r="C24" s="49">
        <v>0</v>
      </c>
      <c r="D24" s="50">
        <v>3</v>
      </c>
      <c r="E24" s="50" t="b">
        <v>0</v>
      </c>
      <c r="F24" s="50">
        <v>0</v>
      </c>
      <c r="G24" s="100">
        <v>310000</v>
      </c>
      <c r="H24" s="100">
        <v>0</v>
      </c>
      <c r="I24" s="50" t="b">
        <v>0</v>
      </c>
      <c r="J24" s="51" t="b">
        <v>0</v>
      </c>
      <c r="K24" s="51" t="b">
        <v>1</v>
      </c>
      <c r="L24" s="50" cm="1">
        <f t="array" ref="L24">_xlfn.MAP($E24,$H24,$G24,_xlfn.LAMBDA(_xlpm.IsActivation,_xlpm.wdTaken,_xlpm.ContractValue,IF(NOT(_xlpm.IsActivation),_xlpm.wdTaken/_xlpm.ContractValue,0)))</f>
        <v>0</v>
      </c>
      <c r="M24" s="50" cm="1">
        <f t="array" aca="1" ref="M24" ca="1">_xlfn.MAP(OFFSET($X24,-1,0),$E24,$H24,$G24,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4" s="52" cm="1">
        <f t="array" ref="N24">_xlfn.MAP($I24,$H24,$L24,$M24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4" s="53" cm="1">
        <f t="array" aca="1" ref="O24" ca="1">_xlfn.MAP(OFFSET($O24,-1,0),OFFSET($W24,-1,0),$G24,$F24,
         _xlfn.LAMBDA(_xlpm.prevStepUp,_xlpm.prevIncomeBase,_xlpm.contractValue,_xlpm.ppInvested,IF(_xlpm.contractValue-_xlpm.ppInvested&gt;MAX(_xlpm.prevStepUp,_xlpm.prevIncomeBase),_xlpm.contractValue,0)))</f>
        <v>310000</v>
      </c>
      <c r="P24" s="54" cm="1">
        <f t="array" ref="P24">_xlfn.MAP($J24,$D24,_xlfn.LAMBDA(_xlpm.hasWdOccurrAfterAct,_xlpm.timeFromValuation,IF(_xlpm.hasWdOccurrAfterAct,0,(1+INT(_xlpm.timeFromValuation)*Minimum_Income_Base_Percentage))*InitialPurchasePayment))</f>
        <v>114999.99999999999</v>
      </c>
      <c r="Q24" s="54" t="e" cm="1">
        <f t="array" aca="1" ref="Q24" ca="1">_xlfn.MAP($J24,$D24,_xlfn.LAMBDA(_xlpm.hasWdOccurredAfterActivation,_xlpm.timeFromValuation,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4" s="54" t="e" cm="1">
        <f t="array" aca="1" ref="R24" ca="1">_xlfn.MAP($J24,$D24,_xlfn.LAMBDA(_xlpm.hasWdOccurredAfterActivation,_xlpm.timeFromValuation,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4" s="54">
        <f ca="1"/>
        <v>0.98245614035087714</v>
      </c>
      <c r="T24" s="50" t="e" cm="1">
        <f t="array" aca="1" ref="T24" ca="1">_xlfn.MAP($P24,$Q24,$R24,$S24,_xlfn.LAMBDA(_xlpm.startMinIncomeBase,_xlpm.pp1_,_xlpm.pp2_,_xlpm.accumWdPenalty,(_xlpm.startMinIncomeBase+_xlpm.pp1_+_xlpm.pp2_)*_xlpm.accumWdPenalty))</f>
        <v>#NAME?</v>
      </c>
      <c r="U24" s="53" cm="1">
        <f t="array" aca="1" ref="U24" ca="1">_xlfn.MAP($D24,$F24,_xlfn.LAMBDA(_xlpm.timeFromVal,_xlpm.ppInvested,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310000</v>
      </c>
      <c r="V24" s="67" cm="1">
        <f t="array" aca="1" ref="V24" ca="1">_xlfn.LET(_xlpm.maxStepValuePreviousYear,_xlfn.LAMBDA(_xlpm.year,_xlfn.MAXIFS($O$12:$O$43,_xlfn.ANCHORARRAY($B$12),_xlpm.year-1)),
_xlfn.MAP(OFFSET($W24,-1,0),$D24,$J24,$K24,$G24,$B24,$E24,OFFSET($V24,-1,0),$N24,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4" s="67" cm="1">
        <f t="array" aca="1" ref="W24" ca="1">_xlfn.MAP($U24,$V24,_xlfn.LAMBDA(_xlpm.preActIB,_xlpm.postActIB, _xlpm.preActIB+_xlpm.postActIB))</f>
        <v>310000</v>
      </c>
      <c r="X24" s="55" cm="1">
        <f t="array" aca="1" ref="X24" ca="1">_xlfn.MAP($I24,$W24,_xlfn.SEQUENCE(1,,MAW,0),_xlfn.LAMBDA(_xlpm.hasLifetimeIncomeStarted,_xlpm.IB,_xlpm.mawd,IF(NOT(_xlpm.hasLifetimeIncomeStarted),_xlpm.IB*_xlpm.mawd,0)))</f>
        <v>18600</v>
      </c>
      <c r="Y24" s="56" cm="1">
        <f t="array" ref="Y24">_xlfn.MAP($I24,$K24,$W24,_xlfn.LAMBDA(_xlpm.HasLifetimeIncomeStarted,_xlpm.IsAnn,_xlpm.IncomeBase,IF(AND(_xlpm.HasLifetimeIncomeStarted,_xlpm.IsAnn),PIP*_xlpm.IncomeBase,0)))</f>
        <v>0</v>
      </c>
      <c r="Z24" s="83"/>
      <c r="AA24" s="26" t="s">
        <v>14</v>
      </c>
      <c r="AB24" s="14">
        <f t="shared" si="0"/>
        <v>0</v>
      </c>
      <c r="AC24" s="14">
        <f t="shared" si="1"/>
        <v>0</v>
      </c>
      <c r="AD24" s="14">
        <f t="shared" si="2"/>
        <v>0</v>
      </c>
      <c r="AE24" s="14">
        <f ca="1">Calculations[[#This Row],[Step-up Value]]-AO24</f>
        <v>0</v>
      </c>
      <c r="AF24" s="14" t="e">
        <f t="shared" ca="1" si="3"/>
        <v>#NAME?</v>
      </c>
      <c r="AG24" s="14">
        <f t="shared" ca="1" si="4"/>
        <v>0</v>
      </c>
      <c r="AH24" s="14">
        <f t="shared" ca="1" si="5"/>
        <v>0</v>
      </c>
      <c r="AI24" s="14">
        <f t="shared" si="6"/>
        <v>0</v>
      </c>
      <c r="AK24" s="26" t="s">
        <v>14</v>
      </c>
      <c r="AL24" s="25">
        <v>0</v>
      </c>
      <c r="AM24" s="25">
        <v>310000</v>
      </c>
      <c r="AN24" s="25">
        <v>0</v>
      </c>
      <c r="AO24" s="21">
        <v>310000</v>
      </c>
      <c r="AP24" s="21">
        <v>278035</v>
      </c>
      <c r="AQ24" s="21">
        <v>310000</v>
      </c>
      <c r="AR24" s="21">
        <v>18600</v>
      </c>
      <c r="AS24" s="21">
        <v>0</v>
      </c>
    </row>
    <row r="25" spans="1:45" x14ac:dyDescent="0.25">
      <c r="A25" s="97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1">
        <v>315000</v>
      </c>
      <c r="H25" s="101">
        <v>0</v>
      </c>
      <c r="I25" s="59" t="b">
        <v>0</v>
      </c>
      <c r="J25" s="60" t="b">
        <v>0</v>
      </c>
      <c r="K25" s="60" t="b">
        <v>0</v>
      </c>
      <c r="L25" s="59" cm="1">
        <f t="array" ref="L25">_xlfn.MAP($E25,$H25,$G25,_xlfn.LAMBDA(_xlpm.IsActivation,_xlpm.wdTaken,_xlpm.ContractValue,IF(NOT(_xlpm.IsActivation),_xlpm.wdTaken/_xlpm.ContractValue,0)))</f>
        <v>0</v>
      </c>
      <c r="M25" s="59" cm="1">
        <f t="array" aca="1" ref="M25" ca="1">_xlfn.MAP(OFFSET($X25,-1,0),$E25,$H25,$G25,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5" s="61" cm="1">
        <f t="array" ref="N25">_xlfn.MAP($I25,$H25,$L25,$M25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5" s="62" cm="1">
        <f t="array" aca="1" ref="O25" ca="1">_xlfn.MAP(OFFSET($O25,-1,0),OFFSET($W25,-1,0),$G25,$F25,
         _xlfn.LAMBDA(_xlpm.prevStepUp,_xlpm.prevIncomeBase,_xlpm.contractValue,_xlpm.ppInvested,IF(_xlpm.contractValue-_xlpm.ppInvested&gt;MAX(_xlpm.prevStepUp,_xlpm.prevIncomeBase),_xlpm.contractValue,0)))</f>
        <v>315000</v>
      </c>
      <c r="P25" s="63" cm="1">
        <f t="array" ref="P25">_xlfn.MAP($J25,$D25,_xlfn.LAMBDA(_xlpm.hasWdOccurrAfterAct,_xlpm.timeFromValuation,IF(_xlpm.hasWdOccurrAfterAct,0,(1+INT(_xlpm.timeFromValuation)*Minimum_Income_Base_Percentage))*InitialPurchasePayment))</f>
        <v>114999.99999999999</v>
      </c>
      <c r="Q25" s="63" t="e" cm="1">
        <f t="array" aca="1" ref="Q25" ca="1">_xlfn.MAP($J25,$D25,_xlfn.LAMBDA(_xlpm.hasWdOccurredAfterActivation,_xlpm.timeFromValuation,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#NAME?</v>
      </c>
      <c r="R25" s="63" t="e" cm="1">
        <f t="array" aca="1" ref="R25" ca="1">_xlfn.MAP($J25,$D25,_xlfn.LAMBDA(_xlpm.hasWdOccurredAfterActivation,_xlpm.timeFromValuation,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#NAME?</v>
      </c>
      <c r="S25" s="63">
        <f ca="1"/>
        <v>0.98245614035087714</v>
      </c>
      <c r="T25" s="59" t="e" cm="1">
        <f t="array" aca="1" ref="T25" ca="1">_xlfn.MAP($P25,$Q25,$R25,$S25,_xlfn.LAMBDA(_xlpm.startMinIncomeBase,_xlpm.pp1_,_xlpm.pp2_,_xlpm.accumWdPenalty,(_xlpm.startMinIncomeBase+_xlpm.pp1_+_xlpm.pp2_)*_xlpm.accumWdPenalty))</f>
        <v>#NAME?</v>
      </c>
      <c r="U25" s="62" cm="1">
        <f t="array" aca="1" ref="U25" ca="1">_xlfn.MAP($D25,$F25,_xlfn.LAMBDA(_xlpm.timeFromVal,_xlpm.ppInvested,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315000</v>
      </c>
      <c r="V25" s="64" cm="1">
        <f t="array" aca="1" ref="V25" ca="1">_xlfn.LET(_xlpm.maxStepValuePreviousYear,_xlfn.LAMBDA(_xlpm.year,_xlfn.MAXIFS($O$12:$O$43,_xlfn.ANCHORARRAY($B$12),_xlpm.year-1)),
_xlfn.MAP(OFFSET($W25,-1,0),$D25,$J25,$K25,$G25,$B25,$E25,OFFSET($V25,-1,0),$N25,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0</v>
      </c>
      <c r="W25" s="64" cm="1">
        <f t="array" aca="1" ref="W25" ca="1">_xlfn.MAP($U25,$V25,_xlfn.LAMBDA(_xlpm.preActIB,_xlpm.postActIB, _xlpm.preActIB+_xlpm.postActIB))</f>
        <v>315000</v>
      </c>
      <c r="X25" s="65" cm="1">
        <f t="array" aca="1" ref="X25" ca="1">_xlfn.MAP($I25,$W25,_xlfn.SEQUENCE(1,,MAW,0),_xlfn.LAMBDA(_xlpm.hasLifetimeIncomeStarted,_xlpm.IB,_xlpm.mawd,IF(NOT(_xlpm.hasLifetimeIncomeStarted),_xlpm.IB*_xlpm.mawd,0)))</f>
        <v>18900</v>
      </c>
      <c r="Y25" s="66" cm="1">
        <f t="array" ref="Y25">_xlfn.MAP($I25,$K25,$W25,_xlfn.LAMBDA(_xlpm.HasLifetimeIncomeStarted,_xlpm.IsAnn,_xlpm.IncomeBase,IF(AND(_xlpm.HasLifetimeIncomeStarted,_xlpm.IsAnn),PIP*_xlpm.IncomeBase,0)))</f>
        <v>0</v>
      </c>
      <c r="Z25" s="83"/>
      <c r="AA25" s="27" t="s">
        <v>35</v>
      </c>
      <c r="AB25" s="14">
        <f t="shared" si="0"/>
        <v>0</v>
      </c>
      <c r="AC25" s="14">
        <f t="shared" si="1"/>
        <v>0</v>
      </c>
      <c r="AD25" s="14">
        <f t="shared" si="2"/>
        <v>0</v>
      </c>
      <c r="AE25" s="14">
        <f ca="1">Calculations[[#This Row],[Step-up Value]]-AO25</f>
        <v>0</v>
      </c>
      <c r="AF25" s="14" t="e">
        <f t="shared" ca="1" si="3"/>
        <v>#NAME?</v>
      </c>
      <c r="AG25" s="14">
        <f t="shared" ca="1" si="4"/>
        <v>0</v>
      </c>
      <c r="AH25" s="14">
        <f t="shared" ca="1" si="5"/>
        <v>0</v>
      </c>
      <c r="AI25" s="14">
        <f t="shared" si="6"/>
        <v>0</v>
      </c>
      <c r="AK25" s="27" t="s">
        <v>35</v>
      </c>
      <c r="AL25" s="25">
        <v>0</v>
      </c>
      <c r="AM25" s="28">
        <v>315000</v>
      </c>
      <c r="AN25" s="28">
        <v>0</v>
      </c>
      <c r="AO25" s="19">
        <v>315000</v>
      </c>
      <c r="AP25" s="20">
        <f>AP24</f>
        <v>278035</v>
      </c>
      <c r="AQ25" s="19">
        <v>315000</v>
      </c>
      <c r="AR25" s="19">
        <v>18900</v>
      </c>
      <c r="AS25" s="21">
        <v>0</v>
      </c>
    </row>
    <row r="26" spans="1:45" x14ac:dyDescent="0.25">
      <c r="A26" s="98" t="str">
        <v>Year 4 - Day 92</v>
      </c>
      <c r="B26" s="48">
        <v>4</v>
      </c>
      <c r="C26" s="49">
        <v>92</v>
      </c>
      <c r="D26" s="50">
        <v>3.2520547945205482</v>
      </c>
      <c r="E26" s="50" t="b">
        <v>1</v>
      </c>
      <c r="F26" s="50">
        <v>0</v>
      </c>
      <c r="G26" s="100">
        <v>312000</v>
      </c>
      <c r="H26" s="100">
        <v>10000</v>
      </c>
      <c r="I26" s="50" t="b">
        <v>0</v>
      </c>
      <c r="J26" s="51" t="b">
        <v>1</v>
      </c>
      <c r="K26" s="51" t="b">
        <v>0</v>
      </c>
      <c r="L26" s="50" cm="1">
        <f t="array" ref="L26">_xlfn.MAP($E26,$H26,$G26,_xlfn.LAMBDA(_xlpm.IsActivation,_xlpm.wdTaken,_xlpm.ContractValue,IF(NOT(_xlpm.IsActivation),_xlpm.wdTaken/_xlpm.ContractValue,0)))</f>
        <v>0</v>
      </c>
      <c r="M26" s="50" cm="1">
        <f t="array" aca="1" ref="M26" ca="1">_xlfn.MAP(OFFSET($X26,-1,0),$E26,$H26,$G26,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6" s="52" cm="1">
        <f t="array" aca="1" ref="N26" ca="1">_xlfn.MAP($I26,$H26,$L26,$M26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6" s="53" cm="1">
        <f t="array" aca="1" ref="O26" ca="1">_xlfn.MAP(OFFSET($O26,-1,0),OFFSET($W26,-1,0),$G26,$F26,
         _xlfn.LAMBDA(_xlpm.prevStepUp,_xlpm.prevIncomeBase,_xlpm.contractValue,_xlpm.ppInvested,IF(_xlpm.contractValue-_xlpm.ppInvested&gt;MAX(_xlpm.prevStepUp,_xlpm.prevIncomeBase),_xlpm.contractValue,0)))</f>
        <v>0</v>
      </c>
      <c r="P26" s="54" cm="1">
        <f t="array" ref="P26">_xlfn.MAP($J26,$D26,_xlfn.LAMBDA(_xlpm.hasWdOccurrAfterAct,_xlpm.timeFromValuation,IF(_xlpm.hasWdOccurrAfterAct,0,(1+INT(_xlpm.timeFromValuation)*Minimum_Income_Base_Percentage))*InitialPurchasePayment))</f>
        <v>0</v>
      </c>
      <c r="Q26" s="54" cm="1">
        <f t="array" ref="Q26">_xlfn.MAP($J26,$D26,_xlfn.LAMBDA(_xlpm.hasWdOccurredAfterActivation,_xlpm.timeFromValuation,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6" s="54" cm="1">
        <f t="array" ref="R26">_xlfn.MAP($J26,$D26,_xlfn.LAMBDA(_xlpm.hasWdOccurredAfterActivation,_xlpm.timeFromValuation,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6" s="54">
        <f ca="1"/>
        <v>0</v>
      </c>
      <c r="T26" s="50" cm="1">
        <f t="array" aca="1" ref="T26" ca="1">_xlfn.MAP($P26,$Q26,$R26,$S26,_xlfn.LAMBDA(_xlpm.startMinIncomeBase,_xlpm.pp1_,_xlpm.pp2_,_xlpm.accumWdPenalty,(_xlpm.startMinIncomeBase+_xlpm.pp1_+_xlpm.pp2_)*_xlpm.accumWdPenalty))</f>
        <v>0</v>
      </c>
      <c r="U26" s="53" cm="1">
        <f t="array" aca="1" ref="U26" ca="1">_xlfn.MAP($D26,$F26,_xlfn.LAMBDA(_xlpm.timeFromVal,_xlpm.ppInvested,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6" s="67" cm="1">
        <f t="array" aca="1" ref="V26" ca="1">_xlfn.LET(_xlpm.maxStepValuePreviousYear,_xlfn.LAMBDA(_xlpm.year,_xlfn.MAXIFS($O$12:$O$43,_xlfn.ANCHORARRAY($B$12),_xlpm.year-1)),
_xlfn.MAP(OFFSET($W26,-1,0),$D26,$J26,$K26,$G26,$B26,$E26,OFFSET($V26,-1,0),$N26,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6" s="67" cm="1">
        <f t="array" aca="1" ref="W26" ca="1">_xlfn.MAP($U26,$V26,_xlfn.LAMBDA(_xlpm.preActIB,_xlpm.postActIB, _xlpm.preActIB+_xlpm.postActIB))</f>
        <v>315000</v>
      </c>
      <c r="X26" s="55" cm="1">
        <f t="array" aca="1" ref="X26" ca="1">_xlfn.MAP($I26,$W26,_xlfn.SEQUENCE(1,,MAW,0),_xlfn.LAMBDA(_xlpm.hasLifetimeIncomeStarted,_xlpm.IB,_xlpm.mawd,IF(NOT(_xlpm.hasLifetimeIncomeStarted),_xlpm.IB*_xlpm.mawd,0)))</f>
        <v>18900</v>
      </c>
      <c r="Y26" s="56" cm="1">
        <f t="array" ref="Y26">_xlfn.MAP($I26,$K26,$W26,_xlfn.LAMBDA(_xlpm.HasLifetimeIncomeStarted,_xlpm.IsAnn,_xlpm.IncomeBase,IF(AND(_xlpm.HasLifetimeIncomeStarted,_xlpm.IsAnn),PIP*_xlpm.IncomeBase,0)))</f>
        <v>0</v>
      </c>
      <c r="Z26" s="83"/>
      <c r="AA26" s="27" t="s">
        <v>36</v>
      </c>
      <c r="AB26" s="14">
        <f t="shared" si="0"/>
        <v>0</v>
      </c>
      <c r="AC26" s="14">
        <f t="shared" si="1"/>
        <v>0</v>
      </c>
      <c r="AD26" s="14">
        <f t="shared" si="2"/>
        <v>0</v>
      </c>
      <c r="AE26" s="14">
        <f ca="1">Calculations[[#This Row],[Step-up Value]]-AO26</f>
        <v>0</v>
      </c>
      <c r="AF26" s="14">
        <f t="shared" ca="1" si="3"/>
        <v>0</v>
      </c>
      <c r="AG26" s="14">
        <f t="shared" ca="1" si="4"/>
        <v>0</v>
      </c>
      <c r="AH26" s="14">
        <f t="shared" ca="1" si="5"/>
        <v>0</v>
      </c>
      <c r="AI26" s="14">
        <f t="shared" si="6"/>
        <v>0</v>
      </c>
      <c r="AK26" s="27" t="s">
        <v>36</v>
      </c>
      <c r="AL26" s="25">
        <v>0</v>
      </c>
      <c r="AM26" s="28">
        <v>312000</v>
      </c>
      <c r="AN26" s="28">
        <v>10000</v>
      </c>
      <c r="AO26" s="19">
        <v>0</v>
      </c>
      <c r="AP26" s="19">
        <v>0</v>
      </c>
      <c r="AQ26" s="19">
        <v>315000</v>
      </c>
      <c r="AR26" s="19">
        <v>18900</v>
      </c>
      <c r="AS26" s="21">
        <v>0</v>
      </c>
    </row>
    <row r="27" spans="1:45" x14ac:dyDescent="0.25">
      <c r="A27" s="97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1">
        <v>320000</v>
      </c>
      <c r="H27" s="101">
        <v>0</v>
      </c>
      <c r="I27" s="59" t="b">
        <v>0</v>
      </c>
      <c r="J27" s="60" t="b">
        <v>1</v>
      </c>
      <c r="K27" s="60" t="b">
        <v>0</v>
      </c>
      <c r="L27" s="59" cm="1">
        <f t="array" ref="L27">_xlfn.MAP($E27,$H27,$G27,_xlfn.LAMBDA(_xlpm.IsActivation,_xlpm.wdTaken,_xlpm.ContractValue,IF(NOT(_xlpm.IsActivation),_xlpm.wdTaken/_xlpm.ContractValue,0)))</f>
        <v>0</v>
      </c>
      <c r="M27" s="59" cm="1">
        <f t="array" aca="1" ref="M27" ca="1">_xlfn.MAP(OFFSET($X27,-1,0),$E27,$H27,$G27,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7" s="61" cm="1">
        <f t="array" ref="N27">_xlfn.MAP($I27,$H27,$L27,$M27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7" s="62" cm="1">
        <f t="array" aca="1" ref="O27" ca="1">_xlfn.MAP(OFFSET($O27,-1,0),OFFSET($W27,-1,0),$G27,$F27,
         _xlfn.LAMBDA(_xlpm.prevStepUp,_xlpm.prevIncomeBase,_xlpm.contractValue,_xlpm.ppInvested,IF(_xlpm.contractValue-_xlpm.ppInvested&gt;MAX(_xlpm.prevStepUp,_xlpm.prevIncomeBase),_xlpm.contractValue,0)))</f>
        <v>320000</v>
      </c>
      <c r="P27" s="63" cm="1">
        <f t="array" ref="P27">_xlfn.MAP($J27,$D27,_xlfn.LAMBDA(_xlpm.hasWdOccurrAfterAct,_xlpm.timeFromValuation,IF(_xlpm.hasWdOccurrAfterAct,0,(1+INT(_xlpm.timeFromValuation)*Minimum_Income_Base_Percentage))*InitialPurchasePayment))</f>
        <v>0</v>
      </c>
      <c r="Q27" s="63" cm="1">
        <f t="array" ref="Q27">_xlfn.MAP($J27,$D27,_xlfn.LAMBDA(_xlpm.hasWdOccurredAfterActivation,_xlpm.timeFromValuation,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7" s="63" cm="1">
        <f t="array" ref="R27">_xlfn.MAP($J27,$D27,_xlfn.LAMBDA(_xlpm.hasWdOccurredAfterActivation,_xlpm.timeFromValuation,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7" s="63">
        <f ca="1"/>
        <v>0</v>
      </c>
      <c r="T27" s="59" cm="1">
        <f t="array" aca="1" ref="T27" ca="1">_xlfn.MAP($P27,$Q27,$R27,$S27,_xlfn.LAMBDA(_xlpm.startMinIncomeBase,_xlpm.pp1_,_xlpm.pp2_,_xlpm.accumWdPenalty,(_xlpm.startMinIncomeBase+_xlpm.pp1_+_xlpm.pp2_)*_xlpm.accumWdPenalty))</f>
        <v>0</v>
      </c>
      <c r="U27" s="62" cm="1">
        <f t="array" aca="1" ref="U27" ca="1">_xlfn.MAP($D27,$F27,_xlfn.LAMBDA(_xlpm.timeFromVal,_xlpm.ppInvested,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7" s="64" cm="1">
        <f t="array" aca="1" ref="V27" ca="1">_xlfn.LET(_xlpm.maxStepValuePreviousYear,_xlfn.LAMBDA(_xlpm.year,_xlfn.MAXIFS($O$12:$O$43,_xlfn.ANCHORARRAY($B$12),_xlpm.year-1)),
_xlfn.MAP(OFFSET($W27,-1,0),$D27,$J27,$K27,$G27,$B27,$E27,OFFSET($V27,-1,0),$N27,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315000</v>
      </c>
      <c r="W27" s="64" cm="1">
        <f t="array" aca="1" ref="W27" ca="1">_xlfn.MAP($U27,$V27,_xlfn.LAMBDA(_xlpm.preActIB,_xlpm.postActIB, _xlpm.preActIB+_xlpm.postActIB))</f>
        <v>315000</v>
      </c>
      <c r="X27" s="65" cm="1">
        <f t="array" aca="1" ref="X27" ca="1">_xlfn.MAP($I27,$W27,_xlfn.SEQUENCE(1,,MAW,0),_xlfn.LAMBDA(_xlpm.hasLifetimeIncomeStarted,_xlpm.IB,_xlpm.mawd,IF(NOT(_xlpm.hasLifetimeIncomeStarted),_xlpm.IB*_xlpm.mawd,0)))</f>
        <v>18900</v>
      </c>
      <c r="Y27" s="66" cm="1">
        <f t="array" ref="Y27">_xlfn.MAP($I27,$K27,$W27,_xlfn.LAMBDA(_xlpm.HasLifetimeIncomeStarted,_xlpm.IsAnn,_xlpm.IncomeBase,IF(AND(_xlpm.HasLifetimeIncomeStarted,_xlpm.IsAnn),PIP*_xlpm.IncomeBase,0)))</f>
        <v>0</v>
      </c>
      <c r="Z27" s="83"/>
      <c r="AA27" s="27" t="s">
        <v>37</v>
      </c>
      <c r="AB27" s="14">
        <f t="shared" si="0"/>
        <v>0</v>
      </c>
      <c r="AC27" s="14">
        <f t="shared" si="1"/>
        <v>0</v>
      </c>
      <c r="AD27" s="14">
        <f t="shared" si="2"/>
        <v>0</v>
      </c>
      <c r="AE27" s="14">
        <f ca="1">Calculations[[#This Row],[Step-up Value]]-AO27</f>
        <v>0</v>
      </c>
      <c r="AF27" s="14">
        <f t="shared" ca="1" si="3"/>
        <v>0</v>
      </c>
      <c r="AG27" s="14">
        <f t="shared" ca="1" si="4"/>
        <v>0</v>
      </c>
      <c r="AH27" s="14">
        <f t="shared" ca="1" si="5"/>
        <v>0</v>
      </c>
      <c r="AI27" s="14">
        <f t="shared" si="6"/>
        <v>0</v>
      </c>
      <c r="AK27" s="27" t="s">
        <v>37</v>
      </c>
      <c r="AL27" s="25">
        <v>0</v>
      </c>
      <c r="AM27" s="28">
        <v>320000</v>
      </c>
      <c r="AN27" s="28">
        <v>0</v>
      </c>
      <c r="AO27" s="19">
        <v>320000</v>
      </c>
      <c r="AP27" s="19">
        <v>0</v>
      </c>
      <c r="AQ27" s="19">
        <v>315000</v>
      </c>
      <c r="AR27" s="19">
        <v>18900</v>
      </c>
      <c r="AS27" s="21">
        <v>0</v>
      </c>
    </row>
    <row r="28" spans="1:45" x14ac:dyDescent="0.25">
      <c r="A28" s="98" t="str">
        <v>4th Anniversary</v>
      </c>
      <c r="B28" s="48">
        <v>5</v>
      </c>
      <c r="C28" s="49">
        <v>0</v>
      </c>
      <c r="D28" s="50">
        <v>4</v>
      </c>
      <c r="E28" s="50" t="b">
        <v>1</v>
      </c>
      <c r="F28" s="50">
        <v>0</v>
      </c>
      <c r="G28" s="100">
        <v>311000</v>
      </c>
      <c r="H28" s="100">
        <v>0</v>
      </c>
      <c r="I28" s="50" t="b">
        <v>0</v>
      </c>
      <c r="J28" s="51" t="b">
        <v>1</v>
      </c>
      <c r="K28" s="51" t="b">
        <v>1</v>
      </c>
      <c r="L28" s="50" cm="1">
        <f t="array" ref="L28">_xlfn.MAP($E28,$H28,$G28,_xlfn.LAMBDA(_xlpm.IsActivation,_xlpm.wdTaken,_xlpm.ContractValue,IF(NOT(_xlpm.IsActivation),_xlpm.wdTaken/_xlpm.ContractValue,0)))</f>
        <v>0</v>
      </c>
      <c r="M28" s="50" cm="1">
        <f t="array" aca="1" ref="M28" ca="1">_xlfn.MAP(OFFSET($X28,-1,0),$E28,$H28,$G28,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8" s="52" cm="1">
        <f t="array" ref="N28">_xlfn.MAP($I28,$H28,$L28,$M28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8" s="53" cm="1">
        <f t="array" aca="1" ref="O28" ca="1">_xlfn.MAP(OFFSET($O28,-1,0),OFFSET($W28,-1,0),$G28,$F28,
         _xlfn.LAMBDA(_xlpm.prevStepUp,_xlpm.prevIncomeBase,_xlpm.contractValue,_xlpm.ppInvested,IF(_xlpm.contractValue-_xlpm.ppInvested&gt;MAX(_xlpm.prevStepUp,_xlpm.prevIncomeBase),_xlpm.contractValue,0)))</f>
        <v>0</v>
      </c>
      <c r="P28" s="54" cm="1">
        <f t="array" ref="P28">_xlfn.MAP($J28,$D28,_xlfn.LAMBDA(_xlpm.hasWdOccurrAfterAct,_xlpm.timeFromValuation,IF(_xlpm.hasWdOccurrAfterAct,0,(1+INT(_xlpm.timeFromValuation)*Minimum_Income_Base_Percentage))*InitialPurchasePayment))</f>
        <v>0</v>
      </c>
      <c r="Q28" s="54" cm="1">
        <f t="array" ref="Q28">_xlfn.MAP($J28,$D28,_xlfn.LAMBDA(_xlpm.hasWdOccurredAfterActivation,_xlpm.timeFromValuation,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8" s="54" cm="1">
        <f t="array" ref="R28">_xlfn.MAP($J28,$D28,_xlfn.LAMBDA(_xlpm.hasWdOccurredAfterActivation,_xlpm.timeFromValuation,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8" s="54">
        <f ca="1"/>
        <v>0</v>
      </c>
      <c r="T28" s="50" cm="1">
        <f t="array" aca="1" ref="T28" ca="1">_xlfn.MAP($P28,$Q28,$R28,$S28,_xlfn.LAMBDA(_xlpm.startMinIncomeBase,_xlpm.pp1_,_xlpm.pp2_,_xlpm.accumWdPenalty,(_xlpm.startMinIncomeBase+_xlpm.pp1_+_xlpm.pp2_)*_xlpm.accumWdPenalty))</f>
        <v>0</v>
      </c>
      <c r="U28" s="53" cm="1">
        <f t="array" aca="1" ref="U28" ca="1">_xlfn.MAP($D28,$F28,_xlfn.LAMBDA(_xlpm.timeFromVal,_xlpm.ppInvested,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8" s="67" cm="1">
        <f t="array" aca="1" ref="V28" ca="1">_xlfn.LET(_xlpm.maxStepValuePreviousYear,_xlfn.LAMBDA(_xlpm.year,_xlfn.MAXIFS($O$12:$O$43,_xlfn.ANCHORARRAY($B$12),_xlpm.year-1)),
_xlfn.MAP(OFFSET($W28,-1,0),$D28,$J28,$K28,$G28,$B28,$E28,OFFSET($V28,-1,0),$N28,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8" s="67" cm="1">
        <f t="array" aca="1" ref="W28" ca="1">_xlfn.MAP($U28,$V28,_xlfn.LAMBDA(_xlpm.preActIB,_xlpm.postActIB, _xlpm.preActIB+_xlpm.postActIB))</f>
        <v>320000</v>
      </c>
      <c r="X28" s="55" cm="1">
        <f t="array" aca="1" ref="X28" ca="1">_xlfn.MAP($I28,$W28,_xlfn.SEQUENCE(1,,MAW,0),_xlfn.LAMBDA(_xlpm.hasLifetimeIncomeStarted,_xlpm.IB,_xlpm.mawd,IF(NOT(_xlpm.hasLifetimeIncomeStarted),_xlpm.IB*_xlpm.mawd,0)))</f>
        <v>19200</v>
      </c>
      <c r="Y28" s="56" cm="1">
        <f t="array" ref="Y28">_xlfn.MAP($I28,$K28,$W28,_xlfn.LAMBDA(_xlpm.HasLifetimeIncomeStarted,_xlpm.IsAnn,_xlpm.IncomeBase,IF(AND(_xlpm.HasLifetimeIncomeStarted,_xlpm.IsAnn),PIP*_xlpm.IncomeBase,0)))</f>
        <v>0</v>
      </c>
      <c r="Z28" s="83"/>
      <c r="AA28" s="27" t="s">
        <v>38</v>
      </c>
      <c r="AB28" s="14">
        <f t="shared" si="0"/>
        <v>0</v>
      </c>
      <c r="AC28" s="14">
        <f t="shared" si="1"/>
        <v>0</v>
      </c>
      <c r="AD28" s="14">
        <f t="shared" si="2"/>
        <v>0</v>
      </c>
      <c r="AE28" s="14">
        <f ca="1">Calculations[[#This Row],[Step-up Value]]-AO28</f>
        <v>0</v>
      </c>
      <c r="AF28" s="14">
        <f t="shared" ca="1" si="3"/>
        <v>0</v>
      </c>
      <c r="AG28" s="14">
        <f t="shared" ca="1" si="4"/>
        <v>0</v>
      </c>
      <c r="AH28" s="14">
        <f t="shared" ca="1" si="5"/>
        <v>0</v>
      </c>
      <c r="AI28" s="14">
        <f t="shared" si="6"/>
        <v>0</v>
      </c>
      <c r="AK28" s="27" t="s">
        <v>38</v>
      </c>
      <c r="AL28" s="25">
        <v>0</v>
      </c>
      <c r="AM28" s="28">
        <v>311000</v>
      </c>
      <c r="AN28" s="28">
        <v>0</v>
      </c>
      <c r="AO28" s="19">
        <v>0</v>
      </c>
      <c r="AP28" s="19">
        <v>0</v>
      </c>
      <c r="AQ28" s="19">
        <v>320000</v>
      </c>
      <c r="AR28" s="19">
        <v>19200</v>
      </c>
      <c r="AS28" s="21">
        <v>0</v>
      </c>
    </row>
    <row r="29" spans="1:45" x14ac:dyDescent="0.25">
      <c r="A29" s="97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1">
        <v>325000</v>
      </c>
      <c r="H29" s="101">
        <v>0</v>
      </c>
      <c r="I29" s="59" t="b">
        <v>0</v>
      </c>
      <c r="J29" s="60" t="b">
        <v>1</v>
      </c>
      <c r="K29" s="60" t="b">
        <v>0</v>
      </c>
      <c r="L29" s="59" cm="1">
        <f t="array" ref="L29">_xlfn.MAP($E29,$H29,$G29,_xlfn.LAMBDA(_xlpm.IsActivation,_xlpm.wdTaken,_xlpm.ContractValue,IF(NOT(_xlpm.IsActivation),_xlpm.wdTaken/_xlpm.ContractValue,0)))</f>
        <v>0</v>
      </c>
      <c r="M29" s="59" cm="1">
        <f t="array" aca="1" ref="M29" ca="1">_xlfn.MAP(OFFSET($X29,-1,0),$E29,$H29,$G29,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29" s="61" cm="1">
        <f t="array" ref="N29">_xlfn.MAP($I29,$H29,$L29,$M29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29" s="62" cm="1">
        <f t="array" aca="1" ref="O29" ca="1">_xlfn.MAP(OFFSET($O29,-1,0),OFFSET($W29,-1,0),$G29,$F29,
         _xlfn.LAMBDA(_xlpm.prevStepUp,_xlpm.prevIncomeBase,_xlpm.contractValue,_xlpm.ppInvested,IF(_xlpm.contractValue-_xlpm.ppInvested&gt;MAX(_xlpm.prevStepUp,_xlpm.prevIncomeBase),_xlpm.contractValue,0)))</f>
        <v>325000</v>
      </c>
      <c r="P29" s="63" cm="1">
        <f t="array" ref="P29">_xlfn.MAP($J29,$D29,_xlfn.LAMBDA(_xlpm.hasWdOccurrAfterAct,_xlpm.timeFromValuation,IF(_xlpm.hasWdOccurrAfterAct,0,(1+INT(_xlpm.timeFromValuation)*Minimum_Income_Base_Percentage))*InitialPurchasePayment))</f>
        <v>0</v>
      </c>
      <c r="Q29" s="63" cm="1">
        <f t="array" ref="Q29">_xlfn.MAP($J29,$D29,_xlfn.LAMBDA(_xlpm.hasWdOccurredAfterActivation,_xlpm.timeFromValuation,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29" s="63" cm="1">
        <f t="array" ref="R29">_xlfn.MAP($J29,$D29,_xlfn.LAMBDA(_xlpm.hasWdOccurredAfterActivation,_xlpm.timeFromValuation,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29" s="63">
        <f ca="1"/>
        <v>0</v>
      </c>
      <c r="T29" s="59" cm="1">
        <f t="array" aca="1" ref="T29" ca="1">_xlfn.MAP($P29,$Q29,$R29,$S29,_xlfn.LAMBDA(_xlpm.startMinIncomeBase,_xlpm.pp1_,_xlpm.pp2_,_xlpm.accumWdPenalty,(_xlpm.startMinIncomeBase+_xlpm.pp1_+_xlpm.pp2_)*_xlpm.accumWdPenalty))</f>
        <v>0</v>
      </c>
      <c r="U29" s="62" cm="1">
        <f t="array" aca="1" ref="U29" ca="1">_xlfn.MAP($D29,$F29,_xlfn.LAMBDA(_xlpm.timeFromVal,_xlpm.ppInvested,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29" s="64" cm="1">
        <f t="array" aca="1" ref="V29" ca="1">_xlfn.LET(_xlpm.maxStepValuePreviousYear,_xlfn.LAMBDA(_xlpm.year,_xlfn.MAXIFS($O$12:$O$43,_xlfn.ANCHORARRAY($B$12),_xlpm.year-1)),
_xlfn.MAP(OFFSET($W29,-1,0),$D29,$J29,$K29,$G29,$B29,$E29,OFFSET($V29,-1,0),$N29,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29" s="64" cm="1">
        <f t="array" aca="1" ref="W29" ca="1">_xlfn.MAP($U29,$V29,_xlfn.LAMBDA(_xlpm.preActIB,_xlpm.postActIB, _xlpm.preActIB+_xlpm.postActIB))</f>
        <v>320000</v>
      </c>
      <c r="X29" s="65" cm="1">
        <f t="array" aca="1" ref="X29" ca="1">_xlfn.MAP($I29,$W29,_xlfn.SEQUENCE(1,,MAW,0),_xlfn.LAMBDA(_xlpm.hasLifetimeIncomeStarted,_xlpm.IB,_xlpm.mawd,IF(NOT(_xlpm.hasLifetimeIncomeStarted),_xlpm.IB*_xlpm.mawd,0)))</f>
        <v>19200</v>
      </c>
      <c r="Y29" s="66" cm="1">
        <f t="array" ref="Y29">_xlfn.MAP($I29,$K29,$W29,_xlfn.LAMBDA(_xlpm.HasLifetimeIncomeStarted,_xlpm.IsAnn,_xlpm.IncomeBase,IF(AND(_xlpm.HasLifetimeIncomeStarted,_xlpm.IsAnn),PIP*_xlpm.IncomeBase,0)))</f>
        <v>0</v>
      </c>
      <c r="Z29" s="83"/>
      <c r="AA29" s="27" t="s">
        <v>39</v>
      </c>
      <c r="AB29" s="14">
        <f t="shared" si="0"/>
        <v>0</v>
      </c>
      <c r="AC29" s="14">
        <f t="shared" si="1"/>
        <v>0</v>
      </c>
      <c r="AD29" s="14">
        <f t="shared" si="2"/>
        <v>0</v>
      </c>
      <c r="AE29" s="14">
        <f ca="1">Calculations[[#This Row],[Step-up Value]]-AO29</f>
        <v>0</v>
      </c>
      <c r="AF29" s="14">
        <f t="shared" ca="1" si="3"/>
        <v>0</v>
      </c>
      <c r="AG29" s="14">
        <f t="shared" ca="1" si="4"/>
        <v>0</v>
      </c>
      <c r="AH29" s="14">
        <f t="shared" ca="1" si="5"/>
        <v>0</v>
      </c>
      <c r="AI29" s="14">
        <f t="shared" si="6"/>
        <v>0</v>
      </c>
      <c r="AK29" s="27" t="s">
        <v>39</v>
      </c>
      <c r="AL29" s="25">
        <v>0</v>
      </c>
      <c r="AM29" s="28">
        <v>325000</v>
      </c>
      <c r="AN29" s="28">
        <v>0</v>
      </c>
      <c r="AO29" s="19">
        <v>325000</v>
      </c>
      <c r="AP29" s="19">
        <v>0</v>
      </c>
      <c r="AQ29" s="19">
        <v>320000</v>
      </c>
      <c r="AR29" s="19">
        <v>19200</v>
      </c>
      <c r="AS29" s="21">
        <v>0</v>
      </c>
    </row>
    <row r="30" spans="1:45" x14ac:dyDescent="0.25">
      <c r="A30" s="98" t="str">
        <v>Year 5 - Day 80</v>
      </c>
      <c r="B30" s="48">
        <v>5</v>
      </c>
      <c r="C30" s="49">
        <v>80</v>
      </c>
      <c r="D30" s="50">
        <v>4.2191780821917808</v>
      </c>
      <c r="E30" s="50" t="b">
        <v>1</v>
      </c>
      <c r="F30" s="50">
        <v>0</v>
      </c>
      <c r="G30" s="100">
        <v>322000</v>
      </c>
      <c r="H30" s="100">
        <v>19200</v>
      </c>
      <c r="I30" s="50" t="b">
        <v>0</v>
      </c>
      <c r="J30" s="51" t="b">
        <v>1</v>
      </c>
      <c r="K30" s="51" t="b">
        <v>0</v>
      </c>
      <c r="L30" s="50" cm="1">
        <f t="array" ref="L30">_xlfn.MAP($E30,$H30,$G30,_xlfn.LAMBDA(_xlpm.IsActivation,_xlpm.wdTaken,_xlpm.ContractValue,IF(NOT(_xlpm.IsActivation),_xlpm.wdTaken/_xlpm.ContractValue,0)))</f>
        <v>0</v>
      </c>
      <c r="M30" s="50" cm="1">
        <f t="array" aca="1" ref="M30" ca="1">_xlfn.MAP(OFFSET($X30,-1,0),$E30,$H30,$G30,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0" s="52" cm="1">
        <f t="array" aca="1" ref="N30" ca="1">_xlfn.MAP($I30,$H30,$L30,$M30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0" s="53" cm="1">
        <f t="array" aca="1" ref="O30" ca="1">_xlfn.MAP(OFFSET($O30,-1,0),OFFSET($W30,-1,0),$G30,$F30,
         _xlfn.LAMBDA(_xlpm.prevStepUp,_xlpm.prevIncomeBase,_xlpm.contractValue,_xlpm.ppInvested,IF(_xlpm.contractValue-_xlpm.ppInvested&gt;MAX(_xlpm.prevStepUp,_xlpm.prevIncomeBase),_xlpm.contractValue,0)))</f>
        <v>0</v>
      </c>
      <c r="P30" s="54" cm="1">
        <f t="array" ref="P30">_xlfn.MAP($J30,$D30,_xlfn.LAMBDA(_xlpm.hasWdOccurrAfterAct,_xlpm.timeFromValuation,IF(_xlpm.hasWdOccurrAfterAct,0,(1+INT(_xlpm.timeFromValuation)*Minimum_Income_Base_Percentage))*InitialPurchasePayment))</f>
        <v>0</v>
      </c>
      <c r="Q30" s="54" cm="1">
        <f t="array" ref="Q30">_xlfn.MAP($J30,$D30,_xlfn.LAMBDA(_xlpm.hasWdOccurredAfterActivation,_xlpm.timeFromValuation,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0" s="54" cm="1">
        <f t="array" ref="R30">_xlfn.MAP($J30,$D30,_xlfn.LAMBDA(_xlpm.hasWdOccurredAfterActivation,_xlpm.timeFromValuation,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0" s="54">
        <f ca="1"/>
        <v>0</v>
      </c>
      <c r="T30" s="50" cm="1">
        <f t="array" aca="1" ref="T30" ca="1">_xlfn.MAP($P30,$Q30,$R30,$S30,_xlfn.LAMBDA(_xlpm.startMinIncomeBase,_xlpm.pp1_,_xlpm.pp2_,_xlpm.accumWdPenalty,(_xlpm.startMinIncomeBase+_xlpm.pp1_+_xlpm.pp2_)*_xlpm.accumWdPenalty))</f>
        <v>0</v>
      </c>
      <c r="U30" s="53" cm="1">
        <f t="array" aca="1" ref="U30" ca="1">_xlfn.MAP($D30,$F30,_xlfn.LAMBDA(_xlpm.timeFromVal,_xlpm.ppInvested,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0" s="67" cm="1">
        <f t="array" aca="1" ref="V30" ca="1">_xlfn.LET(_xlpm.maxStepValuePreviousYear,_xlfn.LAMBDA(_xlpm.year,_xlfn.MAXIFS($O$12:$O$43,_xlfn.ANCHORARRAY($B$12),_xlpm.year-1)),
_xlfn.MAP(OFFSET($W30,-1,0),$D30,$J30,$K30,$G30,$B30,$E30,OFFSET($V30,-1,0),$N30,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320000</v>
      </c>
      <c r="W30" s="67" cm="1">
        <f t="array" aca="1" ref="W30" ca="1">_xlfn.MAP($U30,$V30,_xlfn.LAMBDA(_xlpm.preActIB,_xlpm.postActIB, _xlpm.preActIB+_xlpm.postActIB))</f>
        <v>320000</v>
      </c>
      <c r="X30" s="55" cm="1">
        <f t="array" aca="1" ref="X30" ca="1">_xlfn.MAP($I30,$W30,_xlfn.SEQUENCE(1,,MAW,0),_xlfn.LAMBDA(_xlpm.hasLifetimeIncomeStarted,_xlpm.IB,_xlpm.mawd,IF(NOT(_xlpm.hasLifetimeIncomeStarted),_xlpm.IB*_xlpm.mawd,0)))</f>
        <v>19200</v>
      </c>
      <c r="Y30" s="56" cm="1">
        <f t="array" ref="Y30">_xlfn.MAP($I30,$K30,$W30,_xlfn.LAMBDA(_xlpm.HasLifetimeIncomeStarted,_xlpm.IsAnn,_xlpm.IncomeBase,IF(AND(_xlpm.HasLifetimeIncomeStarted,_xlpm.IsAnn),PIP*_xlpm.IncomeBase,0)))</f>
        <v>0</v>
      </c>
      <c r="AA30" s="27" t="s">
        <v>40</v>
      </c>
      <c r="AB30" s="14">
        <f t="shared" si="0"/>
        <v>0</v>
      </c>
      <c r="AC30" s="14">
        <f t="shared" si="1"/>
        <v>0</v>
      </c>
      <c r="AD30" s="14">
        <f t="shared" si="2"/>
        <v>0</v>
      </c>
      <c r="AE30" s="14">
        <f ca="1">Calculations[[#This Row],[Step-up Value]]-AO30</f>
        <v>0</v>
      </c>
      <c r="AF30" s="14">
        <f t="shared" ca="1" si="3"/>
        <v>0</v>
      </c>
      <c r="AG30" s="14">
        <f t="shared" ca="1" si="4"/>
        <v>0</v>
      </c>
      <c r="AH30" s="14">
        <f t="shared" ca="1" si="5"/>
        <v>0</v>
      </c>
      <c r="AI30" s="14">
        <f t="shared" si="6"/>
        <v>0</v>
      </c>
      <c r="AK30" s="27" t="s">
        <v>40</v>
      </c>
      <c r="AL30" s="25">
        <v>0</v>
      </c>
      <c r="AM30" s="28">
        <v>322000</v>
      </c>
      <c r="AN30" s="28">
        <v>19200</v>
      </c>
      <c r="AO30" s="19">
        <v>0</v>
      </c>
      <c r="AP30" s="19">
        <v>0</v>
      </c>
      <c r="AQ30" s="19">
        <v>320000</v>
      </c>
      <c r="AR30" s="19">
        <v>19200</v>
      </c>
      <c r="AS30" s="21">
        <v>0</v>
      </c>
    </row>
    <row r="31" spans="1:45" x14ac:dyDescent="0.25">
      <c r="A31" s="97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1">
        <v>317000</v>
      </c>
      <c r="H31" s="101">
        <v>0</v>
      </c>
      <c r="I31" s="59" t="b">
        <v>0</v>
      </c>
      <c r="J31" s="60" t="b">
        <v>1</v>
      </c>
      <c r="K31" s="60" t="b">
        <v>1</v>
      </c>
      <c r="L31" s="59" cm="1">
        <f t="array" ref="L31">_xlfn.MAP($E31,$H31,$G31,_xlfn.LAMBDA(_xlpm.IsActivation,_xlpm.wdTaken,_xlpm.ContractValue,IF(NOT(_xlpm.IsActivation),_xlpm.wdTaken/_xlpm.ContractValue,0)))</f>
        <v>0</v>
      </c>
      <c r="M31" s="59" cm="1">
        <f t="array" aca="1" ref="M31" ca="1">_xlfn.MAP(OFFSET($X31,-1,0),$E31,$H31,$G31,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1" s="61" cm="1">
        <f t="array" ref="N31">_xlfn.MAP($I31,$H31,$L31,$M31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1" s="62" cm="1">
        <f t="array" aca="1" ref="O31" ca="1">_xlfn.MAP(OFFSET($O31,-1,0),OFFSET($W31,-1,0),$G31,$F31,
         _xlfn.LAMBDA(_xlpm.prevStepUp,_xlpm.prevIncomeBase,_xlpm.contractValue,_xlpm.ppInvested,IF(_xlpm.contractValue-_xlpm.ppInvested&gt;MAX(_xlpm.prevStepUp,_xlpm.prevIncomeBase),_xlpm.contractValue,0)))</f>
        <v>0</v>
      </c>
      <c r="P31" s="63" cm="1">
        <f t="array" ref="P31">_xlfn.MAP($J31,$D31,_xlfn.LAMBDA(_xlpm.hasWdOccurrAfterAct,_xlpm.timeFromValuation,IF(_xlpm.hasWdOccurrAfterAct,0,(1+INT(_xlpm.timeFromValuation)*Minimum_Income_Base_Percentage))*InitialPurchasePayment))</f>
        <v>0</v>
      </c>
      <c r="Q31" s="63" cm="1">
        <f t="array" ref="Q31">_xlfn.MAP($J31,$D31,_xlfn.LAMBDA(_xlpm.hasWdOccurredAfterActivation,_xlpm.timeFromValuation,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1" s="63" cm="1">
        <f t="array" ref="R31">_xlfn.MAP($J31,$D31,_xlfn.LAMBDA(_xlpm.hasWdOccurredAfterActivation,_xlpm.timeFromValuation,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1" s="63">
        <f ca="1"/>
        <v>0</v>
      </c>
      <c r="T31" s="59" cm="1">
        <f t="array" aca="1" ref="T31" ca="1">_xlfn.MAP($P31,$Q31,$R31,$S31,_xlfn.LAMBDA(_xlpm.startMinIncomeBase,_xlpm.pp1_,_xlpm.pp2_,_xlpm.accumWdPenalty,(_xlpm.startMinIncomeBase+_xlpm.pp1_+_xlpm.pp2_)*_xlpm.accumWdPenalty))</f>
        <v>0</v>
      </c>
      <c r="U31" s="62" cm="1">
        <f t="array" aca="1" ref="U31" ca="1">_xlfn.MAP($D31,$F31,_xlfn.LAMBDA(_xlpm.timeFromVal,_xlpm.ppInvested,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1" s="64" cm="1">
        <f t="array" aca="1" ref="V31" ca="1">_xlfn.LET(_xlpm.maxStepValuePreviousYear,_xlfn.LAMBDA(_xlpm.year,_xlfn.MAXIFS($O$12:$O$43,_xlfn.ANCHORARRAY($B$12),_xlpm.year-1)),
_xlfn.MAP(OFFSET($W31,-1,0),$D31,$J31,$K31,$G31,$B31,$E31,OFFSET($V31,-1,0),$N31,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1" s="64" cm="1">
        <f t="array" aca="1" ref="W31" ca="1">_xlfn.MAP($U31,$V31,_xlfn.LAMBDA(_xlpm.preActIB,_xlpm.postActIB, _xlpm.preActIB+_xlpm.postActIB))</f>
        <v>325000</v>
      </c>
      <c r="X31" s="65" cm="1">
        <f t="array" aca="1" ref="X31" ca="1">_xlfn.MAP($I31,$W31,_xlfn.SEQUENCE(1,,MAW,0),_xlfn.LAMBDA(_xlpm.hasLifetimeIncomeStarted,_xlpm.IB,_xlpm.mawd,IF(NOT(_xlpm.hasLifetimeIncomeStarted),_xlpm.IB*_xlpm.mawd,0)))</f>
        <v>19500</v>
      </c>
      <c r="Y31" s="66" cm="1">
        <f t="array" ref="Y31">_xlfn.MAP($I31,$K31,$W31,_xlfn.LAMBDA(_xlpm.HasLifetimeIncomeStarted,_xlpm.IsAnn,_xlpm.IncomeBase,IF(AND(_xlpm.HasLifetimeIncomeStarted,_xlpm.IsAnn),PIP*_xlpm.IncomeBase,0)))</f>
        <v>0</v>
      </c>
      <c r="AA31" s="27" t="s">
        <v>41</v>
      </c>
      <c r="AB31" s="14">
        <f t="shared" si="0"/>
        <v>0</v>
      </c>
      <c r="AC31" s="14">
        <f t="shared" si="1"/>
        <v>0</v>
      </c>
      <c r="AD31" s="14">
        <f t="shared" si="2"/>
        <v>0</v>
      </c>
      <c r="AE31" s="14">
        <f ca="1">Calculations[[#This Row],[Step-up Value]]-AO31</f>
        <v>0</v>
      </c>
      <c r="AF31" s="14">
        <f t="shared" ca="1" si="3"/>
        <v>0</v>
      </c>
      <c r="AG31" s="14">
        <f t="shared" ca="1" si="4"/>
        <v>0</v>
      </c>
      <c r="AH31" s="14">
        <f t="shared" ca="1" si="5"/>
        <v>0</v>
      </c>
      <c r="AI31" s="14">
        <f t="shared" si="6"/>
        <v>0</v>
      </c>
      <c r="AK31" s="27" t="s">
        <v>41</v>
      </c>
      <c r="AL31" s="25">
        <v>0</v>
      </c>
      <c r="AM31" s="28">
        <v>317000</v>
      </c>
      <c r="AN31" s="28">
        <v>0</v>
      </c>
      <c r="AO31" s="19">
        <v>0</v>
      </c>
      <c r="AP31" s="19">
        <v>0</v>
      </c>
      <c r="AQ31" s="19">
        <v>325000</v>
      </c>
      <c r="AR31" s="19">
        <v>19500</v>
      </c>
      <c r="AS31" s="21">
        <v>0</v>
      </c>
    </row>
    <row r="32" spans="1:45" x14ac:dyDescent="0.25">
      <c r="A32" s="98" t="str">
        <v>Year 6 - Day 155</v>
      </c>
      <c r="B32" s="48">
        <v>6</v>
      </c>
      <c r="C32" s="49">
        <v>155</v>
      </c>
      <c r="D32" s="50">
        <v>5.4246575342465757</v>
      </c>
      <c r="E32" s="50" t="b">
        <v>1</v>
      </c>
      <c r="F32" s="50">
        <v>0</v>
      </c>
      <c r="G32" s="100">
        <v>330000</v>
      </c>
      <c r="H32" s="100">
        <v>0</v>
      </c>
      <c r="I32" s="50" t="b">
        <v>0</v>
      </c>
      <c r="J32" s="51" t="b">
        <v>1</v>
      </c>
      <c r="K32" s="51" t="b">
        <v>0</v>
      </c>
      <c r="L32" s="50" cm="1">
        <f t="array" ref="L32">_xlfn.MAP($E32,$H32,$G32,_xlfn.LAMBDA(_xlpm.IsActivation,_xlpm.wdTaken,_xlpm.ContractValue,IF(NOT(_xlpm.IsActivation),_xlpm.wdTaken/_xlpm.ContractValue,0)))</f>
        <v>0</v>
      </c>
      <c r="M32" s="50" cm="1">
        <f t="array" aca="1" ref="M32" ca="1">_xlfn.MAP(OFFSET($X32,-1,0),$E32,$H32,$G32,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2" s="52" cm="1">
        <f t="array" ref="N32">_xlfn.MAP($I32,$H32,$L32,$M32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2" s="53" cm="1">
        <f t="array" aca="1" ref="O32" ca="1">_xlfn.MAP(OFFSET($O32,-1,0),OFFSET($W32,-1,0),$G32,$F32,
         _xlfn.LAMBDA(_xlpm.prevStepUp,_xlpm.prevIncomeBase,_xlpm.contractValue,_xlpm.ppInvested,IF(_xlpm.contractValue-_xlpm.ppInvested&gt;MAX(_xlpm.prevStepUp,_xlpm.prevIncomeBase),_xlpm.contractValue,0)))</f>
        <v>330000</v>
      </c>
      <c r="P32" s="54" cm="1">
        <f t="array" ref="P32">_xlfn.MAP($J32,$D32,_xlfn.LAMBDA(_xlpm.hasWdOccurrAfterAct,_xlpm.timeFromValuation,IF(_xlpm.hasWdOccurrAfterAct,0,(1+INT(_xlpm.timeFromValuation)*Minimum_Income_Base_Percentage))*InitialPurchasePayment))</f>
        <v>0</v>
      </c>
      <c r="Q32" s="54" cm="1">
        <f t="array" ref="Q32">_xlfn.MAP($J32,$D32,_xlfn.LAMBDA(_xlpm.hasWdOccurredAfterActivation,_xlpm.timeFromValuation,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2" s="54" cm="1">
        <f t="array" ref="R32">_xlfn.MAP($J32,$D32,_xlfn.LAMBDA(_xlpm.hasWdOccurredAfterActivation,_xlpm.timeFromValuation,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2" s="54">
        <f ca="1"/>
        <v>0</v>
      </c>
      <c r="T32" s="50" cm="1">
        <f t="array" aca="1" ref="T32" ca="1">_xlfn.MAP($P32,$Q32,$R32,$S32,_xlfn.LAMBDA(_xlpm.startMinIncomeBase,_xlpm.pp1_,_xlpm.pp2_,_xlpm.accumWdPenalty,(_xlpm.startMinIncomeBase+_xlpm.pp1_+_xlpm.pp2_)*_xlpm.accumWdPenalty))</f>
        <v>0</v>
      </c>
      <c r="U32" s="53" cm="1">
        <f t="array" aca="1" ref="U32" ca="1">_xlfn.MAP($D32,$F32,_xlfn.LAMBDA(_xlpm.timeFromVal,_xlpm.ppInvested,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2" s="67" cm="1">
        <f t="array" aca="1" ref="V32" ca="1">_xlfn.LET(_xlpm.maxStepValuePreviousYear,_xlfn.LAMBDA(_xlpm.year,_xlfn.MAXIFS($O$12:$O$43,_xlfn.ANCHORARRAY($B$12),_xlpm.year-1)),
_xlfn.MAP(OFFSET($W32,-1,0),$D32,$J32,$K32,$G32,$B32,$E32,OFFSET($V32,-1,0),$N32,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2" s="67" cm="1">
        <f t="array" aca="1" ref="W32" ca="1">_xlfn.MAP($U32,$V32,_xlfn.LAMBDA(_xlpm.preActIB,_xlpm.postActIB, _xlpm.preActIB+_xlpm.postActIB))</f>
        <v>325000</v>
      </c>
      <c r="X32" s="55" cm="1">
        <f t="array" aca="1" ref="X32" ca="1">_xlfn.MAP($I32,$W32,_xlfn.SEQUENCE(1,,MAW,0),_xlfn.LAMBDA(_xlpm.hasLifetimeIncomeStarted,_xlpm.IB,_xlpm.mawd,IF(NOT(_xlpm.hasLifetimeIncomeStarted),_xlpm.IB*_xlpm.mawd,0)))</f>
        <v>19500</v>
      </c>
      <c r="Y32" s="56" cm="1">
        <f t="array" ref="Y32">_xlfn.MAP($I32,$K32,$W32,_xlfn.LAMBDA(_xlpm.HasLifetimeIncomeStarted,_xlpm.IsAnn,_xlpm.IncomeBase,IF(AND(_xlpm.HasLifetimeIncomeStarted,_xlpm.IsAnn),PIP*_xlpm.IncomeBase,0)))</f>
        <v>0</v>
      </c>
      <c r="AA32" s="27" t="s">
        <v>42</v>
      </c>
      <c r="AB32" s="14">
        <f t="shared" si="0"/>
        <v>0</v>
      </c>
      <c r="AC32" s="14">
        <f t="shared" si="1"/>
        <v>0</v>
      </c>
      <c r="AD32" s="14">
        <f t="shared" si="2"/>
        <v>0</v>
      </c>
      <c r="AE32" s="14">
        <f ca="1">Calculations[[#This Row],[Step-up Value]]-AO32</f>
        <v>0</v>
      </c>
      <c r="AF32" s="14">
        <f t="shared" ca="1" si="3"/>
        <v>0</v>
      </c>
      <c r="AG32" s="14">
        <f t="shared" ca="1" si="4"/>
        <v>0</v>
      </c>
      <c r="AH32" s="14">
        <f t="shared" ca="1" si="5"/>
        <v>0</v>
      </c>
      <c r="AI32" s="14">
        <f t="shared" si="6"/>
        <v>0</v>
      </c>
      <c r="AK32" s="27" t="s">
        <v>42</v>
      </c>
      <c r="AL32" s="25">
        <v>0</v>
      </c>
      <c r="AM32" s="28">
        <v>330000</v>
      </c>
      <c r="AN32" s="28">
        <v>0</v>
      </c>
      <c r="AO32" s="19">
        <v>330000</v>
      </c>
      <c r="AP32" s="19">
        <v>0</v>
      </c>
      <c r="AQ32" s="19">
        <v>325000</v>
      </c>
      <c r="AR32" s="19">
        <v>19500</v>
      </c>
      <c r="AS32" s="21">
        <v>0</v>
      </c>
    </row>
    <row r="33" spans="1:45" x14ac:dyDescent="0.25">
      <c r="A33" s="97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1">
        <v>329000</v>
      </c>
      <c r="H33" s="101">
        <v>0</v>
      </c>
      <c r="I33" s="59" t="b">
        <v>0</v>
      </c>
      <c r="J33" s="60" t="b">
        <v>1</v>
      </c>
      <c r="K33" s="60" t="b">
        <v>1</v>
      </c>
      <c r="L33" s="59" cm="1">
        <f t="array" ref="L33">_xlfn.MAP($E33,$H33,$G33,_xlfn.LAMBDA(_xlpm.IsActivation,_xlpm.wdTaken,_xlpm.ContractValue,IF(NOT(_xlpm.IsActivation),_xlpm.wdTaken/_xlpm.ContractValue,0)))</f>
        <v>0</v>
      </c>
      <c r="M33" s="59" cm="1">
        <f t="array" aca="1" ref="M33" ca="1">_xlfn.MAP(OFFSET($X33,-1,0),$E33,$H33,$G33,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3" s="61" cm="1">
        <f t="array" ref="N33">_xlfn.MAP($I33,$H33,$L33,$M33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3" s="62" cm="1">
        <f t="array" aca="1" ref="O33" ca="1">_xlfn.MAP(OFFSET($O33,-1,0),OFFSET($W33,-1,0),$G33,$F33,
         _xlfn.LAMBDA(_xlpm.prevStepUp,_xlpm.prevIncomeBase,_xlpm.contractValue,_xlpm.ppInvested,IF(_xlpm.contractValue-_xlpm.ppInvested&gt;MAX(_xlpm.prevStepUp,_xlpm.prevIncomeBase),_xlpm.contractValue,0)))</f>
        <v>0</v>
      </c>
      <c r="P33" s="63" cm="1">
        <f t="array" ref="P33">_xlfn.MAP($J33,$D33,_xlfn.LAMBDA(_xlpm.hasWdOccurrAfterAct,_xlpm.timeFromValuation,IF(_xlpm.hasWdOccurrAfterAct,0,(1+INT(_xlpm.timeFromValuation)*Minimum_Income_Base_Percentage))*InitialPurchasePayment))</f>
        <v>0</v>
      </c>
      <c r="Q33" s="63" cm="1">
        <f t="array" ref="Q33">_xlfn.MAP($J33,$D33,_xlfn.LAMBDA(_xlpm.hasWdOccurredAfterActivation,_xlpm.timeFromValuation,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3" s="63" cm="1">
        <f t="array" ref="R33">_xlfn.MAP($J33,$D33,_xlfn.LAMBDA(_xlpm.hasWdOccurredAfterActivation,_xlpm.timeFromValuation,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3" s="63">
        <f ca="1"/>
        <v>0</v>
      </c>
      <c r="T33" s="59" cm="1">
        <f t="array" aca="1" ref="T33" ca="1">_xlfn.MAP($P33,$Q33,$R33,$S33,_xlfn.LAMBDA(_xlpm.startMinIncomeBase,_xlpm.pp1_,_xlpm.pp2_,_xlpm.accumWdPenalty,(_xlpm.startMinIncomeBase+_xlpm.pp1_+_xlpm.pp2_)*_xlpm.accumWdPenalty))</f>
        <v>0</v>
      </c>
      <c r="U33" s="62" cm="1">
        <f t="array" aca="1" ref="U33" ca="1">_xlfn.MAP($D33,$F33,_xlfn.LAMBDA(_xlpm.timeFromVal,_xlpm.ppInvested,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3" s="64" cm="1">
        <f t="array" aca="1" ref="V33" ca="1">_xlfn.LET(_xlpm.maxStepValuePreviousYear,_xlfn.LAMBDA(_xlpm.year,_xlfn.MAXIFS($O$12:$O$43,_xlfn.ANCHORARRAY($B$12),_xlpm.year-1)),
_xlfn.MAP(OFFSET($W33,-1,0),$D33,$J33,$K33,$G33,$B33,$E33,OFFSET($V33,-1,0),$N33,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330000</v>
      </c>
      <c r="W33" s="64" cm="1">
        <f t="array" aca="1" ref="W33" ca="1">_xlfn.MAP($U33,$V33,_xlfn.LAMBDA(_xlpm.preActIB,_xlpm.postActIB, _xlpm.preActIB+_xlpm.postActIB))</f>
        <v>330000</v>
      </c>
      <c r="X33" s="65" cm="1">
        <f t="array" aca="1" ref="X33" ca="1">_xlfn.MAP($I33,$W33,_xlfn.SEQUENCE(1,,MAW,0),_xlfn.LAMBDA(_xlpm.hasLifetimeIncomeStarted,_xlpm.IB,_xlpm.mawd,IF(NOT(_xlpm.hasLifetimeIncomeStarted),_xlpm.IB*_xlpm.mawd,0)))</f>
        <v>19800</v>
      </c>
      <c r="Y33" s="66" cm="1">
        <f t="array" ref="Y33">_xlfn.MAP($I33,$K33,$W33,_xlfn.LAMBDA(_xlpm.HasLifetimeIncomeStarted,_xlpm.IsAnn,_xlpm.IncomeBase,IF(AND(_xlpm.HasLifetimeIncomeStarted,_xlpm.IsAnn),PIP*_xlpm.IncomeBase,0)))</f>
        <v>0</v>
      </c>
      <c r="AA33" s="27" t="s">
        <v>15</v>
      </c>
      <c r="AB33" s="14">
        <f t="shared" si="0"/>
        <v>0</v>
      </c>
      <c r="AC33" s="14">
        <f t="shared" si="1"/>
        <v>0</v>
      </c>
      <c r="AD33" s="14">
        <f t="shared" si="2"/>
        <v>0</v>
      </c>
      <c r="AE33" s="14">
        <f ca="1">Calculations[[#This Row],[Step-up Value]]-AO33</f>
        <v>0</v>
      </c>
      <c r="AF33" s="14">
        <f t="shared" ca="1" si="3"/>
        <v>0</v>
      </c>
      <c r="AG33" s="14">
        <f t="shared" ca="1" si="4"/>
        <v>0</v>
      </c>
      <c r="AH33" s="14">
        <f t="shared" ca="1" si="5"/>
        <v>0</v>
      </c>
      <c r="AI33" s="14">
        <f t="shared" si="6"/>
        <v>0</v>
      </c>
      <c r="AK33" s="27" t="s">
        <v>15</v>
      </c>
      <c r="AL33" s="25">
        <v>0</v>
      </c>
      <c r="AM33" s="28">
        <v>329000</v>
      </c>
      <c r="AN33" s="28">
        <v>0</v>
      </c>
      <c r="AO33" s="19">
        <v>0</v>
      </c>
      <c r="AP33" s="19">
        <v>0</v>
      </c>
      <c r="AQ33" s="19">
        <v>330000</v>
      </c>
      <c r="AR33" s="19">
        <v>19800</v>
      </c>
      <c r="AS33" s="21">
        <v>0</v>
      </c>
    </row>
    <row r="34" spans="1:45" x14ac:dyDescent="0.25">
      <c r="A34" s="95" t="str">
        <v>Year 7 – Day 37</v>
      </c>
      <c r="B34" s="48">
        <v>7</v>
      </c>
      <c r="C34" s="49">
        <v>37</v>
      </c>
      <c r="D34" s="50">
        <v>6.1013698630136988</v>
      </c>
      <c r="E34" s="50" t="b">
        <v>1</v>
      </c>
      <c r="F34" s="50">
        <v>0</v>
      </c>
      <c r="G34" s="100">
        <v>321000</v>
      </c>
      <c r="H34" s="100">
        <v>26400</v>
      </c>
      <c r="I34" s="50" t="b">
        <v>0</v>
      </c>
      <c r="J34" s="51" t="b">
        <v>1</v>
      </c>
      <c r="K34" s="51" t="b">
        <v>0</v>
      </c>
      <c r="L34" s="50" cm="1">
        <f t="array" ref="L34">_xlfn.MAP($E34,$H34,$G34,_xlfn.LAMBDA(_xlpm.IsActivation,_xlpm.wdTaken,_xlpm.ContractValue,IF(NOT(_xlpm.IsActivation),_xlpm.wdTaken/_xlpm.ContractValue,0)))</f>
        <v>0</v>
      </c>
      <c r="M34" s="84" cm="1">
        <f t="array" aca="1" ref="M34" ca="1">_xlfn.MAP(OFFSET($X34,-1,0),$E34,$H34,$G34,
       _xlfn.LAMBDA(_xlpm.prevMawa,_xlpm.isActivated,_xlpm.wdTaken,_xlpm.cv,
        _xlfn.LET(_xlpm.haircut,(_xlpm.wdTaken-_xlpm.prevMawa)/(_xlpm.cv-_xlpm.prevMawa),
            IF(AND(_xlpm.isActivated,_xlpm.wdTaken&gt;_xlpm.prevMawa),_xlpm.haircut,0))))</f>
        <v>2.1912350597609563E-2</v>
      </c>
      <c r="N34" s="52" cm="1">
        <f t="array" aca="1" ref="N34" ca="1">_xlfn.MAP($I34,$H34,$L34,$M34,_xlfn.LAMBDA(_xlpm.hasLifetimeIncomeStarted,_xlpm.wdTaken,_xlpm.wdHaircutBeforeActivation,_xlpm.wdHaircutAfterActivation,1-IF(AND(NOT(_xlpm.hasLifetimeIncomeStarted),_xlpm.wdTaken&gt;0),_xlpm.wdHaircutBeforeActivation+_xlpm.wdHaircutAfterActivation,0)))</f>
        <v>0.97808764940239046</v>
      </c>
      <c r="O34" s="53" cm="1">
        <f t="array" aca="1" ref="O34" ca="1">_xlfn.MAP(OFFSET($O34,-1,0),OFFSET($W34,-1,0),$G34,$F34,
         _xlfn.LAMBDA(_xlpm.prevStepUp,_xlpm.prevIncomeBase,_xlpm.contractValue,_xlpm.ppInvested,IF(_xlpm.contractValue-_xlpm.ppInvested&gt;MAX(_xlpm.prevStepUp,_xlpm.prevIncomeBase),_xlpm.contractValue,0)))</f>
        <v>0</v>
      </c>
      <c r="P34" s="54" cm="1">
        <f t="array" ref="P34">_xlfn.MAP($J34,$D34,_xlfn.LAMBDA(_xlpm.hasWdOccurrAfterAct,_xlpm.timeFromValuation,IF(_xlpm.hasWdOccurrAfterAct,0,(1+INT(_xlpm.timeFromValuation)*Minimum_Income_Base_Percentage))*InitialPurchasePayment))</f>
        <v>0</v>
      </c>
      <c r="Q34" s="54" cm="1">
        <f t="array" ref="Q34">_xlfn.MAP($J34,$D34,_xlfn.LAMBDA(_xlpm.hasWdOccurredAfterActivation,_xlpm.timeFromValuation,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4" s="54" cm="1">
        <f t="array" ref="R34">_xlfn.MAP($J34,$D34,_xlfn.LAMBDA(_xlpm.hasWdOccurredAfterActivation,_xlpm.timeFromValuation,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4" s="54">
        <f ca="1"/>
        <v>0</v>
      </c>
      <c r="T34" s="50" cm="1">
        <f t="array" aca="1" ref="T34" ca="1">_xlfn.MAP($P34,$Q34,$R34,$S34,_xlfn.LAMBDA(_xlpm.startMinIncomeBase,_xlpm.pp1_,_xlpm.pp2_,_xlpm.accumWdPenalty,(_xlpm.startMinIncomeBase+_xlpm.pp1_+_xlpm.pp2_)*_xlpm.accumWdPenalty))</f>
        <v>0</v>
      </c>
      <c r="U34" s="53" cm="1">
        <f t="array" aca="1" ref="U34" ca="1">_xlfn.MAP($D34,$F34,_xlfn.LAMBDA(_xlpm.timeFromVal,_xlpm.ppInvested,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4" s="67" cm="1">
        <f t="array" aca="1" ref="V34" ca="1">_xlfn.LET(_xlpm.maxStepValuePreviousYear,_xlfn.LAMBDA(_xlpm.year,_xlfn.MAXIFS($O$12:$O$43,_xlfn.ANCHORARRAY($B$12),_xlpm.year-1)),
_xlfn.MAP(OFFSET($W34,-1,0),$D34,$J34,$K34,$G34,$B34,$E34,OFFSET($V34,-1,0),$N34,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4" s="67" cm="1">
        <f t="array" aca="1" ref="W34" ca="1">_xlfn.MAP($U34,$V34,_xlfn.LAMBDA(_xlpm.preActIB,_xlpm.postActIB, _xlpm.preActIB+_xlpm.postActIB))</f>
        <v>322768.92430278886</v>
      </c>
      <c r="X34" s="55" cm="1">
        <f t="array" aca="1" ref="X34" ca="1">_xlfn.MAP($I34,$W34,_xlfn.SEQUENCE(1,,MAW,0),_xlfn.LAMBDA(_xlpm.hasLifetimeIncomeStarted,_xlpm.IB,_xlpm.mawd,IF(NOT(_xlpm.hasLifetimeIncomeStarted),_xlpm.IB*_xlpm.mawd,0)))</f>
        <v>19366.135458167329</v>
      </c>
      <c r="Y34" s="56" cm="1">
        <f t="array" ref="Y34">_xlfn.MAP($I34,$K34,$W34,_xlfn.LAMBDA(_xlpm.HasLifetimeIncomeStarted,_xlpm.IsAnn,_xlpm.IncomeBase,IF(AND(_xlpm.HasLifetimeIncomeStarted,_xlpm.IsAnn),PIP*_xlpm.IncomeBase,0)))</f>
        <v>0</v>
      </c>
      <c r="AA34" s="26" t="s">
        <v>16</v>
      </c>
      <c r="AB34" s="14">
        <f t="shared" si="0"/>
        <v>0</v>
      </c>
      <c r="AC34" s="14">
        <f t="shared" si="1"/>
        <v>0</v>
      </c>
      <c r="AD34" s="14">
        <f t="shared" si="2"/>
        <v>0</v>
      </c>
      <c r="AE34" s="14">
        <f ca="1">Calculations[[#This Row],[Step-up Value]]-AO34</f>
        <v>0</v>
      </c>
      <c r="AF34" s="14">
        <f t="shared" ca="1" si="3"/>
        <v>0</v>
      </c>
      <c r="AG34" s="14">
        <f t="shared" ca="1" si="4"/>
        <v>-7.5697211141232401E-2</v>
      </c>
      <c r="AH34" s="14">
        <f t="shared" ca="1" si="5"/>
        <v>0.13545816732948879</v>
      </c>
      <c r="AI34" s="14">
        <f t="shared" si="6"/>
        <v>0</v>
      </c>
      <c r="AK34" s="26" t="s">
        <v>16</v>
      </c>
      <c r="AL34" s="25">
        <v>0</v>
      </c>
      <c r="AM34" s="25">
        <v>321000</v>
      </c>
      <c r="AN34" s="25">
        <v>26400</v>
      </c>
      <c r="AO34" s="21">
        <v>0</v>
      </c>
      <c r="AP34" s="21">
        <v>0</v>
      </c>
      <c r="AQ34" s="21">
        <v>322769</v>
      </c>
      <c r="AR34" s="21">
        <v>19366</v>
      </c>
      <c r="AS34" s="21">
        <v>0</v>
      </c>
    </row>
    <row r="35" spans="1:45" x14ac:dyDescent="0.25">
      <c r="A35" s="96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1">
        <v>325000</v>
      </c>
      <c r="H35" s="101">
        <v>0</v>
      </c>
      <c r="I35" s="59" t="b">
        <v>0</v>
      </c>
      <c r="J35" s="60" t="b">
        <v>1</v>
      </c>
      <c r="K35" s="60" t="b">
        <v>0</v>
      </c>
      <c r="L35" s="59" cm="1">
        <f t="array" ref="L35">_xlfn.MAP($E35,$H35,$G35,_xlfn.LAMBDA(_xlpm.IsActivation,_xlpm.wdTaken,_xlpm.ContractValue,IF(NOT(_xlpm.IsActivation),_xlpm.wdTaken/_xlpm.ContractValue,0)))</f>
        <v>0</v>
      </c>
      <c r="M35" s="59" cm="1">
        <f t="array" aca="1" ref="M35" ca="1">_xlfn.MAP(OFFSET($X35,-1,0),$E35,$H35,$G35,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5" s="61" cm="1">
        <f t="array" ref="N35">_xlfn.MAP($I35,$H35,$L35,$M35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5" s="62" cm="1">
        <f t="array" aca="1" ref="O35" ca="1">_xlfn.MAP(OFFSET($O35,-1,0),OFFSET($W35,-1,0),$G35,$F35,
         _xlfn.LAMBDA(_xlpm.prevStepUp,_xlpm.prevIncomeBase,_xlpm.contractValue,_xlpm.ppInvested,IF(_xlpm.contractValue-_xlpm.ppInvested&gt;MAX(_xlpm.prevStepUp,_xlpm.prevIncomeBase),_xlpm.contractValue,0)))</f>
        <v>325000</v>
      </c>
      <c r="P35" s="63" cm="1">
        <f t="array" ref="P35">_xlfn.MAP($J35,$D35,_xlfn.LAMBDA(_xlpm.hasWdOccurrAfterAct,_xlpm.timeFromValuation,IF(_xlpm.hasWdOccurrAfterAct,0,(1+INT(_xlpm.timeFromValuation)*Minimum_Income_Base_Percentage))*InitialPurchasePayment))</f>
        <v>0</v>
      </c>
      <c r="Q35" s="63" cm="1">
        <f t="array" ref="Q35">_xlfn.MAP($J35,$D35,_xlfn.LAMBDA(_xlpm.hasWdOccurredAfterActivation,_xlpm.timeFromValuation,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5" s="63" cm="1">
        <f t="array" ref="R35">_xlfn.MAP($J35,$D35,_xlfn.LAMBDA(_xlpm.hasWdOccurredAfterActivation,_xlpm.timeFromValuation,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5" s="63">
        <f ca="1"/>
        <v>0</v>
      </c>
      <c r="T35" s="59" cm="1">
        <f t="array" aca="1" ref="T35" ca="1">_xlfn.MAP($P35,$Q35,$R35,$S35,_xlfn.LAMBDA(_xlpm.startMinIncomeBase,_xlpm.pp1_,_xlpm.pp2_,_xlpm.accumWdPenalty,(_xlpm.startMinIncomeBase+_xlpm.pp1_+_xlpm.pp2_)*_xlpm.accumWdPenalty))</f>
        <v>0</v>
      </c>
      <c r="U35" s="62" cm="1">
        <f t="array" aca="1" ref="U35" ca="1">_xlfn.MAP($D35,$F35,_xlfn.LAMBDA(_xlpm.timeFromVal,_xlpm.ppInvested,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5" s="64" cm="1">
        <f t="array" aca="1" ref="V35" ca="1">_xlfn.LET(_xlpm.maxStepValuePreviousYear,_xlfn.LAMBDA(_xlpm.year,_xlfn.MAXIFS($O$12:$O$43,_xlfn.ANCHORARRAY($B$12),_xlpm.year-1)),
_xlfn.MAP(OFFSET($W35,-1,0),$D35,$J35,$K35,$G35,$B35,$E35,OFFSET($V35,-1,0),$N35,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322768.92430278886</v>
      </c>
      <c r="W35" s="64" cm="1">
        <f t="array" aca="1" ref="W35" ca="1">_xlfn.MAP($U35,$V35,_xlfn.LAMBDA(_xlpm.preActIB,_xlpm.postActIB, _xlpm.preActIB+_xlpm.postActIB))</f>
        <v>322768.92430278886</v>
      </c>
      <c r="X35" s="65" cm="1">
        <f t="array" aca="1" ref="X35" ca="1">_xlfn.MAP($I35,$W35,_xlfn.SEQUENCE(1,,MAW,0),_xlfn.LAMBDA(_xlpm.hasLifetimeIncomeStarted,_xlpm.IB,_xlpm.mawd,IF(NOT(_xlpm.hasLifetimeIncomeStarted),_xlpm.IB*_xlpm.mawd,0)))</f>
        <v>19366.135458167329</v>
      </c>
      <c r="Y35" s="66" cm="1">
        <f t="array" ref="Y35">_xlfn.MAP($I35,$K35,$W35,_xlfn.LAMBDA(_xlpm.HasLifetimeIncomeStarted,_xlpm.IsAnn,_xlpm.IncomeBase,IF(AND(_xlpm.HasLifetimeIncomeStarted,_xlpm.IsAnn),PIP*_xlpm.IncomeBase,0)))</f>
        <v>0</v>
      </c>
      <c r="AA35" s="26" t="s">
        <v>17</v>
      </c>
      <c r="AB35" s="14">
        <f t="shared" si="0"/>
        <v>0</v>
      </c>
      <c r="AC35" s="14">
        <f t="shared" si="1"/>
        <v>0</v>
      </c>
      <c r="AD35" s="14">
        <f t="shared" si="2"/>
        <v>0</v>
      </c>
      <c r="AE35" s="14">
        <f ca="1">Calculations[[#This Row],[Step-up Value]]-AO35</f>
        <v>0</v>
      </c>
      <c r="AF35" s="14">
        <f t="shared" ca="1" si="3"/>
        <v>0</v>
      </c>
      <c r="AG35" s="14">
        <f t="shared" ca="1" si="4"/>
        <v>-7.5697211141232401E-2</v>
      </c>
      <c r="AH35" s="14">
        <f t="shared" ca="1" si="5"/>
        <v>0.13545816732948879</v>
      </c>
      <c r="AI35" s="14">
        <f t="shared" si="6"/>
        <v>0</v>
      </c>
      <c r="AK35" s="26" t="s">
        <v>17</v>
      </c>
      <c r="AL35" s="25">
        <v>0</v>
      </c>
      <c r="AM35" s="25">
        <v>325000</v>
      </c>
      <c r="AN35" s="25">
        <v>0</v>
      </c>
      <c r="AO35" s="21">
        <v>325000</v>
      </c>
      <c r="AP35" s="21">
        <v>0</v>
      </c>
      <c r="AQ35" s="21">
        <v>322769</v>
      </c>
      <c r="AR35" s="21">
        <v>19366</v>
      </c>
      <c r="AS35" s="21">
        <v>0</v>
      </c>
    </row>
    <row r="36" spans="1:45" x14ac:dyDescent="0.25">
      <c r="A36" s="95" t="str">
        <v>7th Anniversary</v>
      </c>
      <c r="B36" s="48">
        <v>8</v>
      </c>
      <c r="C36" s="49">
        <v>0</v>
      </c>
      <c r="D36" s="50">
        <v>7</v>
      </c>
      <c r="E36" s="50" t="b">
        <v>1</v>
      </c>
      <c r="F36" s="50">
        <v>0</v>
      </c>
      <c r="G36" s="100">
        <v>317000</v>
      </c>
      <c r="H36" s="100">
        <v>0</v>
      </c>
      <c r="I36" s="50" t="b">
        <v>0</v>
      </c>
      <c r="J36" s="51" t="b">
        <v>1</v>
      </c>
      <c r="K36" s="51" t="b">
        <v>1</v>
      </c>
      <c r="L36" s="50" cm="1">
        <f t="array" ref="L36">_xlfn.MAP($E36,$H36,$G36,_xlfn.LAMBDA(_xlpm.IsActivation,_xlpm.wdTaken,_xlpm.ContractValue,IF(NOT(_xlpm.IsActivation),_xlpm.wdTaken/_xlpm.ContractValue,0)))</f>
        <v>0</v>
      </c>
      <c r="M36" s="50" cm="1">
        <f t="array" aca="1" ref="M36" ca="1">_xlfn.MAP(OFFSET($X36,-1,0),$E36,$H36,$G36,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6" s="52" cm="1">
        <f t="array" ref="N36">_xlfn.MAP($I36,$H36,$L36,$M36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6" s="53" cm="1">
        <f t="array" aca="1" ref="O36" ca="1">_xlfn.MAP(OFFSET($O36,-1,0),OFFSET($W36,-1,0),$G36,$F36,
         _xlfn.LAMBDA(_xlpm.prevStepUp,_xlpm.prevIncomeBase,_xlpm.contractValue,_xlpm.ppInvested,IF(_xlpm.contractValue-_xlpm.ppInvested&gt;MAX(_xlpm.prevStepUp,_xlpm.prevIncomeBase),_xlpm.contractValue,0)))</f>
        <v>0</v>
      </c>
      <c r="P36" s="54" cm="1">
        <f t="array" ref="P36">_xlfn.MAP($J36,$D36,_xlfn.LAMBDA(_xlpm.hasWdOccurrAfterAct,_xlpm.timeFromValuation,IF(_xlpm.hasWdOccurrAfterAct,0,(1+INT(_xlpm.timeFromValuation)*Minimum_Income_Base_Percentage))*InitialPurchasePayment))</f>
        <v>0</v>
      </c>
      <c r="Q36" s="54" cm="1">
        <f t="array" ref="Q36">_xlfn.MAP($J36,$D36,_xlfn.LAMBDA(_xlpm.hasWdOccurredAfterActivation,_xlpm.timeFromValuation,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6" s="54" cm="1">
        <f t="array" ref="R36">_xlfn.MAP($J36,$D36,_xlfn.LAMBDA(_xlpm.hasWdOccurredAfterActivation,_xlpm.timeFromValuation,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6" s="54">
        <f ca="1"/>
        <v>0</v>
      </c>
      <c r="T36" s="50" cm="1">
        <f t="array" aca="1" ref="T36" ca="1">_xlfn.MAP($P36,$Q36,$R36,$S36,_xlfn.LAMBDA(_xlpm.startMinIncomeBase,_xlpm.pp1_,_xlpm.pp2_,_xlpm.accumWdPenalty,(_xlpm.startMinIncomeBase+_xlpm.pp1_+_xlpm.pp2_)*_xlpm.accumWdPenalty))</f>
        <v>0</v>
      </c>
      <c r="U36" s="53" cm="1">
        <f t="array" aca="1" ref="U36" ca="1">_xlfn.MAP($D36,$F36,_xlfn.LAMBDA(_xlpm.timeFromVal,_xlpm.ppInvested,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6" s="67" cm="1">
        <f t="array" aca="1" ref="V36" ca="1">_xlfn.LET(_xlpm.maxStepValuePreviousYear,_xlfn.LAMBDA(_xlpm.year,_xlfn.MAXIFS($O$12:$O$43,_xlfn.ANCHORARRAY($B$12),_xlpm.year-1)),
_xlfn.MAP(OFFSET($W36,-1,0),$D36,$J36,$K36,$G36,$B36,$E36,OFFSET($V36,-1,0),$N36,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325000</v>
      </c>
      <c r="W36" s="67" cm="1">
        <f t="array" aca="1" ref="W36" ca="1">_xlfn.MAP($U36,$V36,_xlfn.LAMBDA(_xlpm.preActIB,_xlpm.postActIB, _xlpm.preActIB+_xlpm.postActIB))</f>
        <v>325000</v>
      </c>
      <c r="X36" s="55" cm="1">
        <f t="array" aca="1" ref="X36" ca="1">_xlfn.MAP($I36,$W36,_xlfn.SEQUENCE(1,,MAW,0),_xlfn.LAMBDA(_xlpm.hasLifetimeIncomeStarted,_xlpm.IB,_xlpm.mawd,IF(NOT(_xlpm.hasLifetimeIncomeStarted),_xlpm.IB*_xlpm.mawd,0)))</f>
        <v>19500</v>
      </c>
      <c r="Y36" s="56" cm="1">
        <f t="array" ref="Y36">_xlfn.MAP($I36,$K36,$W36,_xlfn.LAMBDA(_xlpm.HasLifetimeIncomeStarted,_xlpm.IsAnn,_xlpm.IncomeBase,IF(AND(_xlpm.HasLifetimeIncomeStarted,_xlpm.IsAnn),PIP*_xlpm.IncomeBase,0)))</f>
        <v>0</v>
      </c>
      <c r="AA36" s="26" t="s">
        <v>18</v>
      </c>
      <c r="AB36" s="14">
        <f t="shared" si="0"/>
        <v>0</v>
      </c>
      <c r="AC36" s="14">
        <f t="shared" si="1"/>
        <v>0</v>
      </c>
      <c r="AD36" s="14">
        <f t="shared" si="2"/>
        <v>0</v>
      </c>
      <c r="AE36" s="14">
        <f ca="1">Calculations[[#This Row],[Step-up Value]]-AO36</f>
        <v>0</v>
      </c>
      <c r="AF36" s="14">
        <f t="shared" ca="1" si="3"/>
        <v>0</v>
      </c>
      <c r="AG36" s="14">
        <f t="shared" ca="1" si="4"/>
        <v>0</v>
      </c>
      <c r="AH36" s="14">
        <f t="shared" ca="1" si="5"/>
        <v>0</v>
      </c>
      <c r="AI36" s="14">
        <f t="shared" si="6"/>
        <v>0</v>
      </c>
      <c r="AK36" s="26" t="s">
        <v>18</v>
      </c>
      <c r="AL36" s="25">
        <v>0</v>
      </c>
      <c r="AM36" s="25">
        <v>317000</v>
      </c>
      <c r="AN36" s="25">
        <v>0</v>
      </c>
      <c r="AO36" s="21">
        <v>0</v>
      </c>
      <c r="AP36" s="21">
        <v>0</v>
      </c>
      <c r="AQ36" s="21">
        <v>325000</v>
      </c>
      <c r="AR36" s="21">
        <v>19500</v>
      </c>
      <c r="AS36" s="21">
        <v>0</v>
      </c>
    </row>
    <row r="37" spans="1:45" x14ac:dyDescent="0.25">
      <c r="A37" s="96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1">
        <v>307000</v>
      </c>
      <c r="H37" s="101">
        <v>26000</v>
      </c>
      <c r="I37" s="59" t="b">
        <v>0</v>
      </c>
      <c r="J37" s="60" t="b">
        <v>1</v>
      </c>
      <c r="K37" s="60" t="b">
        <v>0</v>
      </c>
      <c r="L37" s="59" cm="1">
        <f t="array" ref="L37">_xlfn.MAP($E37,$H37,$G37,_xlfn.LAMBDA(_xlpm.IsActivation,_xlpm.wdTaken,_xlpm.ContractValue,IF(NOT(_xlpm.IsActivation),_xlpm.wdTaken/_xlpm.ContractValue,0)))</f>
        <v>0</v>
      </c>
      <c r="M37" s="59" cm="1">
        <f t="array" aca="1" ref="M37" ca="1">_xlfn.MAP(OFFSET($X37,-1,0),$E37,$H37,$G37,
       _xlfn.LAMBDA(_xlpm.prevMawa,_xlpm.isActivated,_xlpm.wdTaken,_xlpm.cv,
        _xlfn.LET(_xlpm.haircut,(_xlpm.wdTaken-_xlpm.prevMawa)/(_xlpm.cv-_xlpm.prevMawa),
            IF(AND(_xlpm.isActivated,_xlpm.wdTaken&gt;_xlpm.prevMawa),_xlpm.haircut,0))))</f>
        <v>2.2608695652173914E-2</v>
      </c>
      <c r="N37" s="61" cm="1">
        <f t="array" aca="1" ref="N37" ca="1">_xlfn.MAP($I37,$H37,$L37,$M37,_xlfn.LAMBDA(_xlpm.hasLifetimeIncomeStarted,_xlpm.wdTaken,_xlpm.wdHaircutBeforeActivation,_xlpm.wdHaircutAfterActivation,1-IF(AND(NOT(_xlpm.hasLifetimeIncomeStarted),_xlpm.wdTaken&gt;0),_xlpm.wdHaircutBeforeActivation+_xlpm.wdHaircutAfterActivation,0)))</f>
        <v>0.97739130434782606</v>
      </c>
      <c r="O37" s="62" cm="1">
        <f t="array" aca="1" ref="O37" ca="1">_xlfn.MAP(OFFSET($O37,-1,0),OFFSET($W37,-1,0),$G37,$F37,
         _xlfn.LAMBDA(_xlpm.prevStepUp,_xlpm.prevIncomeBase,_xlpm.contractValue,_xlpm.ppInvested,IF(_xlpm.contractValue-_xlpm.ppInvested&gt;MAX(_xlpm.prevStepUp,_xlpm.prevIncomeBase),_xlpm.contractValue,0)))</f>
        <v>0</v>
      </c>
      <c r="P37" s="63" cm="1">
        <f t="array" ref="P37">_xlfn.MAP($J37,$D37,_xlfn.LAMBDA(_xlpm.hasWdOccurrAfterAct,_xlpm.timeFromValuation,IF(_xlpm.hasWdOccurrAfterAct,0,(1+INT(_xlpm.timeFromValuation)*Minimum_Income_Base_Percentage))*InitialPurchasePayment))</f>
        <v>0</v>
      </c>
      <c r="Q37" s="63" cm="1">
        <f t="array" ref="Q37">_xlfn.MAP($J37,$D37,_xlfn.LAMBDA(_xlpm.hasWdOccurredAfterActivation,_xlpm.timeFromValuation,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7" s="63" cm="1">
        <f t="array" ref="R37">_xlfn.MAP($J37,$D37,_xlfn.LAMBDA(_xlpm.hasWdOccurredAfterActivation,_xlpm.timeFromValuation,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7" s="63">
        <f ca="1"/>
        <v>0</v>
      </c>
      <c r="T37" s="59" cm="1">
        <f t="array" aca="1" ref="T37" ca="1">_xlfn.MAP($P37,$Q37,$R37,$S37,_xlfn.LAMBDA(_xlpm.startMinIncomeBase,_xlpm.pp1_,_xlpm.pp2_,_xlpm.accumWdPenalty,(_xlpm.startMinIncomeBase+_xlpm.pp1_+_xlpm.pp2_)*_xlpm.accumWdPenalty))</f>
        <v>0</v>
      </c>
      <c r="U37" s="62" cm="1">
        <f t="array" aca="1" ref="U37" ca="1">_xlfn.MAP($D37,$F37,_xlfn.LAMBDA(_xlpm.timeFromVal,_xlpm.ppInvested,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7" s="64" cm="1">
        <f t="array" aca="1" ref="V37" ca="1">_xlfn.LET(_xlpm.maxStepValuePreviousYear,_xlfn.LAMBDA(_xlpm.year,_xlfn.MAXIFS($O$12:$O$43,_xlfn.ANCHORARRAY($B$12),_xlpm.year-1)),
_xlfn.MAP(OFFSET($W37,-1,0),$D37,$J37,$K37,$G37,$B37,$E37,OFFSET($V37,-1,0),$N37,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7" s="64" cm="1">
        <f t="array" aca="1" ref="W37" ca="1">_xlfn.MAP($U37,$V37,_xlfn.LAMBDA(_xlpm.preActIB,_xlpm.postActIB, _xlpm.preActIB+_xlpm.postActIB))</f>
        <v>317652.17391304346</v>
      </c>
      <c r="X37" s="65" cm="1">
        <f t="array" aca="1" ref="X37" ca="1">_xlfn.MAP($I37,$W37,_xlfn.SEQUENCE(1,,MAW,0),_xlfn.LAMBDA(_xlpm.hasLifetimeIncomeStarted,_xlpm.IB,_xlpm.mawd,IF(NOT(_xlpm.hasLifetimeIncomeStarted),_xlpm.IB*_xlpm.mawd,0)))</f>
        <v>19059.130434782608</v>
      </c>
      <c r="Y37" s="66" cm="1">
        <f t="array" ref="Y37">_xlfn.MAP($I37,$K37,$W37,_xlfn.LAMBDA(_xlpm.HasLifetimeIncomeStarted,_xlpm.IsAnn,_xlpm.IncomeBase,IF(AND(_xlpm.HasLifetimeIncomeStarted,_xlpm.IsAnn),PIP*_xlpm.IncomeBase,0)))</f>
        <v>0</v>
      </c>
      <c r="AA37" s="26" t="s">
        <v>19</v>
      </c>
      <c r="AB37" s="14">
        <f t="shared" si="0"/>
        <v>0</v>
      </c>
      <c r="AC37" s="14">
        <f t="shared" si="1"/>
        <v>0</v>
      </c>
      <c r="AD37" s="14">
        <f t="shared" si="2"/>
        <v>0</v>
      </c>
      <c r="AE37" s="14">
        <f ca="1">Calculations[[#This Row],[Step-up Value]]-AO37</f>
        <v>0</v>
      </c>
      <c r="AF37" s="14">
        <f t="shared" ca="1" si="3"/>
        <v>0</v>
      </c>
      <c r="AG37" s="14">
        <f t="shared" ca="1" si="4"/>
        <v>0.17391304345801473</v>
      </c>
      <c r="AH37" s="14">
        <f t="shared" ca="1" si="5"/>
        <v>0.13043478260806296</v>
      </c>
      <c r="AI37" s="14">
        <f t="shared" si="6"/>
        <v>0</v>
      </c>
      <c r="AK37" s="26" t="s">
        <v>19</v>
      </c>
      <c r="AL37" s="25">
        <v>0</v>
      </c>
      <c r="AM37" s="25">
        <v>307000</v>
      </c>
      <c r="AN37" s="25">
        <v>26000</v>
      </c>
      <c r="AO37" s="21">
        <v>0</v>
      </c>
      <c r="AP37" s="21">
        <v>0</v>
      </c>
      <c r="AQ37" s="21">
        <v>317652</v>
      </c>
      <c r="AR37" s="21">
        <v>19059</v>
      </c>
      <c r="AS37" s="21">
        <v>0</v>
      </c>
    </row>
    <row r="38" spans="1:45" x14ac:dyDescent="0.25">
      <c r="A38" s="95" t="str">
        <v>8th Anniversary</v>
      </c>
      <c r="B38" s="48">
        <v>9</v>
      </c>
      <c r="C38" s="49">
        <v>0</v>
      </c>
      <c r="D38" s="50">
        <v>8</v>
      </c>
      <c r="E38" s="50" t="b">
        <v>1</v>
      </c>
      <c r="F38" s="50">
        <v>0</v>
      </c>
      <c r="G38" s="100">
        <v>270000</v>
      </c>
      <c r="H38" s="100">
        <v>0</v>
      </c>
      <c r="I38" s="50" t="b">
        <v>0</v>
      </c>
      <c r="J38" s="51" t="b">
        <v>1</v>
      </c>
      <c r="K38" s="51" t="b">
        <v>1</v>
      </c>
      <c r="L38" s="50" cm="1">
        <f t="array" ref="L38">_xlfn.MAP($E38,$H38,$G38,_xlfn.LAMBDA(_xlpm.IsActivation,_xlpm.wdTaken,_xlpm.ContractValue,IF(NOT(_xlpm.IsActivation),_xlpm.wdTaken/_xlpm.ContractValue,0)))</f>
        <v>0</v>
      </c>
      <c r="M38" s="50" cm="1">
        <f t="array" aca="1" ref="M38" ca="1">_xlfn.MAP(OFFSET($X38,-1,0),$E38,$H38,$G38,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8" s="52" cm="1">
        <f t="array" ref="N38">_xlfn.MAP($I38,$H38,$L38,$M38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8" s="53" cm="1">
        <f t="array" aca="1" ref="O38" ca="1">_xlfn.MAP(OFFSET($O38,-1,0),OFFSET($W38,-1,0),$G38,$F38,
         _xlfn.LAMBDA(_xlpm.prevStepUp,_xlpm.prevIncomeBase,_xlpm.contractValue,_xlpm.ppInvested,IF(_xlpm.contractValue-_xlpm.ppInvested&gt;MAX(_xlpm.prevStepUp,_xlpm.prevIncomeBase),_xlpm.contractValue,0)))</f>
        <v>0</v>
      </c>
      <c r="P38" s="54" cm="1">
        <f t="array" ref="P38">_xlfn.MAP($J38,$D38,_xlfn.LAMBDA(_xlpm.hasWdOccurrAfterAct,_xlpm.timeFromValuation,IF(_xlpm.hasWdOccurrAfterAct,0,(1+INT(_xlpm.timeFromValuation)*Minimum_Income_Base_Percentage))*InitialPurchasePayment))</f>
        <v>0</v>
      </c>
      <c r="Q38" s="54" cm="1">
        <f t="array" ref="Q38">_xlfn.MAP($J38,$D38,_xlfn.LAMBDA(_xlpm.hasWdOccurredAfterActivation,_xlpm.timeFromValuation,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8" s="54" cm="1">
        <f t="array" ref="R38">_xlfn.MAP($J38,$D38,_xlfn.LAMBDA(_xlpm.hasWdOccurredAfterActivation,_xlpm.timeFromValuation,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8" s="54">
        <f ca="1"/>
        <v>0</v>
      </c>
      <c r="T38" s="50" cm="1">
        <f t="array" aca="1" ref="T38" ca="1">_xlfn.MAP($P38,$Q38,$R38,$S38,_xlfn.LAMBDA(_xlpm.startMinIncomeBase,_xlpm.pp1_,_xlpm.pp2_,_xlpm.accumWdPenalty,(_xlpm.startMinIncomeBase+_xlpm.pp1_+_xlpm.pp2_)*_xlpm.accumWdPenalty))</f>
        <v>0</v>
      </c>
      <c r="U38" s="53" cm="1">
        <f t="array" aca="1" ref="U38" ca="1">_xlfn.MAP($D38,$F38,_xlfn.LAMBDA(_xlpm.timeFromVal,_xlpm.ppInvested,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8" s="67" cm="1">
        <f t="array" aca="1" ref="V38" ca="1">_xlfn.LET(_xlpm.maxStepValuePreviousYear,_xlfn.LAMBDA(_xlpm.year,_xlfn.MAXIFS($O$12:$O$43,_xlfn.ANCHORARRAY($B$12),_xlpm.year-1)),
_xlfn.MAP(OFFSET($W38,-1,0),$D38,$J38,$K38,$G38,$B38,$E38,OFFSET($V38,-1,0),$N38,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8" s="67" cm="1">
        <f t="array" aca="1" ref="W38" ca="1">_xlfn.MAP($U38,$V38,_xlfn.LAMBDA(_xlpm.preActIB,_xlpm.postActIB, _xlpm.preActIB+_xlpm.postActIB))</f>
        <v>317652.17391304346</v>
      </c>
      <c r="X38" s="55" cm="1">
        <f t="array" aca="1" ref="X38" ca="1">_xlfn.MAP($I38,$W38,_xlfn.SEQUENCE(1,,MAW,0),_xlfn.LAMBDA(_xlpm.hasLifetimeIncomeStarted,_xlpm.IB,_xlpm.mawd,IF(NOT(_xlpm.hasLifetimeIncomeStarted),_xlpm.IB*_xlpm.mawd,0)))</f>
        <v>19059.130434782608</v>
      </c>
      <c r="Y38" s="56" cm="1">
        <f t="array" ref="Y38">_xlfn.MAP($I38,$K38,$W38,_xlfn.LAMBDA(_xlpm.HasLifetimeIncomeStarted,_xlpm.IsAnn,_xlpm.IncomeBase,IF(AND(_xlpm.HasLifetimeIncomeStarted,_xlpm.IsAnn),PIP*_xlpm.IncomeBase,0)))</f>
        <v>0</v>
      </c>
      <c r="AA38" s="26" t="s">
        <v>20</v>
      </c>
      <c r="AB38" s="14">
        <f t="shared" si="0"/>
        <v>0</v>
      </c>
      <c r="AC38" s="14">
        <f t="shared" si="1"/>
        <v>0</v>
      </c>
      <c r="AD38" s="14">
        <f t="shared" si="2"/>
        <v>0</v>
      </c>
      <c r="AE38" s="14">
        <f ca="1">Calculations[[#This Row],[Step-up Value]]-AO38</f>
        <v>0</v>
      </c>
      <c r="AF38" s="14">
        <f t="shared" ca="1" si="3"/>
        <v>0</v>
      </c>
      <c r="AG38" s="14">
        <f t="shared" ca="1" si="4"/>
        <v>0.17391304345801473</v>
      </c>
      <c r="AH38" s="14">
        <f t="shared" ca="1" si="5"/>
        <v>0.13043478260806296</v>
      </c>
      <c r="AI38" s="14">
        <f t="shared" si="6"/>
        <v>0</v>
      </c>
      <c r="AK38" s="26" t="s">
        <v>20</v>
      </c>
      <c r="AL38" s="25">
        <v>0</v>
      </c>
      <c r="AM38" s="25">
        <v>270000</v>
      </c>
      <c r="AN38" s="25">
        <v>0</v>
      </c>
      <c r="AO38" s="21">
        <v>0</v>
      </c>
      <c r="AP38" s="21">
        <v>0</v>
      </c>
      <c r="AQ38" s="21">
        <v>317652</v>
      </c>
      <c r="AR38" s="21">
        <v>19059</v>
      </c>
      <c r="AS38" s="21">
        <v>0</v>
      </c>
    </row>
    <row r="39" spans="1:45" x14ac:dyDescent="0.25">
      <c r="A39" s="96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1">
        <v>150000</v>
      </c>
      <c r="H39" s="101">
        <v>19059</v>
      </c>
      <c r="I39" s="59" t="b">
        <v>0</v>
      </c>
      <c r="J39" s="60" t="b">
        <v>1</v>
      </c>
      <c r="K39" s="60" t="b">
        <v>1</v>
      </c>
      <c r="L39" s="59" cm="1">
        <f t="array" ref="L39">_xlfn.MAP($E39,$H39,$G39,_xlfn.LAMBDA(_xlpm.IsActivation,_xlpm.wdTaken,_xlpm.ContractValue,IF(NOT(_xlpm.IsActivation),_xlpm.wdTaken/_xlpm.ContractValue,0)))</f>
        <v>0</v>
      </c>
      <c r="M39" s="59" cm="1">
        <f t="array" aca="1" ref="M39" ca="1">_xlfn.MAP(OFFSET($X39,-1,0),$E39,$H39,$G39,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39" s="61" cm="1">
        <f t="array" aca="1" ref="N39" ca="1">_xlfn.MAP($I39,$H39,$L39,$M39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39" s="62" cm="1">
        <f t="array" aca="1" ref="O39" ca="1">_xlfn.MAP(OFFSET($O39,-1,0),OFFSET($W39,-1,0),$G39,$F39,
         _xlfn.LAMBDA(_xlpm.prevStepUp,_xlpm.prevIncomeBase,_xlpm.contractValue,_xlpm.ppInvested,IF(_xlpm.contractValue-_xlpm.ppInvested&gt;MAX(_xlpm.prevStepUp,_xlpm.prevIncomeBase),_xlpm.contractValue,0)))</f>
        <v>0</v>
      </c>
      <c r="P39" s="63" cm="1">
        <f t="array" ref="P39">_xlfn.MAP($J39,$D39,_xlfn.LAMBDA(_xlpm.hasWdOccurrAfterAct,_xlpm.timeFromValuation,IF(_xlpm.hasWdOccurrAfterAct,0,(1+INT(_xlpm.timeFromValuation)*Minimum_Income_Base_Percentage))*InitialPurchasePayment))</f>
        <v>0</v>
      </c>
      <c r="Q39" s="63" cm="1">
        <f t="array" ref="Q39">_xlfn.MAP($J39,$D39,_xlfn.LAMBDA(_xlpm.hasWdOccurredAfterActivation,_xlpm.timeFromValuation,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39" s="63" cm="1">
        <f t="array" ref="R39">_xlfn.MAP($J39,$D39,_xlfn.LAMBDA(_xlpm.hasWdOccurredAfterActivation,_xlpm.timeFromValuation,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39" s="63">
        <f ca="1"/>
        <v>0</v>
      </c>
      <c r="T39" s="59" cm="1">
        <f t="array" aca="1" ref="T39" ca="1">_xlfn.MAP($P39,$Q39,$R39,$S39,_xlfn.LAMBDA(_xlpm.startMinIncomeBase,_xlpm.pp1_,_xlpm.pp2_,_xlpm.accumWdPenalty,(_xlpm.startMinIncomeBase+_xlpm.pp1_+_xlpm.pp2_)*_xlpm.accumWdPenalty))</f>
        <v>0</v>
      </c>
      <c r="U39" s="62" cm="1">
        <f t="array" aca="1" ref="U39" ca="1">_xlfn.MAP($D39,$F39,_xlfn.LAMBDA(_xlpm.timeFromVal,_xlpm.ppInvested,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39" s="64" cm="1">
        <f t="array" aca="1" ref="V39" ca="1">_xlfn.LET(_xlpm.maxStepValuePreviousYear,_xlfn.LAMBDA(_xlpm.year,_xlfn.MAXIFS($O$12:$O$43,_xlfn.ANCHORARRAY($B$12),_xlpm.year-1)),
_xlfn.MAP(OFFSET($W39,-1,0),$D39,$J39,$K39,$G39,$B39,$E39,OFFSET($V39,-1,0),$N39,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39" s="64" cm="1">
        <f t="array" aca="1" ref="W39" ca="1">_xlfn.MAP($U39,$V39,_xlfn.LAMBDA(_xlpm.preActIB,_xlpm.postActIB, _xlpm.preActIB+_xlpm.postActIB))</f>
        <v>317652.17391304346</v>
      </c>
      <c r="X39" s="65" cm="1">
        <f t="array" aca="1" ref="X39" ca="1">_xlfn.MAP($I39,$W39,_xlfn.SEQUENCE(1,,MAW,0),_xlfn.LAMBDA(_xlpm.hasLifetimeIncomeStarted,_xlpm.IB,_xlpm.mawd,IF(NOT(_xlpm.hasLifetimeIncomeStarted),_xlpm.IB*_xlpm.mawd,0)))</f>
        <v>19059.130434782608</v>
      </c>
      <c r="Y39" s="66" cm="1">
        <f t="array" ref="Y39">_xlfn.MAP($I39,$K39,$W39,_xlfn.LAMBDA(_xlpm.HasLifetimeIncomeStarted,_xlpm.IsAnn,_xlpm.IncomeBase,IF(AND(_xlpm.HasLifetimeIncomeStarted,_xlpm.IsAnn),PIP*_xlpm.IncomeBase,0)))</f>
        <v>0</v>
      </c>
      <c r="AA39" s="26" t="s">
        <v>21</v>
      </c>
      <c r="AB39" s="14">
        <f t="shared" si="0"/>
        <v>0</v>
      </c>
      <c r="AC39" s="14">
        <f t="shared" si="1"/>
        <v>0</v>
      </c>
      <c r="AD39" s="14">
        <f t="shared" si="2"/>
        <v>0</v>
      </c>
      <c r="AE39" s="14">
        <f ca="1">Calculations[[#This Row],[Step-up Value]]-AO39</f>
        <v>0</v>
      </c>
      <c r="AF39" s="14">
        <f t="shared" ca="1" si="3"/>
        <v>0</v>
      </c>
      <c r="AG39" s="14">
        <f t="shared" ca="1" si="4"/>
        <v>0.17391304345801473</v>
      </c>
      <c r="AH39" s="14">
        <f t="shared" ca="1" si="5"/>
        <v>0.13043478260806296</v>
      </c>
      <c r="AI39" s="14">
        <f t="shared" si="6"/>
        <v>0</v>
      </c>
      <c r="AK39" s="26" t="s">
        <v>21</v>
      </c>
      <c r="AL39" s="25">
        <v>0</v>
      </c>
      <c r="AM39" s="25">
        <v>150000</v>
      </c>
      <c r="AN39" s="25">
        <v>19059</v>
      </c>
      <c r="AO39" s="21">
        <v>0</v>
      </c>
      <c r="AP39" s="21">
        <v>0</v>
      </c>
      <c r="AQ39" s="21">
        <v>317652</v>
      </c>
      <c r="AR39" s="21">
        <v>19059</v>
      </c>
      <c r="AS39" s="21">
        <v>0</v>
      </c>
    </row>
    <row r="40" spans="1:45" x14ac:dyDescent="0.25">
      <c r="A40" s="95" t="str">
        <v>10th Anniversary</v>
      </c>
      <c r="B40" s="48">
        <v>11</v>
      </c>
      <c r="C40" s="49">
        <v>0</v>
      </c>
      <c r="D40" s="50">
        <v>10</v>
      </c>
      <c r="E40" s="50" t="b">
        <v>1</v>
      </c>
      <c r="F40" s="50">
        <v>0</v>
      </c>
      <c r="G40" s="100">
        <v>100000</v>
      </c>
      <c r="H40" s="100">
        <v>19059</v>
      </c>
      <c r="I40" s="50" t="b">
        <v>0</v>
      </c>
      <c r="J40" s="51" t="b">
        <v>1</v>
      </c>
      <c r="K40" s="51" t="b">
        <v>1</v>
      </c>
      <c r="L40" s="50" cm="1">
        <f t="array" ref="L40">_xlfn.MAP($E40,$H40,$G40,_xlfn.LAMBDA(_xlpm.IsActivation,_xlpm.wdTaken,_xlpm.ContractValue,IF(NOT(_xlpm.IsActivation),_xlpm.wdTaken/_xlpm.ContractValue,0)))</f>
        <v>0</v>
      </c>
      <c r="M40" s="50" cm="1">
        <f t="array" aca="1" ref="M40" ca="1">_xlfn.MAP(OFFSET($X40,-1,0),$E40,$H40,$G40,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0" s="52" cm="1">
        <f t="array" aca="1" ref="N40" ca="1">_xlfn.MAP($I40,$H40,$L40,$M40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0" s="53" cm="1">
        <f t="array" aca="1" ref="O40" ca="1">_xlfn.MAP(OFFSET($O40,-1,0),OFFSET($W40,-1,0),$G40,$F40,
         _xlfn.LAMBDA(_xlpm.prevStepUp,_xlpm.prevIncomeBase,_xlpm.contractValue,_xlpm.ppInvested,IF(_xlpm.contractValue-_xlpm.ppInvested&gt;MAX(_xlpm.prevStepUp,_xlpm.prevIncomeBase),_xlpm.contractValue,0)))</f>
        <v>0</v>
      </c>
      <c r="P40" s="54" cm="1">
        <f t="array" ref="P40">_xlfn.MAP($J40,$D40,_xlfn.LAMBDA(_xlpm.hasWdOccurrAfterAct,_xlpm.timeFromValuation,IF(_xlpm.hasWdOccurrAfterAct,0,(1+INT(_xlpm.timeFromValuation)*Minimum_Income_Base_Percentage))*InitialPurchasePayment))</f>
        <v>0</v>
      </c>
      <c r="Q40" s="54" cm="1">
        <f t="array" ref="Q40">_xlfn.MAP($J40,$D40,_xlfn.LAMBDA(_xlpm.hasWdOccurredAfterActivation,_xlpm.timeFromValuation,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0" s="54" cm="1">
        <f t="array" ref="R40">_xlfn.MAP($J40,$D40,_xlfn.LAMBDA(_xlpm.hasWdOccurredAfterActivation,_xlpm.timeFromValuation,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0" s="54">
        <f ca="1"/>
        <v>0</v>
      </c>
      <c r="T40" s="50" cm="1">
        <f t="array" aca="1" ref="T40" ca="1">_xlfn.MAP($P40,$Q40,$R40,$S40,_xlfn.LAMBDA(_xlpm.startMinIncomeBase,_xlpm.pp1_,_xlpm.pp2_,_xlpm.accumWdPenalty,(_xlpm.startMinIncomeBase+_xlpm.pp1_+_xlpm.pp2_)*_xlpm.accumWdPenalty))</f>
        <v>0</v>
      </c>
      <c r="U40" s="53" cm="1">
        <f t="array" aca="1" ref="U40" ca="1">_xlfn.MAP($D40,$F40,_xlfn.LAMBDA(_xlpm.timeFromVal,_xlpm.ppInvested,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0" s="67" cm="1">
        <f t="array" aca="1" ref="V40" ca="1">_xlfn.LET(_xlpm.maxStepValuePreviousYear,_xlfn.LAMBDA(_xlpm.year,_xlfn.MAXIFS($O$12:$O$43,_xlfn.ANCHORARRAY($B$12),_xlpm.year-1)),
_xlfn.MAP(OFFSET($W40,-1,0),$D40,$J40,$K40,$G40,$B40,$E40,OFFSET($V40,-1,0),$N40,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0" s="67" cm="1">
        <f t="array" aca="1" ref="W40" ca="1">_xlfn.MAP($U40,$V40,_xlfn.LAMBDA(_xlpm.preActIB,_xlpm.postActIB, _xlpm.preActIB+_xlpm.postActIB))</f>
        <v>317652.17391304346</v>
      </c>
      <c r="X40" s="55" cm="1">
        <f t="array" aca="1" ref="X40" ca="1">_xlfn.MAP($I40,$W40,_xlfn.SEQUENCE(1,,MAW,0),_xlfn.LAMBDA(_xlpm.hasLifetimeIncomeStarted,_xlpm.IB,_xlpm.mawd,IF(NOT(_xlpm.hasLifetimeIncomeStarted),_xlpm.IB*_xlpm.mawd,0)))</f>
        <v>19059.130434782608</v>
      </c>
      <c r="Y40" s="56" cm="1">
        <f t="array" ref="Y40">_xlfn.MAP($I40,$K40,$W40,_xlfn.LAMBDA(_xlpm.HasLifetimeIncomeStarted,_xlpm.IsAnn,_xlpm.IncomeBase,IF(AND(_xlpm.HasLifetimeIncomeStarted,_xlpm.IsAnn),PIP*_xlpm.IncomeBase,0)))</f>
        <v>0</v>
      </c>
      <c r="AA40" s="26" t="s">
        <v>22</v>
      </c>
      <c r="AB40" s="14">
        <f t="shared" si="0"/>
        <v>0</v>
      </c>
      <c r="AC40" s="14">
        <f t="shared" si="1"/>
        <v>0</v>
      </c>
      <c r="AD40" s="14">
        <f t="shared" si="2"/>
        <v>0</v>
      </c>
      <c r="AE40" s="14">
        <f ca="1">Calculations[[#This Row],[Step-up Value]]-AO40</f>
        <v>0</v>
      </c>
      <c r="AF40" s="14">
        <f t="shared" ca="1" si="3"/>
        <v>0</v>
      </c>
      <c r="AG40" s="14">
        <f t="shared" ca="1" si="4"/>
        <v>0.17391304345801473</v>
      </c>
      <c r="AH40" s="14">
        <f t="shared" ca="1" si="5"/>
        <v>0.13043478260806296</v>
      </c>
      <c r="AI40" s="14">
        <f t="shared" si="6"/>
        <v>0</v>
      </c>
      <c r="AK40" s="26" t="s">
        <v>22</v>
      </c>
      <c r="AL40" s="25">
        <v>0</v>
      </c>
      <c r="AM40" s="25">
        <v>100000</v>
      </c>
      <c r="AN40" s="25">
        <v>19059</v>
      </c>
      <c r="AO40" s="21">
        <v>0</v>
      </c>
      <c r="AP40" s="21">
        <v>0</v>
      </c>
      <c r="AQ40" s="21">
        <v>317652</v>
      </c>
      <c r="AR40" s="21">
        <v>19059</v>
      </c>
      <c r="AS40" s="21">
        <v>0</v>
      </c>
    </row>
    <row r="41" spans="1:45" x14ac:dyDescent="0.25">
      <c r="A41" s="96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1">
        <v>50000</v>
      </c>
      <c r="H41" s="101">
        <v>19059</v>
      </c>
      <c r="I41" s="59" t="b">
        <v>0</v>
      </c>
      <c r="J41" s="60" t="b">
        <v>1</v>
      </c>
      <c r="K41" s="60" t="b">
        <v>1</v>
      </c>
      <c r="L41" s="59" cm="1">
        <f t="array" ref="L41">_xlfn.MAP($E41,$H41,$G41,_xlfn.LAMBDA(_xlpm.IsActivation,_xlpm.wdTaken,_xlpm.ContractValue,IF(NOT(_xlpm.IsActivation),_xlpm.wdTaken/_xlpm.ContractValue,0)))</f>
        <v>0</v>
      </c>
      <c r="M41" s="59" cm="1">
        <f t="array" aca="1" ref="M41" ca="1">_xlfn.MAP(OFFSET($X41,-1,0),$E41,$H41,$G41,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1" s="61" cm="1">
        <f t="array" aca="1" ref="N41" ca="1">_xlfn.MAP($I41,$H41,$L41,$M41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1" s="62" cm="1">
        <f t="array" aca="1" ref="O41" ca="1">_xlfn.MAP(OFFSET($O41,-1,0),OFFSET($W41,-1,0),$G41,$F41,
         _xlfn.LAMBDA(_xlpm.prevStepUp,_xlpm.prevIncomeBase,_xlpm.contractValue,_xlpm.ppInvested,IF(_xlpm.contractValue-_xlpm.ppInvested&gt;MAX(_xlpm.prevStepUp,_xlpm.prevIncomeBase),_xlpm.contractValue,0)))</f>
        <v>0</v>
      </c>
      <c r="P41" s="63" cm="1">
        <f t="array" ref="P41">_xlfn.MAP($J41,$D41,_xlfn.LAMBDA(_xlpm.hasWdOccurrAfterAct,_xlpm.timeFromValuation,IF(_xlpm.hasWdOccurrAfterAct,0,(1+INT(_xlpm.timeFromValuation)*Minimum_Income_Base_Percentage))*InitialPurchasePayment))</f>
        <v>0</v>
      </c>
      <c r="Q41" s="63" cm="1">
        <f t="array" ref="Q41">_xlfn.MAP($J41,$D41,_xlfn.LAMBDA(_xlpm.hasWdOccurredAfterActivation,_xlpm.timeFromValuation,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1" s="63" cm="1">
        <f t="array" ref="R41">_xlfn.MAP($J41,$D41,_xlfn.LAMBDA(_xlpm.hasWdOccurredAfterActivation,_xlpm.timeFromValuation,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1" s="63">
        <f ca="1"/>
        <v>0</v>
      </c>
      <c r="T41" s="59" cm="1">
        <f t="array" aca="1" ref="T41" ca="1">_xlfn.MAP($P41,$Q41,$R41,$S41,_xlfn.LAMBDA(_xlpm.startMinIncomeBase,_xlpm.pp1_,_xlpm.pp2_,_xlpm.accumWdPenalty,(_xlpm.startMinIncomeBase+_xlpm.pp1_+_xlpm.pp2_)*_xlpm.accumWdPenalty))</f>
        <v>0</v>
      </c>
      <c r="U41" s="62" cm="1">
        <f t="array" aca="1" ref="U41" ca="1">_xlfn.MAP($D41,$F41,_xlfn.LAMBDA(_xlpm.timeFromVal,_xlpm.ppInvested,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1" s="64" cm="1">
        <f t="array" aca="1" ref="V41" ca="1">_xlfn.LET(_xlpm.maxStepValuePreviousYear,_xlfn.LAMBDA(_xlpm.year,_xlfn.MAXIFS($O$12:$O$43,_xlfn.ANCHORARRAY($B$12),_xlpm.year-1)),
_xlfn.MAP(OFFSET($W41,-1,0),$D41,$J41,$K41,$G41,$B41,$E41,OFFSET($V41,-1,0),$N41,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1" s="64" cm="1">
        <f t="array" aca="1" ref="W41" ca="1">_xlfn.MAP($U41,$V41,_xlfn.LAMBDA(_xlpm.preActIB,_xlpm.postActIB, _xlpm.preActIB+_xlpm.postActIB))</f>
        <v>317652.17391304346</v>
      </c>
      <c r="X41" s="65" cm="1">
        <f t="array" aca="1" ref="X41" ca="1">_xlfn.MAP($I41,$W41,_xlfn.SEQUENCE(1,,MAW,0),_xlfn.LAMBDA(_xlpm.hasLifetimeIncomeStarted,_xlpm.IB,_xlpm.mawd,IF(NOT(_xlpm.hasLifetimeIncomeStarted),_xlpm.IB*_xlpm.mawd,0)))</f>
        <v>19059.130434782608</v>
      </c>
      <c r="Y41" s="66" cm="1">
        <f t="array" ref="Y41">_xlfn.MAP($I41,$K41,$W41,_xlfn.LAMBDA(_xlpm.HasLifetimeIncomeStarted,_xlpm.IsAnn,_xlpm.IncomeBase,IF(AND(_xlpm.HasLifetimeIncomeStarted,_xlpm.IsAnn),PIP*_xlpm.IncomeBase,0)))</f>
        <v>0</v>
      </c>
      <c r="AA41" s="26" t="s">
        <v>23</v>
      </c>
      <c r="AB41" s="14">
        <f t="shared" si="0"/>
        <v>0</v>
      </c>
      <c r="AC41" s="14">
        <f t="shared" si="1"/>
        <v>0</v>
      </c>
      <c r="AD41" s="14">
        <f t="shared" si="2"/>
        <v>0</v>
      </c>
      <c r="AE41" s="14">
        <f ca="1">Calculations[[#This Row],[Step-up Value]]-AO41</f>
        <v>0</v>
      </c>
      <c r="AF41" s="14">
        <f t="shared" ca="1" si="3"/>
        <v>0</v>
      </c>
      <c r="AG41" s="14">
        <f t="shared" ca="1" si="4"/>
        <v>0.17391304345801473</v>
      </c>
      <c r="AH41" s="14">
        <f t="shared" ca="1" si="5"/>
        <v>0.13043478260806296</v>
      </c>
      <c r="AI41" s="14">
        <f t="shared" si="6"/>
        <v>0</v>
      </c>
      <c r="AK41" s="26" t="s">
        <v>23</v>
      </c>
      <c r="AL41" s="25">
        <v>0</v>
      </c>
      <c r="AM41" s="25">
        <v>50000</v>
      </c>
      <c r="AN41" s="25">
        <v>19059</v>
      </c>
      <c r="AO41" s="21">
        <v>0</v>
      </c>
      <c r="AP41" s="21">
        <v>0</v>
      </c>
      <c r="AQ41" s="21">
        <v>317652</v>
      </c>
      <c r="AR41" s="21">
        <v>19059</v>
      </c>
      <c r="AS41" s="21">
        <v>0</v>
      </c>
    </row>
    <row r="42" spans="1:45" x14ac:dyDescent="0.25">
      <c r="A42" s="95" t="str">
        <v>Year 12 – Day 81</v>
      </c>
      <c r="B42" s="48">
        <v>12</v>
      </c>
      <c r="C42" s="49">
        <v>81</v>
      </c>
      <c r="D42" s="50">
        <v>11.221917808219178</v>
      </c>
      <c r="E42" s="50" t="b">
        <v>1</v>
      </c>
      <c r="F42" s="50">
        <v>0</v>
      </c>
      <c r="G42" s="100">
        <v>0</v>
      </c>
      <c r="H42" s="100">
        <v>19059</v>
      </c>
      <c r="I42" s="50" t="b">
        <v>1</v>
      </c>
      <c r="J42" s="51" t="b">
        <v>1</v>
      </c>
      <c r="K42" s="51" t="b">
        <v>0</v>
      </c>
      <c r="L42" s="50" cm="1">
        <f t="array" ref="L42">_xlfn.MAP($E42,$H42,$G42,_xlfn.LAMBDA(_xlpm.IsActivation,_xlpm.wdTaken,_xlpm.ContractValue,IF(NOT(_xlpm.IsActivation),_xlpm.wdTaken/_xlpm.ContractValue,0)))</f>
        <v>0</v>
      </c>
      <c r="M42" s="50" cm="1">
        <f t="array" aca="1" ref="M42" ca="1">_xlfn.MAP(OFFSET($X42,-1,0),$E42,$H42,$G42,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2" s="52" cm="1">
        <f t="array" ref="N42">_xlfn.MAP($I42,$H42,$L42,$M42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2" s="53" cm="1">
        <f t="array" aca="1" ref="O42" ca="1">_xlfn.MAP(OFFSET($O42,-1,0),OFFSET($W42,-1,0),$G42,$F42,
         _xlfn.LAMBDA(_xlpm.prevStepUp,_xlpm.prevIncomeBase,_xlpm.contractValue,_xlpm.ppInvested,IF(_xlpm.contractValue-_xlpm.ppInvested&gt;MAX(_xlpm.prevStepUp,_xlpm.prevIncomeBase),_xlpm.contractValue,0)))</f>
        <v>0</v>
      </c>
      <c r="P42" s="54" cm="1">
        <f t="array" ref="P42">_xlfn.MAP($J42,$D42,_xlfn.LAMBDA(_xlpm.hasWdOccurrAfterAct,_xlpm.timeFromValuation,IF(_xlpm.hasWdOccurrAfterAct,0,(1+INT(_xlpm.timeFromValuation)*Minimum_Income_Base_Percentage))*InitialPurchasePayment))</f>
        <v>0</v>
      </c>
      <c r="Q42" s="54" cm="1">
        <f t="array" ref="Q42">_xlfn.MAP($J42,$D42,_xlfn.LAMBDA(_xlpm.hasWdOccurredAfterActivation,_xlpm.timeFromValuation,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2" s="54" cm="1">
        <f t="array" ref="R42">_xlfn.MAP($J42,$D42,_xlfn.LAMBDA(_xlpm.hasWdOccurredAfterActivation,_xlpm.timeFromValuation,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2" s="54">
        <f ca="1"/>
        <v>0</v>
      </c>
      <c r="T42" s="50" cm="1">
        <f t="array" aca="1" ref="T42" ca="1">_xlfn.MAP($P42,$Q42,$R42,$S42,_xlfn.LAMBDA(_xlpm.startMinIncomeBase,_xlpm.pp1_,_xlpm.pp2_,_xlpm.accumWdPenalty,(_xlpm.startMinIncomeBase+_xlpm.pp1_+_xlpm.pp2_)*_xlpm.accumWdPenalty))</f>
        <v>0</v>
      </c>
      <c r="U42" s="53" cm="1">
        <f t="array" aca="1" ref="U42" ca="1">_xlfn.MAP($D42,$F42,_xlfn.LAMBDA(_xlpm.timeFromVal,_xlpm.ppInvested,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2" s="67" cm="1">
        <f t="array" aca="1" ref="V42" ca="1">_xlfn.LET(_xlpm.maxStepValuePreviousYear,_xlfn.LAMBDA(_xlpm.year,_xlfn.MAXIFS($O$12:$O$43,_xlfn.ANCHORARRAY($B$12),_xlpm.year-1)),
_xlfn.MAP(OFFSET($W42,-1,0),$D42,$J42,$K42,$G42,$B42,$E42,OFFSET($V42,-1,0),$N42,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2" s="67" cm="1">
        <f t="array" aca="1" ref="W42" ca="1">_xlfn.MAP($U42,$V42,_xlfn.LAMBDA(_xlpm.preActIB,_xlpm.postActIB, _xlpm.preActIB+_xlpm.postActIB))</f>
        <v>317652.17391304346</v>
      </c>
      <c r="X42" s="55" cm="1">
        <f t="array" ref="X42">_xlfn.MAP($I42,$W42,_xlfn.SEQUENCE(1,,MAW,0),_xlfn.LAMBDA(_xlpm.hasLifetimeIncomeStarted,_xlpm.IB,_xlpm.mawd,IF(NOT(_xlpm.hasLifetimeIncomeStarted),_xlpm.IB*_xlpm.mawd,0)))</f>
        <v>0</v>
      </c>
      <c r="Y42" s="56" cm="1">
        <f t="array" ref="Y42">_xlfn.MAP($I42,$K42,$W42,_xlfn.LAMBDA(_xlpm.HasLifetimeIncomeStarted,_xlpm.IsAnn,_xlpm.IncomeBase,IF(AND(_xlpm.HasLifetimeIncomeStarted,_xlpm.IsAnn),PIP*_xlpm.IncomeBase,0)))</f>
        <v>0</v>
      </c>
      <c r="AA42" s="26" t="s">
        <v>24</v>
      </c>
      <c r="AB42" s="14">
        <f t="shared" si="0"/>
        <v>0</v>
      </c>
      <c r="AC42" s="14">
        <f t="shared" si="1"/>
        <v>0</v>
      </c>
      <c r="AD42" s="14">
        <f t="shared" si="2"/>
        <v>0</v>
      </c>
      <c r="AE42" s="14">
        <f ca="1">Calculations[[#This Row],[Step-up Value]]-AO42</f>
        <v>0</v>
      </c>
      <c r="AF42" s="14">
        <f t="shared" ca="1" si="3"/>
        <v>0</v>
      </c>
      <c r="AG42" s="14">
        <f t="shared" ca="1" si="4"/>
        <v>0.17391304345801473</v>
      </c>
      <c r="AH42" s="14">
        <f t="shared" si="5"/>
        <v>0</v>
      </c>
      <c r="AI42" s="14">
        <f t="shared" si="6"/>
        <v>0</v>
      </c>
      <c r="AK42" s="26" t="s">
        <v>24</v>
      </c>
      <c r="AL42" s="25">
        <v>0</v>
      </c>
      <c r="AM42" s="25">
        <v>0</v>
      </c>
      <c r="AN42" s="25">
        <v>19059</v>
      </c>
      <c r="AO42" s="21">
        <v>0</v>
      </c>
      <c r="AP42" s="21">
        <v>0</v>
      </c>
      <c r="AQ42" s="21">
        <v>317652</v>
      </c>
      <c r="AR42" s="38"/>
      <c r="AS42" s="21">
        <v>0</v>
      </c>
    </row>
    <row r="43" spans="1:45" x14ac:dyDescent="0.25">
      <c r="A43" s="99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02">
        <v>0</v>
      </c>
      <c r="H43" s="102">
        <v>0</v>
      </c>
      <c r="I43" s="70" t="b">
        <v>1</v>
      </c>
      <c r="J43" s="71" t="b">
        <v>1</v>
      </c>
      <c r="K43" s="71" t="b">
        <v>1</v>
      </c>
      <c r="L43" s="70" cm="1">
        <f t="array" ref="L43">_xlfn.MAP($E43,$H43,$G43,_xlfn.LAMBDA(_xlpm.IsActivation,_xlpm.wdTaken,_xlpm.ContractValue,IF(NOT(_xlpm.IsActivation),_xlpm.wdTaken/_xlpm.ContractValue,0)))</f>
        <v>0</v>
      </c>
      <c r="M43" s="70" cm="1">
        <f t="array" aca="1" ref="M43" ca="1">_xlfn.MAP(OFFSET($X43,-1,0),$E43,$H43,$G43,
       _xlfn.LAMBDA(_xlpm.prevMawa,_xlpm.isActivated,_xlpm.wdTaken,_xlpm.cv,
        _xlfn.LET(_xlpm.haircut,(_xlpm.wdTaken-_xlpm.prevMawa)/(_xlpm.cv-_xlpm.prevMawa),
            IF(AND(_xlpm.isActivated,_xlpm.wdTaken&gt;_xlpm.prevMawa),_xlpm.haircut,0))))</f>
        <v>0</v>
      </c>
      <c r="N43" s="72" cm="1">
        <f t="array" ref="N43">_xlfn.MAP($I43,$H43,$L43,$M43,_xlfn.LAMBDA(_xlpm.hasLifetimeIncomeStarted,_xlpm.wdTaken,_xlpm.wdHaircutBeforeActivation,_xlpm.wdHaircutAfterActivation,1-IF(AND(NOT(_xlpm.hasLifetimeIncomeStarted),_xlpm.wdTaken&gt;0),_xlpm.wdHaircutBeforeActivation+_xlpm.wdHaircutAfterActivation,0)))</f>
        <v>1</v>
      </c>
      <c r="O43" s="73" cm="1">
        <f t="array" aca="1" ref="O43" ca="1">_xlfn.MAP(OFFSET($O43,-1,0),OFFSET($W43,-1,0),$G43,$F43,
         _xlfn.LAMBDA(_xlpm.prevStepUp,_xlpm.prevIncomeBase,_xlpm.contractValue,_xlpm.ppInvested,IF(_xlpm.contractValue-_xlpm.ppInvested&gt;MAX(_xlpm.prevStepUp,_xlpm.prevIncomeBase),_xlpm.contractValue,0)))</f>
        <v>0</v>
      </c>
      <c r="P43" s="74" cm="1">
        <f t="array" ref="P43">_xlfn.MAP($J43,$D43,_xlfn.LAMBDA(_xlpm.hasWdOccurrAfterAct,_xlpm.timeFromValuation,IF(_xlpm.hasWdOccurrAfterAct,0,(1+INT(_xlpm.timeFromValuation)*Minimum_Income_Base_Percentage))*InitialPurchasePayment))</f>
        <v>0</v>
      </c>
      <c r="Q43" s="74" cm="1">
        <f t="array" ref="Q43">_xlfn.MAP($J43,$D43,_xlfn.LAMBDA(_xlpm.hasWdOccurredAfterActivation,_xlpm.timeFromValuation,
                    IF(_xlpm.hasWdOccurredAfterActivation,0,VA.Simple(_xlpm.timeFromValuation,Minimum_Income_Base_Percentage))*IF(_xlpm.timeFromValuation+0.001&gt;=Purchase_Pay_1_Time,Purchase_Pay_1,0)))</f>
        <v>0</v>
      </c>
      <c r="R43" s="74" cm="1">
        <f t="array" ref="R43">_xlfn.MAP($J43,$D43,_xlfn.LAMBDA(_xlpm.hasWdOccurredAfterActivation,_xlpm.timeFromValuation,
                    IF(_xlpm.hasWdOccurredAfterActivation,0,VA.Simple(_xlpm.timeFromValuation-1,Minimum_Income_Base_Percentage))*IF(_xlpm.timeFromValuation+0.001&gt;=Purchase_Pay_2_Time,Purchase_Pay_2,0)))</f>
        <v>0</v>
      </c>
      <c r="S43" s="74">
        <f ca="1"/>
        <v>0</v>
      </c>
      <c r="T43" s="70" cm="1">
        <f t="array" aca="1" ref="T43" ca="1">_xlfn.MAP($P43,$Q43,$R43,$S43,_xlfn.LAMBDA(_xlpm.startMinIncomeBase,_xlpm.pp1_,_xlpm.pp2_,_xlpm.accumWdPenalty,(_xlpm.startMinIncomeBase+_xlpm.pp1_+_xlpm.pp2_)*_xlpm.accumWdPenalty))</f>
        <v>0</v>
      </c>
      <c r="U43" s="73" cm="1">
        <f t="array" aca="1" ref="U43" ca="1">_xlfn.MAP($D43,$F43,_xlfn.LAMBDA(_xlpm.timeFromVal,_xlpm.ppInvested,
                    IF(_xlpm.timeFromVal=0,_xlpm.ppInvested,
                        IF(Calculations[[#This Row],[Has a Withdrawal Occurred After Activation]],
                             0,
                             MAX(Calculations[[#This Row],[Purchase Payments Invested]]+OFFSET(Calculations[[#This Row],[Pre-Activation Income Base]],-1,0),Calculations[[#This Row],[Step-up Value]],
                             Calculations[[#This Row],[Minimum Income Base]])
                         )*Calculations[[#This Row],[Withdrawal Penalty]])))</f>
        <v>0</v>
      </c>
      <c r="V43" s="75" cm="1">
        <f t="array" aca="1" ref="V43" ca="1">_xlfn.LET(_xlpm.maxStepValuePreviousYear,_xlfn.LAMBDA(_xlpm.year,_xlfn.MAXIFS($O$12:$O$43,_xlfn.ANCHORARRAY($B$12),_xlpm.year-1)),
_xlfn.MAP(OFFSET($W43,-1,0),$D43,$J43,$K43,$G43,$B43,$E43,OFFSET($V43,-1,0),$N43,
_xlfn.LAMBDA(_xlpm.prevIB,_xlpm.timeFromVal,_xlpm.hasWdOccurredAfterActivation,_xlpm.isAnniversary,_xlpm.cv,_xlpm.year,_xlpm.isActivated,_xlpm.prevPostActIncomeBase,_xlpm.wdPenalty,
IF(_xlpm.timeFromVal=0,0,IF(AND(_xlpm.hasWdOccurredAfterActivation,_xlpm.isAnniversary),
MAX(_xlpm.cv,_xlpm.prevIB,_xlpm.maxStepValuePreviousYear(_xlpm.year)),
IF(_xlpm.isActivated,_xlpm.prevIB,_xlpm.prevPostActIncomeBase)*_xlpm.wdPenalty)))))</f>
        <v>317652.17391304346</v>
      </c>
      <c r="W43" s="75" cm="1">
        <f t="array" aca="1" ref="W43" ca="1">_xlfn.MAP($U43,$V43,_xlfn.LAMBDA(_xlpm.preActIB,_xlpm.postActIB, _xlpm.preActIB+_xlpm.postActIB))</f>
        <v>317652.17391304346</v>
      </c>
      <c r="X43" s="76" cm="1">
        <f t="array" ref="X43">_xlfn.MAP($I43,$W43,_xlfn.SEQUENCE(1,,MAW,0),_xlfn.LAMBDA(_xlpm.hasLifetimeIncomeStarted,_xlpm.IB,_xlpm.mawd,IF(NOT(_xlpm.hasLifetimeIncomeStarted),_xlpm.IB*_xlpm.mawd,0)))</f>
        <v>0</v>
      </c>
      <c r="Y43" s="77" cm="1">
        <f t="array" aca="1" ref="Y43" ca="1">_xlfn.MAP($I43,$K43,$W43,_xlfn.LAMBDA(_xlpm.HasLifetimeIncomeStarted,_xlpm.IsAnn,_xlpm.IncomeBase,IF(AND(_xlpm.HasLifetimeIncomeStarted,_xlpm.IsAnn),PIP*_xlpm.IncomeBase,0)))</f>
        <v>12706.086956521738</v>
      </c>
      <c r="AA43" s="26" t="s">
        <v>25</v>
      </c>
      <c r="AB43" s="14">
        <f t="shared" si="0"/>
        <v>0</v>
      </c>
      <c r="AC43" s="14">
        <f t="shared" si="1"/>
        <v>0</v>
      </c>
      <c r="AD43" s="14">
        <f t="shared" si="2"/>
        <v>0</v>
      </c>
      <c r="AE43" s="14">
        <f ca="1">Calculations[[#This Row],[Step-up Value]]-AO43</f>
        <v>0</v>
      </c>
      <c r="AF43" s="14">
        <f t="shared" ca="1" si="3"/>
        <v>0</v>
      </c>
      <c r="AG43" s="14">
        <f t="shared" ca="1" si="4"/>
        <v>0.17391304345801473</v>
      </c>
      <c r="AH43" s="14">
        <f t="shared" si="5"/>
        <v>0</v>
      </c>
      <c r="AI43" s="14">
        <f t="shared" ca="1" si="6"/>
        <v>8.695652173810231E-2</v>
      </c>
      <c r="AK43" s="26" t="s">
        <v>25</v>
      </c>
      <c r="AL43" s="25">
        <v>0</v>
      </c>
      <c r="AM43" s="25">
        <v>0</v>
      </c>
      <c r="AN43" s="25">
        <v>0</v>
      </c>
      <c r="AO43" s="21">
        <v>0</v>
      </c>
      <c r="AP43" s="21">
        <v>0</v>
      </c>
      <c r="AQ43" s="21">
        <v>317652</v>
      </c>
      <c r="AR43" s="21">
        <v>0</v>
      </c>
      <c r="AS43" s="21">
        <v>12706</v>
      </c>
    </row>
    <row r="47" spans="1:45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45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2:25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2:25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2:25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2:25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2:25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2:25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2:25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2:25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"/>
      <c r="T56" s="8"/>
      <c r="U56" s="8"/>
      <c r="V56" s="8"/>
      <c r="W56" s="8"/>
      <c r="X56" s="8"/>
      <c r="Y56" s="8"/>
    </row>
    <row r="57" spans="2:25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2:25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2:25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2:25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2:25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2:25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2:25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2:25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2:25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2:25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2:25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2:25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2:25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2:2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2:25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2:25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2:25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2:25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2:25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2:25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2:2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</sheetData>
  <mergeCells count="2">
    <mergeCell ref="AK7:AN8"/>
    <mergeCell ref="AA8:AD9"/>
  </mergeCells>
  <conditionalFormatting sqref="K12 K13:M43">
    <cfRule type="cellIs" dxfId="1" priority="2" operator="equal">
      <formula>TRUE</formula>
    </cfRule>
  </conditionalFormatting>
  <conditionalFormatting sqref="N12:N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C598-B254-45F2-8075-E0AC85DDA96C}">
  <sheetPr>
    <tabColor theme="9" tint="0.39997558519241921"/>
  </sheetPr>
  <dimension ref="A3:AS43"/>
  <sheetViews>
    <sheetView tabSelected="1" topLeftCell="A10" workbookViewId="0">
      <pane xSplit="4" ySplit="2" topLeftCell="E24" activePane="bottomRight" state="frozen"/>
      <selection activeCell="A10" sqref="A10"/>
      <selection pane="topRight" activeCell="E10" sqref="E10"/>
      <selection pane="bottomLeft" activeCell="A12" sqref="A12"/>
      <selection pane="bottomRight" activeCell="A41" sqref="A41"/>
    </sheetView>
  </sheetViews>
  <sheetFormatPr defaultColWidth="14.42578125" defaultRowHeight="15" x14ac:dyDescent="0.25"/>
  <cols>
    <col min="1" max="1" width="24.28515625" customWidth="1"/>
    <col min="2" max="2" width="7.5703125" customWidth="1"/>
    <col min="3" max="3" width="10.42578125" customWidth="1"/>
    <col min="4" max="4" width="9.85546875" customWidth="1"/>
    <col min="6" max="6" width="20.7109375" customWidth="1"/>
    <col min="7" max="7" width="16.140625" customWidth="1"/>
    <col min="8" max="8" width="12.42578125" customWidth="1"/>
    <col min="9" max="9" width="15.5703125" customWidth="1"/>
    <col min="10" max="10" width="18.85546875" customWidth="1"/>
    <col min="11" max="13" width="15.5703125" customWidth="1"/>
    <col min="14" max="14" width="15.42578125" customWidth="1"/>
    <col min="15" max="15" width="15.7109375" customWidth="1"/>
    <col min="16" max="16" width="17.28515625" customWidth="1"/>
    <col min="17" max="18" width="20.85546875" customWidth="1"/>
    <col min="19" max="19" width="27" customWidth="1"/>
    <col min="20" max="20" width="23.42578125" customWidth="1"/>
    <col min="21" max="21" width="27.42578125" customWidth="1"/>
    <col min="22" max="23" width="27.140625" customWidth="1"/>
    <col min="25" max="25" width="21.140625" bestFit="1" customWidth="1"/>
    <col min="26" max="27" width="12.28515625" bestFit="1" customWidth="1"/>
    <col min="28" max="28" width="11.28515625" bestFit="1" customWidth="1"/>
    <col min="29" max="29" width="8.42578125" bestFit="1" customWidth="1"/>
    <col min="30" max="31" width="12.28515625" bestFit="1" customWidth="1"/>
    <col min="32" max="32" width="17.42578125" bestFit="1" customWidth="1"/>
    <col min="33" max="33" width="11.28515625" bestFit="1" customWidth="1"/>
    <col min="34" max="34" width="9.140625"/>
    <col min="35" max="35" width="21.140625" bestFit="1" customWidth="1"/>
    <col min="36" max="36" width="11" bestFit="1" customWidth="1"/>
    <col min="37" max="37" width="11.5703125" bestFit="1" customWidth="1"/>
    <col min="38" max="38" width="10.5703125" bestFit="1" customWidth="1"/>
    <col min="39" max="41" width="11.5703125" bestFit="1" customWidth="1"/>
    <col min="42" max="42" width="19.28515625" bestFit="1" customWidth="1"/>
    <col min="43" max="43" width="10" bestFit="1" customWidth="1"/>
  </cols>
  <sheetData>
    <row r="3" spans="1:45" x14ac:dyDescent="0.25">
      <c r="Q3" t="s">
        <v>78</v>
      </c>
      <c r="R3" s="10">
        <v>0</v>
      </c>
    </row>
    <row r="4" spans="1:45" x14ac:dyDescent="0.25">
      <c r="Q4" t="s">
        <v>70</v>
      </c>
      <c r="R4">
        <v>0.54794520547945202</v>
      </c>
    </row>
    <row r="5" spans="1:45" x14ac:dyDescent="0.25">
      <c r="Q5" t="s">
        <v>73</v>
      </c>
      <c r="R5">
        <v>1.493150684931507</v>
      </c>
    </row>
    <row r="6" spans="1:45" x14ac:dyDescent="0.25">
      <c r="T6" s="78"/>
    </row>
    <row r="7" spans="1:45" x14ac:dyDescent="0.25">
      <c r="I7" s="78"/>
      <c r="Q7" s="78"/>
      <c r="AI7" s="162" t="s">
        <v>45</v>
      </c>
      <c r="AJ7" s="162"/>
      <c r="AK7" s="163"/>
      <c r="AL7" s="163"/>
    </row>
    <row r="8" spans="1:45" x14ac:dyDescent="0.25">
      <c r="Y8" s="162" t="s">
        <v>48</v>
      </c>
      <c r="Z8" s="162"/>
      <c r="AA8" s="163"/>
      <c r="AB8" s="163"/>
      <c r="AI8" s="162"/>
      <c r="AJ8" s="162"/>
      <c r="AK8" s="163"/>
      <c r="AL8" s="163"/>
    </row>
    <row r="9" spans="1:45" x14ac:dyDescent="0.25">
      <c r="Y9" s="162"/>
      <c r="Z9" s="162"/>
      <c r="AA9" s="163"/>
      <c r="AB9" s="163"/>
    </row>
    <row r="10" spans="1:45" x14ac:dyDescent="0.25">
      <c r="N10" s="159"/>
      <c r="O10" s="159"/>
      <c r="P10" s="159"/>
      <c r="Q10" s="159"/>
      <c r="R10" s="159"/>
      <c r="S10" s="159"/>
      <c r="T10" s="159"/>
      <c r="U10" s="159"/>
      <c r="Y10" s="5">
        <f>SUM(Z12:AG43)</f>
        <v>3.0409559320160042</v>
      </c>
    </row>
    <row r="11" spans="1:45" ht="81.75" customHeight="1" x14ac:dyDescent="0.25">
      <c r="A11" s="85" t="s">
        <v>76</v>
      </c>
      <c r="B11" s="85" t="s">
        <v>46</v>
      </c>
      <c r="C11" s="85" t="s">
        <v>47</v>
      </c>
      <c r="D11" s="85" t="s">
        <v>54</v>
      </c>
      <c r="E11" s="85" t="s">
        <v>95</v>
      </c>
      <c r="F11" s="85" t="s">
        <v>77</v>
      </c>
      <c r="G11" s="85" t="s">
        <v>65</v>
      </c>
      <c r="H11" s="85" t="s">
        <v>10</v>
      </c>
      <c r="I11" s="85" t="s">
        <v>57</v>
      </c>
      <c r="J11" s="85" t="s">
        <v>62</v>
      </c>
      <c r="K11" s="85" t="s">
        <v>58</v>
      </c>
      <c r="L11" s="158" t="s">
        <v>83</v>
      </c>
      <c r="M11" s="161" t="s">
        <v>84</v>
      </c>
      <c r="N11" s="158" t="s">
        <v>74</v>
      </c>
      <c r="O11" s="158" t="s">
        <v>66</v>
      </c>
      <c r="P11" s="158" t="s">
        <v>0</v>
      </c>
      <c r="Q11" s="158" t="s">
        <v>82</v>
      </c>
      <c r="R11" s="158" t="s">
        <v>81</v>
      </c>
      <c r="S11" s="158" t="s">
        <v>29</v>
      </c>
      <c r="T11" s="158" t="s">
        <v>49</v>
      </c>
      <c r="U11" s="158" t="s">
        <v>75</v>
      </c>
      <c r="V11" s="86" t="s">
        <v>52</v>
      </c>
      <c r="W11" s="111" t="str">
        <f>'Calculation D 8+ StructRef'!A5</f>
        <v xml:space="preserve"> Protected Income Payment Percentage </v>
      </c>
      <c r="Y11" s="17" t="s">
        <v>26</v>
      </c>
      <c r="Z11" s="17" t="s">
        <v>27</v>
      </c>
      <c r="AA11" s="17" t="s">
        <v>28</v>
      </c>
      <c r="AB11" s="17" t="s">
        <v>10</v>
      </c>
      <c r="AC11" s="17" t="s">
        <v>0</v>
      </c>
      <c r="AD11" s="17" t="s">
        <v>43</v>
      </c>
      <c r="AE11" s="17" t="s">
        <v>44</v>
      </c>
      <c r="AF11" s="17" t="s">
        <v>29</v>
      </c>
      <c r="AG11" s="17" t="s">
        <v>52</v>
      </c>
      <c r="AI11" s="17" t="s">
        <v>26</v>
      </c>
      <c r="AJ11" s="17" t="s">
        <v>27</v>
      </c>
      <c r="AK11" s="17" t="s">
        <v>28</v>
      </c>
      <c r="AL11" s="17" t="s">
        <v>10</v>
      </c>
      <c r="AM11" s="17" t="s">
        <v>0</v>
      </c>
      <c r="AN11" s="17" t="s">
        <v>43</v>
      </c>
      <c r="AO11" s="17" t="s">
        <v>44</v>
      </c>
      <c r="AP11" s="17" t="s">
        <v>29</v>
      </c>
      <c r="AQ11" s="17" t="s">
        <v>52</v>
      </c>
      <c r="AS11" s="160" t="s">
        <v>86</v>
      </c>
    </row>
    <row r="12" spans="1:45" ht="27" customHeight="1" x14ac:dyDescent="0.25">
      <c r="A12" s="103" t="str" cm="1">
        <f t="array" ref="A12:A43">Y12:Y43</f>
        <v>Benefit Effective Date</v>
      </c>
      <c r="B12" s="87" cm="1">
        <f t="array" ref="B12:B43">_xlfn.SCAN(1,_xlfn.ANCHORARRAY($A12),_xlfn.LAMBDA(_xlpm.accum,_xlpm.ValuesAsOf,IFERROR(IF(FIND("Anniversary",_xlpm.ValuesAsOf)&gt;0,_xlpm.accum+1,_xlpm.accum),_xlpm.accum)))</f>
        <v>1</v>
      </c>
      <c r="C12" s="88" cm="1">
        <f t="array" ref="C12:C43">_xlfn.MAP(_xlfn.ANCHORARRAY(A12),_xlfn.LAMBDA(_xlpm.ValueAsOf,VALUE(IFERROR(TRIM(MID(_xlpm.ValueAsOf,FIND("Day ",_xlpm.ValueAsOf)+4,LEN(_xlpm.ValueAsOf)-FIND("Day ",_xlpm.ValueAsOf)+4)),0))))</f>
        <v>0</v>
      </c>
      <c r="D12" s="89" cm="1">
        <f t="array" ref="D12:D43">_xlfn.MAP(_xlfn.ANCHORARRAY(B12),_xlfn.ANCHORARRAY(C12),_xlfn.LAMBDA(_xlpm.year,_xlpm.day,_xlpm.year+_xlpm.day/365-1))</f>
        <v>0</v>
      </c>
      <c r="E12" s="89" t="b" cm="1">
        <f t="array" ref="E12:E43">_xlfn.MAP(_xlfn.ANCHORARRAY($D12),_xlfn.SEQUENCE(COUNT(_xlfn.ANCHORARRAY($D12)),,Activation_Time,0),_xlfn.LAMBDA(_xlpm.TimeFromValuation,_xlpm.ActivationTime,_xlpm.TimeFromValuation&gt;=_xlpm.ActivationTime))</f>
        <v>0</v>
      </c>
      <c r="F12" s="89" cm="1">
        <f t="array" ref="F12:F43">_xlfn.LET(_xlpm.f,_xlfn.LAMBDA(_xlpm.TimeFromValuation,_xlpm.PurchasePayTime,_xlpm.PurchasePay,IF(ABS(_xlpm.TimeFromValuation-_xlpm.PurchasePayTime)&lt;0.001,_xlpm.PurchasePay,0)),
     _xlfn.MAP(_xlfn.ANCHORARRAY($D12),_xlfn.LAMBDA(_xlpm.t,_xlpm.f(_xlpm.t,0,InitialPurchasePayment)+_xlpm.f(_xlpm.t,Purchase_Pay_1_Time,Purchase_Pay_1)+_xlpm.f(_xlpm.t,Purchase_Pay_2_Time,Purchase_Pay_2))))</f>
        <v>100000</v>
      </c>
      <c r="G12" s="108" cm="1">
        <f t="array" ref="G12:G43">AK12:AK43</f>
        <v>100000</v>
      </c>
      <c r="H12" s="108" cm="1">
        <f t="array" ref="H12:H43">AL12:AL43</f>
        <v>0</v>
      </c>
      <c r="I12" s="89" t="b" cm="1">
        <f t="array" ref="I12:I43">_xlfn.ANCHORARRAY(G12)&lt;0.01</f>
        <v>0</v>
      </c>
      <c r="J12" s="90" t="b" cm="1">
        <f t="array" ref="J12:J43">_xlfn.MAP(_xlfn.ANCHORARRAY(E12), _xlfn.SCAN(FALSE,_xlfn.ANCHORARRAY(H12),_xlfn.LAMBDA(_xlpm.prevAns,_xlpm.wdTaken,OR(_xlpm.prevAns,_xlpm.wdTaken&gt;0))),_xlfn.LAMBDA(_xlpm.isActivated,_xlpm.wdTaken,AND(_xlpm.isActivated,_xlpm.wdTaken)))</f>
        <v>0</v>
      </c>
      <c r="K12" s="90" t="b" cm="1">
        <f t="array" ref="K12:K43">_xlfn.ANCHORARRAY($C12)=0</f>
        <v>1</v>
      </c>
      <c r="L12" s="90" cm="1">
        <f t="array" ref="L12:M43">_xlfn.DROP(Utils.MultiSCAN(_xlfn.HSTACK(1,0,0),_xlfn.HSTACK(_xlfn.ANCHORARRAY($B$12),_xlfn.ANCHORARRAY($F$12),_xlfn.ANCHORARRAY($J$12),_xlfn.SEQUENCE(COUNT(_xlfn.ANCHORARRAY($B$12)),,Minimum_Income_Base_Percentage,0)),VA.InterestOnPayments),,1)</f>
        <v>100000</v>
      </c>
      <c r="M12" s="90">
        <v>100000</v>
      </c>
      <c r="N12" s="91" cm="1">
        <f t="array" ref="N12:U43">_xlfn.DROP(Utils.MultiSCAN(_xlfn.HSTACK(1,1,0,0,0,0,0),
                 _xlfn.HSTACK(_xlfn.ANCHORARRAY($B12),_xlfn.ANCHORARRAY($F12),_xlfn.ANCHORARRAY($J12),_xlfn.ANCHORARRAY($G12),_xlfn.ANCHORARRAY($D12),_xlfn.ANCHORARRAY($K12),_xlfn.ANCHORARRAY($E12),_xlfn.ANCHORARRAY($I12),_xlfn.ANCHORARRAY($H12),_xlfn.DROP(_xlfn.ANCHORARRAY($L$12),,1),_xlfn.SEQUENCE(COUNT(_xlfn.ANCHORARRAY($B12)),,MAW,0)),
                 VA.MawStackDaily),,1)</f>
        <v>1</v>
      </c>
      <c r="O12" s="93">
        <v>100000</v>
      </c>
      <c r="P12" s="93">
        <v>0</v>
      </c>
      <c r="Q12" s="93">
        <v>0</v>
      </c>
      <c r="R12" s="93">
        <v>0</v>
      </c>
      <c r="S12" s="93">
        <v>6000</v>
      </c>
      <c r="T12" s="112">
        <v>1</v>
      </c>
      <c r="U12" s="112">
        <v>100000</v>
      </c>
      <c r="V12" s="94" cm="1">
        <f t="array" ref="V12:V43">_xlfn.MAP(_xlfn.ANCHORARRAY($I12),_xlfn.ANCHORARRAY($K12),_xlfn.CHOOSECOLS(_xlfn.ANCHORARRAY($N$12),2),_xlfn.ANCHORARRAY($W12),VA.ProtectedIncomeDaily)</f>
        <v>0</v>
      </c>
      <c r="W12" s="94" cm="1">
        <f t="array" ref="W12:W43">_xlfn.SEQUENCE(COUNTA(_xlfn.ANCHORARRAY($A12)),,PIP,0)</f>
        <v>0.04</v>
      </c>
      <c r="X12" s="83"/>
      <c r="Y12" s="23" t="s">
        <v>1</v>
      </c>
      <c r="Z12" s="14">
        <f t="shared" ref="Z12:Z43" si="0">F12-AJ12</f>
        <v>0</v>
      </c>
      <c r="AA12" s="14">
        <f t="shared" ref="AA12:AA43" si="1">G12-AK12</f>
        <v>0</v>
      </c>
      <c r="AB12" s="14">
        <f t="shared" ref="AB12:AB43" si="2">H12-AL12</f>
        <v>0</v>
      </c>
      <c r="AC12" s="14">
        <f>P12-AM12</f>
        <v>0</v>
      </c>
      <c r="AD12" s="14">
        <f>U12-AN12</f>
        <v>0</v>
      </c>
      <c r="AE12" s="14">
        <f>O12-AO12</f>
        <v>0</v>
      </c>
      <c r="AF12" s="14">
        <f>S12-AP12</f>
        <v>0</v>
      </c>
      <c r="AG12" s="14">
        <f t="shared" ref="AG12:AG43" si="3">V12-AQ12</f>
        <v>0</v>
      </c>
      <c r="AI12" s="23" t="s">
        <v>1</v>
      </c>
      <c r="AJ12" s="24">
        <v>100000</v>
      </c>
      <c r="AK12" s="24">
        <v>100000</v>
      </c>
      <c r="AL12" s="25">
        <v>0</v>
      </c>
      <c r="AM12" s="21">
        <v>0</v>
      </c>
      <c r="AN12" s="18">
        <v>100000</v>
      </c>
      <c r="AO12" s="18">
        <v>100000</v>
      </c>
      <c r="AP12" s="18">
        <v>6000</v>
      </c>
      <c r="AQ12" s="21">
        <v>0</v>
      </c>
      <c r="AS12" t="str" cm="1">
        <f t="array" ref="AS12">_xlfn.REDUCE("[",_xlfn.ANCHORARRAY(H12),_xlfn.LAMBDA(_xlpm.acc,_xlpm.curr,_xlfn.CONCAT(_xlpm.acc,IF(_xlpm.acc="[","",","),TEXT(_xlpm.curr,"0.00"))))&amp;"]"</f>
        <v>[0.00,0.00,0.00,0.00,0.00,0.00,0.00,0.00,0.00,0.00,5000.00,0.00,0.00,0.00,10000.00,0.00,0.00,0.00,19200.00,0.00,0.00,0.00,26400.00,0.00,0.00,26000.00,0.00,19059.00,19059.00,19059.00,19059.00,0.00]</v>
      </c>
    </row>
    <row r="13" spans="1:45" ht="25.5" customHeight="1" x14ac:dyDescent="0.25">
      <c r="A13" s="104" t="str">
        <v>Year 1 – Day 25</v>
      </c>
      <c r="B13" s="57">
        <v>1</v>
      </c>
      <c r="C13" s="58">
        <v>25</v>
      </c>
      <c r="D13" s="59">
        <v>6.8493150684931559E-2</v>
      </c>
      <c r="E13" s="59" t="b">
        <v>0</v>
      </c>
      <c r="F13" s="59">
        <v>0</v>
      </c>
      <c r="G13" s="109">
        <v>102000</v>
      </c>
      <c r="H13" s="109">
        <v>0</v>
      </c>
      <c r="I13" s="59" t="b">
        <v>0</v>
      </c>
      <c r="J13" s="60" t="b">
        <v>0</v>
      </c>
      <c r="K13" s="60" t="b">
        <v>0</v>
      </c>
      <c r="L13" s="60">
        <v>100000</v>
      </c>
      <c r="M13" s="60">
        <v>100000</v>
      </c>
      <c r="N13" s="61">
        <v>1</v>
      </c>
      <c r="O13" s="62">
        <v>102000</v>
      </c>
      <c r="P13" s="63">
        <v>102000</v>
      </c>
      <c r="Q13" s="63">
        <v>102000</v>
      </c>
      <c r="R13" s="63">
        <v>0</v>
      </c>
      <c r="S13" s="63">
        <v>6120</v>
      </c>
      <c r="T13" s="59">
        <v>1</v>
      </c>
      <c r="U13" s="62">
        <v>100000</v>
      </c>
      <c r="V13" s="66">
        <v>0</v>
      </c>
      <c r="W13" s="66">
        <v>0.04</v>
      </c>
      <c r="X13" s="83"/>
      <c r="Y13" s="26" t="s">
        <v>2</v>
      </c>
      <c r="Z13" s="14">
        <f t="shared" si="0"/>
        <v>0</v>
      </c>
      <c r="AA13" s="14">
        <f t="shared" si="1"/>
        <v>0</v>
      </c>
      <c r="AB13" s="14">
        <f t="shared" si="2"/>
        <v>0</v>
      </c>
      <c r="AC13" s="14">
        <f t="shared" ref="AC13:AC43" si="4">P13-AM13</f>
        <v>0</v>
      </c>
      <c r="AD13" s="14">
        <f t="shared" ref="AD13:AD43" si="5">U13-AN13</f>
        <v>0</v>
      </c>
      <c r="AE13" s="14">
        <f t="shared" ref="AE13:AE43" si="6">O13-AO13</f>
        <v>0</v>
      </c>
      <c r="AF13" s="14">
        <f t="shared" ref="AF13:AF43" si="7">S13-AP13</f>
        <v>0</v>
      </c>
      <c r="AG13" s="14">
        <f t="shared" si="3"/>
        <v>0</v>
      </c>
      <c r="AI13" s="26" t="s">
        <v>2</v>
      </c>
      <c r="AJ13" s="25">
        <v>0</v>
      </c>
      <c r="AK13" s="25">
        <v>102000</v>
      </c>
      <c r="AL13" s="25">
        <v>0</v>
      </c>
      <c r="AM13" s="21">
        <v>102000</v>
      </c>
      <c r="AN13" s="21">
        <v>100000</v>
      </c>
      <c r="AO13" s="21">
        <v>102000</v>
      </c>
      <c r="AP13" s="21">
        <v>6120</v>
      </c>
      <c r="AQ13" s="21">
        <v>0</v>
      </c>
    </row>
    <row r="14" spans="1:45" ht="24.75" customHeight="1" x14ac:dyDescent="0.25">
      <c r="A14" s="103" t="str">
        <v>Year 1 – Day 105</v>
      </c>
      <c r="B14" s="87">
        <v>1</v>
      </c>
      <c r="C14" s="88">
        <v>105</v>
      </c>
      <c r="D14" s="89">
        <v>0.28767123287671237</v>
      </c>
      <c r="E14" s="89" t="b">
        <v>0</v>
      </c>
      <c r="F14" s="89">
        <v>0</v>
      </c>
      <c r="G14" s="108">
        <v>105000</v>
      </c>
      <c r="H14" s="108">
        <v>0</v>
      </c>
      <c r="I14" s="89" t="b">
        <v>0</v>
      </c>
      <c r="J14" s="90" t="b">
        <v>0</v>
      </c>
      <c r="K14" s="90" t="b">
        <v>0</v>
      </c>
      <c r="L14" s="90">
        <v>100000</v>
      </c>
      <c r="M14" s="90">
        <v>100000</v>
      </c>
      <c r="N14" s="91">
        <v>1</v>
      </c>
      <c r="O14" s="92">
        <v>105000</v>
      </c>
      <c r="P14" s="93">
        <v>105000</v>
      </c>
      <c r="Q14" s="93">
        <v>105000</v>
      </c>
      <c r="R14" s="93">
        <v>0</v>
      </c>
      <c r="S14" s="93">
        <v>6300</v>
      </c>
      <c r="T14" s="89">
        <v>1</v>
      </c>
      <c r="U14" s="92">
        <v>100000</v>
      </c>
      <c r="V14" s="94">
        <v>0</v>
      </c>
      <c r="W14" s="94">
        <v>0.04</v>
      </c>
      <c r="X14" s="83"/>
      <c r="Y14" s="26" t="s">
        <v>3</v>
      </c>
      <c r="Z14" s="14">
        <f t="shared" si="0"/>
        <v>0</v>
      </c>
      <c r="AA14" s="14">
        <f t="shared" si="1"/>
        <v>0</v>
      </c>
      <c r="AB14" s="14">
        <f t="shared" si="2"/>
        <v>0</v>
      </c>
      <c r="AC14" s="14">
        <f t="shared" si="4"/>
        <v>0</v>
      </c>
      <c r="AD14" s="14">
        <f t="shared" si="5"/>
        <v>0</v>
      </c>
      <c r="AE14" s="14">
        <f t="shared" si="6"/>
        <v>0</v>
      </c>
      <c r="AF14" s="14">
        <f t="shared" si="7"/>
        <v>0</v>
      </c>
      <c r="AG14" s="14">
        <f t="shared" si="3"/>
        <v>0</v>
      </c>
      <c r="AI14" s="26" t="s">
        <v>3</v>
      </c>
      <c r="AJ14" s="25">
        <v>0</v>
      </c>
      <c r="AK14" s="25">
        <v>105000</v>
      </c>
      <c r="AL14" s="25">
        <v>0</v>
      </c>
      <c r="AM14" s="21">
        <v>105000</v>
      </c>
      <c r="AN14" s="21">
        <v>100000</v>
      </c>
      <c r="AO14" s="21">
        <v>105000</v>
      </c>
      <c r="AP14" s="21">
        <v>6300</v>
      </c>
      <c r="AQ14" s="21">
        <v>0</v>
      </c>
    </row>
    <row r="15" spans="1:45" ht="25.5" customHeight="1" x14ac:dyDescent="0.25">
      <c r="A15" s="104" t="str">
        <v>Year 1 – Day 200</v>
      </c>
      <c r="B15" s="57">
        <v>1</v>
      </c>
      <c r="C15" s="58">
        <v>200</v>
      </c>
      <c r="D15" s="59">
        <v>0.54794520547945202</v>
      </c>
      <c r="E15" s="59" t="b">
        <v>0</v>
      </c>
      <c r="F15" s="59">
        <v>60000</v>
      </c>
      <c r="G15" s="109">
        <v>162000</v>
      </c>
      <c r="H15" s="109">
        <v>0</v>
      </c>
      <c r="I15" s="59" t="b">
        <v>0</v>
      </c>
      <c r="J15" s="60" t="b">
        <v>0</v>
      </c>
      <c r="K15" s="60" t="b">
        <v>0</v>
      </c>
      <c r="L15" s="60">
        <v>160000</v>
      </c>
      <c r="M15" s="60">
        <v>160000</v>
      </c>
      <c r="N15" s="61">
        <v>1</v>
      </c>
      <c r="O15" s="62">
        <v>165000</v>
      </c>
      <c r="P15" s="63">
        <v>0</v>
      </c>
      <c r="Q15" s="63">
        <v>105000</v>
      </c>
      <c r="R15" s="63">
        <v>0</v>
      </c>
      <c r="S15" s="63">
        <v>9900</v>
      </c>
      <c r="T15" s="59">
        <v>1</v>
      </c>
      <c r="U15" s="62">
        <v>160000</v>
      </c>
      <c r="V15" s="66">
        <v>0</v>
      </c>
      <c r="W15" s="66">
        <v>0.04</v>
      </c>
      <c r="X15" s="83"/>
      <c r="Y15" s="26" t="s">
        <v>4</v>
      </c>
      <c r="Z15" s="14">
        <f t="shared" si="0"/>
        <v>0</v>
      </c>
      <c r="AA15" s="14">
        <f t="shared" si="1"/>
        <v>0</v>
      </c>
      <c r="AB15" s="14">
        <f t="shared" si="2"/>
        <v>0</v>
      </c>
      <c r="AC15" s="14">
        <f t="shared" si="4"/>
        <v>0</v>
      </c>
      <c r="AD15" s="14">
        <f t="shared" si="5"/>
        <v>0</v>
      </c>
      <c r="AE15" s="14">
        <f t="shared" si="6"/>
        <v>0</v>
      </c>
      <c r="AF15" s="14">
        <f t="shared" si="7"/>
        <v>0</v>
      </c>
      <c r="AG15" s="14">
        <f t="shared" si="3"/>
        <v>0</v>
      </c>
      <c r="AI15" s="26" t="s">
        <v>4</v>
      </c>
      <c r="AJ15" s="25">
        <v>60000</v>
      </c>
      <c r="AK15" s="25">
        <v>162000</v>
      </c>
      <c r="AL15" s="25">
        <v>0</v>
      </c>
      <c r="AM15" s="21">
        <v>0</v>
      </c>
      <c r="AN15" s="21">
        <v>160000</v>
      </c>
      <c r="AO15" s="21">
        <v>165000</v>
      </c>
      <c r="AP15" s="21">
        <v>9900</v>
      </c>
      <c r="AQ15" s="21">
        <v>0</v>
      </c>
    </row>
    <row r="16" spans="1:45" ht="24" customHeight="1" x14ac:dyDescent="0.25">
      <c r="A16" s="103" t="str">
        <v>Year 1 – Day 300</v>
      </c>
      <c r="B16" s="87">
        <v>1</v>
      </c>
      <c r="C16" s="88">
        <v>300</v>
      </c>
      <c r="D16" s="89">
        <v>0.82191780821917804</v>
      </c>
      <c r="E16" s="89" t="b">
        <v>0</v>
      </c>
      <c r="F16" s="89">
        <v>0</v>
      </c>
      <c r="G16" s="108">
        <v>166000</v>
      </c>
      <c r="H16" s="108">
        <v>0</v>
      </c>
      <c r="I16" s="89" t="b">
        <v>0</v>
      </c>
      <c r="J16" s="90" t="b">
        <v>0</v>
      </c>
      <c r="K16" s="90" t="b">
        <v>0</v>
      </c>
      <c r="L16" s="90">
        <v>160000</v>
      </c>
      <c r="M16" s="90">
        <v>160000</v>
      </c>
      <c r="N16" s="91">
        <v>1</v>
      </c>
      <c r="O16" s="92">
        <v>166000</v>
      </c>
      <c r="P16" s="93">
        <v>166000</v>
      </c>
      <c r="Q16" s="93">
        <v>166000</v>
      </c>
      <c r="R16" s="93">
        <v>0</v>
      </c>
      <c r="S16" s="93">
        <v>9960</v>
      </c>
      <c r="T16" s="89">
        <v>1</v>
      </c>
      <c r="U16" s="92">
        <v>160000</v>
      </c>
      <c r="V16" s="94">
        <v>0</v>
      </c>
      <c r="W16" s="94">
        <v>0.04</v>
      </c>
      <c r="X16" s="83"/>
      <c r="Y16" s="26" t="s">
        <v>5</v>
      </c>
      <c r="Z16" s="14">
        <f t="shared" si="0"/>
        <v>0</v>
      </c>
      <c r="AA16" s="14">
        <f t="shared" si="1"/>
        <v>0</v>
      </c>
      <c r="AB16" s="14">
        <f t="shared" si="2"/>
        <v>0</v>
      </c>
      <c r="AC16" s="14">
        <f t="shared" si="4"/>
        <v>0</v>
      </c>
      <c r="AD16" s="14">
        <f t="shared" si="5"/>
        <v>0</v>
      </c>
      <c r="AE16" s="14">
        <f t="shared" si="6"/>
        <v>0</v>
      </c>
      <c r="AF16" s="14">
        <f t="shared" si="7"/>
        <v>0</v>
      </c>
      <c r="AG16" s="14">
        <f t="shared" si="3"/>
        <v>0</v>
      </c>
      <c r="AI16" s="26" t="s">
        <v>5</v>
      </c>
      <c r="AJ16" s="25">
        <v>0</v>
      </c>
      <c r="AK16" s="25">
        <v>166000</v>
      </c>
      <c r="AL16" s="25">
        <v>0</v>
      </c>
      <c r="AM16" s="21">
        <v>166000</v>
      </c>
      <c r="AN16" s="21">
        <v>160000</v>
      </c>
      <c r="AO16" s="21">
        <v>166000</v>
      </c>
      <c r="AP16" s="21">
        <v>9960</v>
      </c>
      <c r="AQ16" s="21">
        <v>0</v>
      </c>
    </row>
    <row r="17" spans="1:43" ht="24" customHeight="1" x14ac:dyDescent="0.25">
      <c r="A17" s="104" t="str">
        <v>1st Anniversary</v>
      </c>
      <c r="B17" s="57">
        <v>2</v>
      </c>
      <c r="C17" s="58">
        <v>0</v>
      </c>
      <c r="D17" s="59">
        <v>1</v>
      </c>
      <c r="E17" s="59" t="b">
        <v>0</v>
      </c>
      <c r="F17" s="59">
        <v>0</v>
      </c>
      <c r="G17" s="109">
        <v>167000</v>
      </c>
      <c r="H17" s="109">
        <v>0</v>
      </c>
      <c r="I17" s="59" t="b">
        <v>0</v>
      </c>
      <c r="J17" s="60" t="b">
        <v>0</v>
      </c>
      <c r="K17" s="60" t="b">
        <v>1</v>
      </c>
      <c r="L17" s="60">
        <v>160000</v>
      </c>
      <c r="M17" s="60">
        <v>168000</v>
      </c>
      <c r="N17" s="61">
        <v>1</v>
      </c>
      <c r="O17" s="62">
        <v>168000</v>
      </c>
      <c r="P17" s="63">
        <v>167000</v>
      </c>
      <c r="Q17" s="63">
        <v>167000</v>
      </c>
      <c r="R17" s="63">
        <v>166000</v>
      </c>
      <c r="S17" s="63">
        <v>10080</v>
      </c>
      <c r="T17" s="59">
        <v>1</v>
      </c>
      <c r="U17" s="62">
        <v>168000</v>
      </c>
      <c r="V17" s="66">
        <v>0</v>
      </c>
      <c r="W17" s="66">
        <v>0.04</v>
      </c>
      <c r="X17" s="83"/>
      <c r="Y17" s="26" t="s">
        <v>6</v>
      </c>
      <c r="Z17" s="14">
        <f t="shared" si="0"/>
        <v>0</v>
      </c>
      <c r="AA17" s="14">
        <f t="shared" si="1"/>
        <v>0</v>
      </c>
      <c r="AB17" s="14">
        <f t="shared" si="2"/>
        <v>0</v>
      </c>
      <c r="AC17" s="14">
        <f t="shared" si="4"/>
        <v>0</v>
      </c>
      <c r="AD17" s="14">
        <f t="shared" si="5"/>
        <v>0</v>
      </c>
      <c r="AE17" s="14">
        <f t="shared" si="6"/>
        <v>0</v>
      </c>
      <c r="AF17" s="14">
        <f t="shared" si="7"/>
        <v>0</v>
      </c>
      <c r="AG17" s="14">
        <f t="shared" si="3"/>
        <v>0</v>
      </c>
      <c r="AI17" s="26" t="s">
        <v>6</v>
      </c>
      <c r="AJ17" s="25">
        <v>0</v>
      </c>
      <c r="AK17" s="25">
        <v>167000</v>
      </c>
      <c r="AL17" s="25">
        <v>0</v>
      </c>
      <c r="AM17" s="21">
        <v>167000</v>
      </c>
      <c r="AN17" s="21">
        <v>168000</v>
      </c>
      <c r="AO17" s="21">
        <v>168000</v>
      </c>
      <c r="AP17" s="21">
        <v>10080</v>
      </c>
      <c r="AQ17" s="21">
        <v>0</v>
      </c>
    </row>
    <row r="18" spans="1:43" ht="23.25" customHeight="1" x14ac:dyDescent="0.25">
      <c r="A18" s="103" t="str">
        <v>Year 2 – Day 180</v>
      </c>
      <c r="B18" s="87">
        <v>2</v>
      </c>
      <c r="C18" s="88">
        <v>180</v>
      </c>
      <c r="D18" s="89">
        <v>1.493150684931507</v>
      </c>
      <c r="E18" s="89" t="b">
        <v>0</v>
      </c>
      <c r="F18" s="89">
        <v>90000</v>
      </c>
      <c r="G18" s="108">
        <v>250000</v>
      </c>
      <c r="H18" s="108">
        <v>0</v>
      </c>
      <c r="I18" s="89" t="b">
        <v>0</v>
      </c>
      <c r="J18" s="90" t="b">
        <v>0</v>
      </c>
      <c r="K18" s="90" t="b">
        <v>0</v>
      </c>
      <c r="L18" s="90">
        <v>250000</v>
      </c>
      <c r="M18" s="90">
        <v>258000</v>
      </c>
      <c r="N18" s="91">
        <v>1</v>
      </c>
      <c r="O18" s="92">
        <v>258000</v>
      </c>
      <c r="P18" s="93">
        <v>0</v>
      </c>
      <c r="Q18" s="93">
        <v>167000</v>
      </c>
      <c r="R18" s="93">
        <v>166000</v>
      </c>
      <c r="S18" s="93">
        <v>15480</v>
      </c>
      <c r="T18" s="89">
        <v>1</v>
      </c>
      <c r="U18" s="92">
        <v>258000</v>
      </c>
      <c r="V18" s="94">
        <v>0</v>
      </c>
      <c r="W18" s="94">
        <v>0.04</v>
      </c>
      <c r="X18" s="83"/>
      <c r="Y18" s="26" t="s">
        <v>7</v>
      </c>
      <c r="Z18" s="14">
        <f t="shared" si="0"/>
        <v>0</v>
      </c>
      <c r="AA18" s="14">
        <f t="shared" si="1"/>
        <v>0</v>
      </c>
      <c r="AB18" s="14">
        <f t="shared" si="2"/>
        <v>0</v>
      </c>
      <c r="AC18" s="14">
        <f t="shared" si="4"/>
        <v>0</v>
      </c>
      <c r="AD18" s="14">
        <f t="shared" si="5"/>
        <v>0</v>
      </c>
      <c r="AE18" s="14">
        <f t="shared" si="6"/>
        <v>0</v>
      </c>
      <c r="AF18" s="14">
        <f t="shared" si="7"/>
        <v>0</v>
      </c>
      <c r="AG18" s="14">
        <f t="shared" si="3"/>
        <v>0</v>
      </c>
      <c r="AI18" s="26" t="s">
        <v>7</v>
      </c>
      <c r="AJ18" s="25">
        <v>90000</v>
      </c>
      <c r="AK18" s="25">
        <v>250000</v>
      </c>
      <c r="AL18" s="25">
        <v>0</v>
      </c>
      <c r="AM18" s="21">
        <v>0</v>
      </c>
      <c r="AN18" s="21">
        <v>258000</v>
      </c>
      <c r="AO18" s="21">
        <v>258000</v>
      </c>
      <c r="AP18" s="21">
        <v>15480</v>
      </c>
      <c r="AQ18" s="21">
        <v>0</v>
      </c>
    </row>
    <row r="19" spans="1:43" ht="24.75" customHeight="1" x14ac:dyDescent="0.25">
      <c r="A19" s="104" t="str">
        <v>Year 2 – Day 250</v>
      </c>
      <c r="B19" s="57">
        <v>2</v>
      </c>
      <c r="C19" s="58">
        <v>250</v>
      </c>
      <c r="D19" s="59">
        <v>1.6849315068493151</v>
      </c>
      <c r="E19" s="59" t="b">
        <v>0</v>
      </c>
      <c r="F19" s="59">
        <v>0</v>
      </c>
      <c r="G19" s="109">
        <v>280000</v>
      </c>
      <c r="H19" s="109">
        <v>0</v>
      </c>
      <c r="I19" s="59" t="b">
        <v>0</v>
      </c>
      <c r="J19" s="60" t="b">
        <v>0</v>
      </c>
      <c r="K19" s="60" t="b">
        <v>0</v>
      </c>
      <c r="L19" s="60">
        <v>250000</v>
      </c>
      <c r="M19" s="60">
        <v>258000</v>
      </c>
      <c r="N19" s="61">
        <v>1</v>
      </c>
      <c r="O19" s="62">
        <v>280000</v>
      </c>
      <c r="P19" s="63">
        <v>280000</v>
      </c>
      <c r="Q19" s="63">
        <v>280000</v>
      </c>
      <c r="R19" s="63">
        <v>166000</v>
      </c>
      <c r="S19" s="63">
        <v>16800</v>
      </c>
      <c r="T19" s="59">
        <v>1</v>
      </c>
      <c r="U19" s="62">
        <v>258000</v>
      </c>
      <c r="V19" s="66">
        <v>0</v>
      </c>
      <c r="W19" s="66">
        <v>0.04</v>
      </c>
      <c r="X19" s="83"/>
      <c r="Y19" s="26" t="s">
        <v>8</v>
      </c>
      <c r="Z19" s="14">
        <f t="shared" si="0"/>
        <v>0</v>
      </c>
      <c r="AA19" s="14">
        <f t="shared" si="1"/>
        <v>0</v>
      </c>
      <c r="AB19" s="14">
        <f t="shared" si="2"/>
        <v>0</v>
      </c>
      <c r="AC19" s="14">
        <f t="shared" si="4"/>
        <v>0</v>
      </c>
      <c r="AD19" s="14">
        <f t="shared" si="5"/>
        <v>0</v>
      </c>
      <c r="AE19" s="14">
        <f t="shared" si="6"/>
        <v>0</v>
      </c>
      <c r="AF19" s="14">
        <f t="shared" si="7"/>
        <v>0</v>
      </c>
      <c r="AG19" s="14">
        <f t="shared" si="3"/>
        <v>0</v>
      </c>
      <c r="AI19" s="26" t="s">
        <v>8</v>
      </c>
      <c r="AJ19" s="25">
        <v>0</v>
      </c>
      <c r="AK19" s="25">
        <v>280000</v>
      </c>
      <c r="AL19" s="25">
        <v>0</v>
      </c>
      <c r="AM19" s="21">
        <v>280000</v>
      </c>
      <c r="AN19" s="21">
        <v>258000</v>
      </c>
      <c r="AO19" s="21">
        <v>280000</v>
      </c>
      <c r="AP19" s="21">
        <v>16800</v>
      </c>
      <c r="AQ19" s="21">
        <v>0</v>
      </c>
    </row>
    <row r="20" spans="1:43" ht="24" customHeight="1" x14ac:dyDescent="0.25">
      <c r="A20" s="103" t="str">
        <v>2nd Anniversary</v>
      </c>
      <c r="B20" s="87">
        <v>3</v>
      </c>
      <c r="C20" s="88">
        <v>0</v>
      </c>
      <c r="D20" s="89">
        <v>2</v>
      </c>
      <c r="E20" s="89" t="b">
        <v>0</v>
      </c>
      <c r="F20" s="89">
        <v>0</v>
      </c>
      <c r="G20" s="108">
        <v>279000</v>
      </c>
      <c r="H20" s="108">
        <v>0</v>
      </c>
      <c r="I20" s="89" t="b">
        <v>0</v>
      </c>
      <c r="J20" s="90" t="b">
        <v>0</v>
      </c>
      <c r="K20" s="90" t="b">
        <v>1</v>
      </c>
      <c r="L20" s="90">
        <v>250000</v>
      </c>
      <c r="M20" s="90">
        <v>270500</v>
      </c>
      <c r="N20" s="91">
        <v>1</v>
      </c>
      <c r="O20" s="92">
        <v>280000</v>
      </c>
      <c r="P20" s="93">
        <v>0</v>
      </c>
      <c r="Q20" s="93">
        <v>0</v>
      </c>
      <c r="R20" s="93">
        <v>280000</v>
      </c>
      <c r="S20" s="93">
        <v>16800</v>
      </c>
      <c r="T20" s="89">
        <v>1</v>
      </c>
      <c r="U20" s="92">
        <v>270500</v>
      </c>
      <c r="V20" s="94">
        <v>0</v>
      </c>
      <c r="W20" s="94">
        <v>0.04</v>
      </c>
      <c r="X20" s="83"/>
      <c r="Y20" s="26" t="s">
        <v>9</v>
      </c>
      <c r="Z20" s="14">
        <f t="shared" si="0"/>
        <v>0</v>
      </c>
      <c r="AA20" s="14">
        <f t="shared" si="1"/>
        <v>0</v>
      </c>
      <c r="AB20" s="14">
        <f t="shared" si="2"/>
        <v>0</v>
      </c>
      <c r="AC20" s="14">
        <f t="shared" si="4"/>
        <v>0</v>
      </c>
      <c r="AD20" s="14">
        <f t="shared" si="5"/>
        <v>0</v>
      </c>
      <c r="AE20" s="14">
        <f t="shared" si="6"/>
        <v>0</v>
      </c>
      <c r="AF20" s="14">
        <f t="shared" si="7"/>
        <v>0</v>
      </c>
      <c r="AG20" s="14">
        <f t="shared" si="3"/>
        <v>0</v>
      </c>
      <c r="AI20" s="26" t="s">
        <v>9</v>
      </c>
      <c r="AJ20" s="25">
        <v>0</v>
      </c>
      <c r="AK20" s="25">
        <v>279000</v>
      </c>
      <c r="AL20" s="25">
        <v>0</v>
      </c>
      <c r="AM20" s="21">
        <v>0</v>
      </c>
      <c r="AN20" s="38">
        <v>270500</v>
      </c>
      <c r="AO20" s="21">
        <v>280000</v>
      </c>
      <c r="AP20" s="21">
        <v>16800</v>
      </c>
      <c r="AQ20" s="21">
        <v>0</v>
      </c>
    </row>
    <row r="21" spans="1:43" ht="22.5" customHeight="1" x14ac:dyDescent="0.25">
      <c r="A21" s="104" t="str">
        <v>Year 3 – Day 45</v>
      </c>
      <c r="B21" s="57">
        <v>3</v>
      </c>
      <c r="C21" s="58">
        <v>45</v>
      </c>
      <c r="D21" s="59">
        <v>2.1232876712328768</v>
      </c>
      <c r="E21" s="59" t="b">
        <v>0</v>
      </c>
      <c r="F21" s="59">
        <v>0</v>
      </c>
      <c r="G21" s="109">
        <v>290000</v>
      </c>
      <c r="H21" s="109">
        <v>0</v>
      </c>
      <c r="I21" s="59" t="b">
        <v>0</v>
      </c>
      <c r="J21" s="60" t="b">
        <v>0</v>
      </c>
      <c r="K21" s="60" t="b">
        <v>0</v>
      </c>
      <c r="L21" s="60">
        <v>250000</v>
      </c>
      <c r="M21" s="60">
        <v>270500</v>
      </c>
      <c r="N21" s="61">
        <v>1</v>
      </c>
      <c r="O21" s="62">
        <v>290000</v>
      </c>
      <c r="P21" s="63">
        <v>290000</v>
      </c>
      <c r="Q21" s="63">
        <v>290000</v>
      </c>
      <c r="R21" s="63">
        <v>280000</v>
      </c>
      <c r="S21" s="63">
        <v>17400</v>
      </c>
      <c r="T21" s="59">
        <v>1</v>
      </c>
      <c r="U21" s="62">
        <v>270500</v>
      </c>
      <c r="V21" s="66">
        <v>0</v>
      </c>
      <c r="W21" s="66">
        <v>0.04</v>
      </c>
      <c r="X21" s="83"/>
      <c r="Y21" s="26" t="s">
        <v>11</v>
      </c>
      <c r="Z21" s="14">
        <f t="shared" si="0"/>
        <v>0</v>
      </c>
      <c r="AA21" s="14">
        <f t="shared" si="1"/>
        <v>0</v>
      </c>
      <c r="AB21" s="14">
        <f t="shared" si="2"/>
        <v>0</v>
      </c>
      <c r="AC21" s="14">
        <f t="shared" si="4"/>
        <v>0</v>
      </c>
      <c r="AD21" s="14">
        <f t="shared" si="5"/>
        <v>0</v>
      </c>
      <c r="AE21" s="14">
        <f t="shared" si="6"/>
        <v>0</v>
      </c>
      <c r="AF21" s="14">
        <f t="shared" si="7"/>
        <v>0</v>
      </c>
      <c r="AG21" s="14">
        <f t="shared" si="3"/>
        <v>0</v>
      </c>
      <c r="AI21" s="26" t="s">
        <v>11</v>
      </c>
      <c r="AJ21" s="25">
        <v>0</v>
      </c>
      <c r="AK21" s="25">
        <v>290000</v>
      </c>
      <c r="AL21" s="25">
        <v>0</v>
      </c>
      <c r="AM21" s="21">
        <v>290000</v>
      </c>
      <c r="AN21" s="21">
        <v>270500</v>
      </c>
      <c r="AO21" s="21">
        <v>290000</v>
      </c>
      <c r="AP21" s="21">
        <v>17400</v>
      </c>
      <c r="AQ21" s="21">
        <v>0</v>
      </c>
    </row>
    <row r="22" spans="1:43" ht="21" customHeight="1" x14ac:dyDescent="0.25">
      <c r="A22" s="103" t="str">
        <v>Year 3 – Day 155</v>
      </c>
      <c r="B22" s="87">
        <v>3</v>
      </c>
      <c r="C22" s="88">
        <v>155</v>
      </c>
      <c r="D22" s="89">
        <v>2.4246575342465753</v>
      </c>
      <c r="E22" s="89" t="b">
        <v>0</v>
      </c>
      <c r="F22" s="89">
        <v>0</v>
      </c>
      <c r="G22" s="108">
        <v>285000</v>
      </c>
      <c r="H22" s="108">
        <v>5000</v>
      </c>
      <c r="I22" s="89" t="b">
        <v>0</v>
      </c>
      <c r="J22" s="90" t="b">
        <v>0</v>
      </c>
      <c r="K22" s="90" t="b">
        <v>0</v>
      </c>
      <c r="L22" s="90">
        <v>250000</v>
      </c>
      <c r="M22" s="90">
        <v>270500</v>
      </c>
      <c r="N22" s="91">
        <v>0.98245614035087714</v>
      </c>
      <c r="O22" s="92">
        <v>284912.28070175438</v>
      </c>
      <c r="P22" s="93">
        <v>0</v>
      </c>
      <c r="Q22" s="93">
        <v>290000</v>
      </c>
      <c r="R22" s="93">
        <v>280000</v>
      </c>
      <c r="S22" s="93">
        <v>17094.736842105263</v>
      </c>
      <c r="T22" s="89">
        <v>0.98245614035087714</v>
      </c>
      <c r="U22" s="92">
        <v>265754.38596491225</v>
      </c>
      <c r="V22" s="94">
        <v>0</v>
      </c>
      <c r="W22" s="94">
        <v>0.04</v>
      </c>
      <c r="X22" s="83"/>
      <c r="Y22" s="26" t="s">
        <v>12</v>
      </c>
      <c r="Z22" s="14">
        <f t="shared" si="0"/>
        <v>0</v>
      </c>
      <c r="AA22" s="14">
        <f t="shared" si="1"/>
        <v>0</v>
      </c>
      <c r="AB22" s="14">
        <f t="shared" si="2"/>
        <v>0</v>
      </c>
      <c r="AC22" s="14">
        <f t="shared" si="4"/>
        <v>0</v>
      </c>
      <c r="AD22" s="14">
        <f t="shared" si="5"/>
        <v>0.3859649122459814</v>
      </c>
      <c r="AE22" s="14">
        <f t="shared" si="6"/>
        <v>0.28070175438188016</v>
      </c>
      <c r="AF22" s="14">
        <f t="shared" si="7"/>
        <v>-0.26315789473665063</v>
      </c>
      <c r="AG22" s="14">
        <f t="shared" si="3"/>
        <v>0</v>
      </c>
      <c r="AI22" s="26" t="s">
        <v>12</v>
      </c>
      <c r="AJ22" s="25">
        <v>0</v>
      </c>
      <c r="AK22" s="25">
        <v>285000</v>
      </c>
      <c r="AL22" s="25">
        <v>5000</v>
      </c>
      <c r="AM22" s="21">
        <v>0</v>
      </c>
      <c r="AN22" s="21">
        <v>265754</v>
      </c>
      <c r="AO22" s="21">
        <v>284912</v>
      </c>
      <c r="AP22" s="21">
        <v>17095</v>
      </c>
      <c r="AQ22" s="21">
        <v>0</v>
      </c>
    </row>
    <row r="23" spans="1:43" ht="22.5" customHeight="1" x14ac:dyDescent="0.25">
      <c r="A23" s="104" t="str">
        <v>Year 3 – Day 275</v>
      </c>
      <c r="B23" s="57">
        <v>3</v>
      </c>
      <c r="C23" s="58">
        <v>275</v>
      </c>
      <c r="D23" s="59">
        <v>2.7534246575342465</v>
      </c>
      <c r="E23" s="59" t="b">
        <v>0</v>
      </c>
      <c r="F23" s="59">
        <v>0</v>
      </c>
      <c r="G23" s="109">
        <v>300000</v>
      </c>
      <c r="H23" s="109">
        <v>0</v>
      </c>
      <c r="I23" s="59" t="b">
        <v>0</v>
      </c>
      <c r="J23" s="60" t="b">
        <v>0</v>
      </c>
      <c r="K23" s="60" t="b">
        <v>0</v>
      </c>
      <c r="L23" s="60">
        <v>250000</v>
      </c>
      <c r="M23" s="60">
        <v>270500</v>
      </c>
      <c r="N23" s="61">
        <v>0.98245614035087714</v>
      </c>
      <c r="O23" s="62">
        <v>300000</v>
      </c>
      <c r="P23" s="63">
        <v>300000</v>
      </c>
      <c r="Q23" s="63">
        <v>300000</v>
      </c>
      <c r="R23" s="63">
        <v>280000</v>
      </c>
      <c r="S23" s="63">
        <v>18000</v>
      </c>
      <c r="T23" s="59">
        <v>1</v>
      </c>
      <c r="U23" s="62">
        <v>265754.38596491225</v>
      </c>
      <c r="V23" s="66">
        <v>0</v>
      </c>
      <c r="W23" s="66">
        <v>0.04</v>
      </c>
      <c r="X23" s="83"/>
      <c r="Y23" s="26" t="s">
        <v>13</v>
      </c>
      <c r="Z23" s="14">
        <f t="shared" si="0"/>
        <v>0</v>
      </c>
      <c r="AA23" s="14">
        <f t="shared" si="1"/>
        <v>0</v>
      </c>
      <c r="AB23" s="14">
        <f t="shared" si="2"/>
        <v>0</v>
      </c>
      <c r="AC23" s="14">
        <f t="shared" si="4"/>
        <v>0</v>
      </c>
      <c r="AD23" s="14">
        <f t="shared" si="5"/>
        <v>0.3859649122459814</v>
      </c>
      <c r="AE23" s="14">
        <f t="shared" si="6"/>
        <v>0</v>
      </c>
      <c r="AF23" s="14">
        <f t="shared" si="7"/>
        <v>0</v>
      </c>
      <c r="AG23" s="14">
        <f t="shared" si="3"/>
        <v>0</v>
      </c>
      <c r="AI23" s="26" t="s">
        <v>13</v>
      </c>
      <c r="AJ23" s="25">
        <v>0</v>
      </c>
      <c r="AK23" s="25">
        <v>300000</v>
      </c>
      <c r="AL23" s="25">
        <v>0</v>
      </c>
      <c r="AM23" s="21">
        <v>300000</v>
      </c>
      <c r="AN23" s="21">
        <v>265754</v>
      </c>
      <c r="AO23" s="21">
        <v>300000</v>
      </c>
      <c r="AP23" s="21">
        <v>18000</v>
      </c>
      <c r="AQ23" s="21">
        <v>0</v>
      </c>
    </row>
    <row r="24" spans="1:43" ht="22.5" customHeight="1" x14ac:dyDescent="0.25">
      <c r="A24" s="103" t="str">
        <v>3rd Anniversary</v>
      </c>
      <c r="B24" s="87">
        <v>4</v>
      </c>
      <c r="C24" s="88">
        <v>0</v>
      </c>
      <c r="D24" s="89">
        <v>3</v>
      </c>
      <c r="E24" s="89" t="b">
        <v>0</v>
      </c>
      <c r="F24" s="89">
        <v>0</v>
      </c>
      <c r="G24" s="108">
        <v>310000</v>
      </c>
      <c r="H24" s="108">
        <v>0</v>
      </c>
      <c r="I24" s="89" t="b">
        <v>0</v>
      </c>
      <c r="J24" s="90" t="b">
        <v>0</v>
      </c>
      <c r="K24" s="90" t="b">
        <v>1</v>
      </c>
      <c r="L24" s="90">
        <v>250000</v>
      </c>
      <c r="M24" s="90">
        <v>283000</v>
      </c>
      <c r="N24" s="91">
        <v>0.98245614035087714</v>
      </c>
      <c r="O24" s="92">
        <v>310000</v>
      </c>
      <c r="P24" s="93">
        <v>310000</v>
      </c>
      <c r="Q24" s="93">
        <v>310000</v>
      </c>
      <c r="R24" s="93">
        <v>300000</v>
      </c>
      <c r="S24" s="93">
        <v>18600</v>
      </c>
      <c r="T24" s="89">
        <v>1</v>
      </c>
      <c r="U24" s="92">
        <v>278035.08771929826</v>
      </c>
      <c r="V24" s="94">
        <v>0</v>
      </c>
      <c r="W24" s="94">
        <v>0.04</v>
      </c>
      <c r="X24" s="83"/>
      <c r="Y24" s="26" t="s">
        <v>14</v>
      </c>
      <c r="Z24" s="14">
        <f t="shared" si="0"/>
        <v>0</v>
      </c>
      <c r="AA24" s="14">
        <f t="shared" si="1"/>
        <v>0</v>
      </c>
      <c r="AB24" s="14">
        <f t="shared" si="2"/>
        <v>0</v>
      </c>
      <c r="AC24" s="14">
        <f t="shared" si="4"/>
        <v>0</v>
      </c>
      <c r="AD24" s="14">
        <f t="shared" si="5"/>
        <v>8.7719298258889467E-2</v>
      </c>
      <c r="AE24" s="14">
        <f t="shared" si="6"/>
        <v>0</v>
      </c>
      <c r="AF24" s="14">
        <f t="shared" si="7"/>
        <v>0</v>
      </c>
      <c r="AG24" s="14">
        <f t="shared" si="3"/>
        <v>0</v>
      </c>
      <c r="AI24" s="26" t="s">
        <v>14</v>
      </c>
      <c r="AJ24" s="25">
        <v>0</v>
      </c>
      <c r="AK24" s="25">
        <v>310000</v>
      </c>
      <c r="AL24" s="25">
        <v>0</v>
      </c>
      <c r="AM24" s="21">
        <v>310000</v>
      </c>
      <c r="AN24" s="21">
        <v>278035</v>
      </c>
      <c r="AO24" s="21">
        <v>310000</v>
      </c>
      <c r="AP24" s="21">
        <v>18600</v>
      </c>
      <c r="AQ24" s="21">
        <v>0</v>
      </c>
    </row>
    <row r="25" spans="1:43" x14ac:dyDescent="0.25">
      <c r="A25" s="105" t="str">
        <v>Year 4 - Day 65</v>
      </c>
      <c r="B25" s="57">
        <v>4</v>
      </c>
      <c r="C25" s="58">
        <v>65</v>
      </c>
      <c r="D25" s="59">
        <v>3.1780821917808222</v>
      </c>
      <c r="E25" s="59" t="b">
        <v>0</v>
      </c>
      <c r="F25" s="59">
        <v>0</v>
      </c>
      <c r="G25" s="109">
        <v>315000</v>
      </c>
      <c r="H25" s="109">
        <v>0</v>
      </c>
      <c r="I25" s="59" t="b">
        <v>0</v>
      </c>
      <c r="J25" s="60" t="b">
        <v>0</v>
      </c>
      <c r="K25" s="60" t="b">
        <v>0</v>
      </c>
      <c r="L25" s="60">
        <v>250000</v>
      </c>
      <c r="M25" s="60">
        <v>283000</v>
      </c>
      <c r="N25" s="61">
        <v>0.98245614035087714</v>
      </c>
      <c r="O25" s="62">
        <v>315000</v>
      </c>
      <c r="P25" s="63">
        <v>315000</v>
      </c>
      <c r="Q25" s="63">
        <v>315000</v>
      </c>
      <c r="R25" s="63">
        <v>300000</v>
      </c>
      <c r="S25" s="63">
        <v>18900</v>
      </c>
      <c r="T25" s="59">
        <v>1</v>
      </c>
      <c r="U25" s="62">
        <v>278035.08771929826</v>
      </c>
      <c r="V25" s="66">
        <v>0</v>
      </c>
      <c r="W25" s="66">
        <v>0.04</v>
      </c>
      <c r="X25" s="83"/>
      <c r="Y25" s="27" t="s">
        <v>35</v>
      </c>
      <c r="Z25" s="14">
        <f t="shared" si="0"/>
        <v>0</v>
      </c>
      <c r="AA25" s="14">
        <f t="shared" si="1"/>
        <v>0</v>
      </c>
      <c r="AB25" s="14">
        <f t="shared" si="2"/>
        <v>0</v>
      </c>
      <c r="AC25" s="14">
        <f t="shared" si="4"/>
        <v>0</v>
      </c>
      <c r="AD25" s="14">
        <f t="shared" si="5"/>
        <v>8.7719298258889467E-2</v>
      </c>
      <c r="AE25" s="14">
        <f t="shared" si="6"/>
        <v>0</v>
      </c>
      <c r="AF25" s="14">
        <f t="shared" si="7"/>
        <v>0</v>
      </c>
      <c r="AG25" s="14">
        <f t="shared" si="3"/>
        <v>0</v>
      </c>
      <c r="AI25" s="27" t="s">
        <v>35</v>
      </c>
      <c r="AJ25" s="25">
        <v>0</v>
      </c>
      <c r="AK25" s="28">
        <v>315000</v>
      </c>
      <c r="AL25" s="28">
        <v>0</v>
      </c>
      <c r="AM25" s="19">
        <v>315000</v>
      </c>
      <c r="AN25" s="20">
        <f>AN24</f>
        <v>278035</v>
      </c>
      <c r="AO25" s="19">
        <v>315000</v>
      </c>
      <c r="AP25" s="19">
        <v>18900</v>
      </c>
      <c r="AQ25" s="21">
        <v>0</v>
      </c>
    </row>
    <row r="26" spans="1:43" x14ac:dyDescent="0.25">
      <c r="A26" s="106" t="str">
        <v>Year 4 - Day 92</v>
      </c>
      <c r="B26" s="87">
        <v>4</v>
      </c>
      <c r="C26" s="88">
        <v>92</v>
      </c>
      <c r="D26" s="89">
        <v>3.2520547945205482</v>
      </c>
      <c r="E26" s="89" t="b">
        <v>1</v>
      </c>
      <c r="F26" s="89">
        <v>0</v>
      </c>
      <c r="G26" s="108">
        <v>312000</v>
      </c>
      <c r="H26" s="108">
        <v>10000</v>
      </c>
      <c r="I26" s="89" t="b">
        <v>0</v>
      </c>
      <c r="J26" s="90" t="b">
        <v>1</v>
      </c>
      <c r="K26" s="90" t="b">
        <v>0</v>
      </c>
      <c r="L26" s="90">
        <v>250000</v>
      </c>
      <c r="M26" s="90">
        <v>0</v>
      </c>
      <c r="N26" s="91">
        <v>0.98245614035087714</v>
      </c>
      <c r="O26" s="92">
        <v>315000</v>
      </c>
      <c r="P26" s="93">
        <v>0</v>
      </c>
      <c r="Q26" s="93">
        <v>315000</v>
      </c>
      <c r="R26" s="93">
        <v>300000</v>
      </c>
      <c r="S26" s="93">
        <v>18900</v>
      </c>
      <c r="T26" s="89">
        <v>1</v>
      </c>
      <c r="U26" s="92">
        <v>0</v>
      </c>
      <c r="V26" s="94">
        <v>0</v>
      </c>
      <c r="W26" s="94">
        <v>0.04</v>
      </c>
      <c r="X26" s="83"/>
      <c r="Y26" s="27" t="s">
        <v>36</v>
      </c>
      <c r="Z26" s="14">
        <f t="shared" si="0"/>
        <v>0</v>
      </c>
      <c r="AA26" s="14">
        <f t="shared" si="1"/>
        <v>0</v>
      </c>
      <c r="AB26" s="14">
        <f t="shared" si="2"/>
        <v>0</v>
      </c>
      <c r="AC26" s="14">
        <f t="shared" si="4"/>
        <v>0</v>
      </c>
      <c r="AD26" s="14">
        <f t="shared" si="5"/>
        <v>0</v>
      </c>
      <c r="AE26" s="14">
        <f t="shared" si="6"/>
        <v>0</v>
      </c>
      <c r="AF26" s="14">
        <f t="shared" si="7"/>
        <v>0</v>
      </c>
      <c r="AG26" s="14">
        <f t="shared" si="3"/>
        <v>0</v>
      </c>
      <c r="AI26" s="27" t="s">
        <v>36</v>
      </c>
      <c r="AJ26" s="25">
        <v>0</v>
      </c>
      <c r="AK26" s="28">
        <v>312000</v>
      </c>
      <c r="AL26" s="28">
        <v>10000</v>
      </c>
      <c r="AM26" s="19">
        <v>0</v>
      </c>
      <c r="AN26" s="19">
        <v>0</v>
      </c>
      <c r="AO26" s="19">
        <v>315000</v>
      </c>
      <c r="AP26" s="19">
        <v>18900</v>
      </c>
      <c r="AQ26" s="21">
        <v>0</v>
      </c>
    </row>
    <row r="27" spans="1:43" x14ac:dyDescent="0.25">
      <c r="A27" s="105" t="str">
        <v>Year 4 - Day 350</v>
      </c>
      <c r="B27" s="57">
        <v>4</v>
      </c>
      <c r="C27" s="58">
        <v>350</v>
      </c>
      <c r="D27" s="59">
        <v>3.9589041095890414</v>
      </c>
      <c r="E27" s="59" t="b">
        <v>1</v>
      </c>
      <c r="F27" s="59">
        <v>0</v>
      </c>
      <c r="G27" s="109">
        <v>320000</v>
      </c>
      <c r="H27" s="109">
        <v>0</v>
      </c>
      <c r="I27" s="59" t="b">
        <v>0</v>
      </c>
      <c r="J27" s="60" t="b">
        <v>1</v>
      </c>
      <c r="K27" s="60" t="b">
        <v>0</v>
      </c>
      <c r="L27" s="60">
        <v>250000</v>
      </c>
      <c r="M27" s="60">
        <v>0</v>
      </c>
      <c r="N27" s="61">
        <v>0.98245614035087714</v>
      </c>
      <c r="O27" s="62">
        <v>315000</v>
      </c>
      <c r="P27" s="63">
        <v>320000</v>
      </c>
      <c r="Q27" s="63">
        <v>320000</v>
      </c>
      <c r="R27" s="63">
        <v>300000</v>
      </c>
      <c r="S27" s="63">
        <v>18900</v>
      </c>
      <c r="T27" s="59">
        <v>1</v>
      </c>
      <c r="U27" s="62">
        <v>0</v>
      </c>
      <c r="V27" s="66">
        <v>0</v>
      </c>
      <c r="W27" s="66">
        <v>0.04</v>
      </c>
      <c r="X27" s="83"/>
      <c r="Y27" s="27" t="s">
        <v>37</v>
      </c>
      <c r="Z27" s="14">
        <f t="shared" si="0"/>
        <v>0</v>
      </c>
      <c r="AA27" s="14">
        <f t="shared" si="1"/>
        <v>0</v>
      </c>
      <c r="AB27" s="14">
        <f t="shared" si="2"/>
        <v>0</v>
      </c>
      <c r="AC27" s="14">
        <f t="shared" si="4"/>
        <v>0</v>
      </c>
      <c r="AD27" s="14">
        <f t="shared" si="5"/>
        <v>0</v>
      </c>
      <c r="AE27" s="14">
        <f t="shared" si="6"/>
        <v>0</v>
      </c>
      <c r="AF27" s="14">
        <f t="shared" si="7"/>
        <v>0</v>
      </c>
      <c r="AG27" s="14">
        <f t="shared" si="3"/>
        <v>0</v>
      </c>
      <c r="AI27" s="27" t="s">
        <v>37</v>
      </c>
      <c r="AJ27" s="25">
        <v>0</v>
      </c>
      <c r="AK27" s="28">
        <v>320000</v>
      </c>
      <c r="AL27" s="28">
        <v>0</v>
      </c>
      <c r="AM27" s="19">
        <v>320000</v>
      </c>
      <c r="AN27" s="19">
        <v>0</v>
      </c>
      <c r="AO27" s="19">
        <v>315000</v>
      </c>
      <c r="AP27" s="19">
        <v>18900</v>
      </c>
      <c r="AQ27" s="21">
        <v>0</v>
      </c>
    </row>
    <row r="28" spans="1:43" x14ac:dyDescent="0.25">
      <c r="A28" s="106" t="str">
        <v>4th Anniversary</v>
      </c>
      <c r="B28" s="87">
        <v>5</v>
      </c>
      <c r="C28" s="88">
        <v>0</v>
      </c>
      <c r="D28" s="89">
        <v>4</v>
      </c>
      <c r="E28" s="89" t="b">
        <v>1</v>
      </c>
      <c r="F28" s="89">
        <v>0</v>
      </c>
      <c r="G28" s="108">
        <v>311000</v>
      </c>
      <c r="H28" s="108">
        <v>0</v>
      </c>
      <c r="I28" s="89" t="b">
        <v>0</v>
      </c>
      <c r="J28" s="90" t="b">
        <v>1</v>
      </c>
      <c r="K28" s="90" t="b">
        <v>1</v>
      </c>
      <c r="L28" s="90">
        <v>250000</v>
      </c>
      <c r="M28" s="90">
        <v>0</v>
      </c>
      <c r="N28" s="91">
        <v>0.98245614035087714</v>
      </c>
      <c r="O28" s="92">
        <v>320000</v>
      </c>
      <c r="P28" s="93">
        <v>0</v>
      </c>
      <c r="Q28" s="93">
        <v>0</v>
      </c>
      <c r="R28" s="93">
        <v>320000</v>
      </c>
      <c r="S28" s="93">
        <v>19200</v>
      </c>
      <c r="T28" s="89">
        <v>1</v>
      </c>
      <c r="U28" s="92">
        <v>0</v>
      </c>
      <c r="V28" s="94">
        <v>0</v>
      </c>
      <c r="W28" s="94">
        <v>0.04</v>
      </c>
      <c r="X28" s="83"/>
      <c r="Y28" s="27" t="s">
        <v>38</v>
      </c>
      <c r="Z28" s="14">
        <f t="shared" si="0"/>
        <v>0</v>
      </c>
      <c r="AA28" s="14">
        <f t="shared" si="1"/>
        <v>0</v>
      </c>
      <c r="AB28" s="14">
        <f t="shared" si="2"/>
        <v>0</v>
      </c>
      <c r="AC28" s="14">
        <f t="shared" si="4"/>
        <v>0</v>
      </c>
      <c r="AD28" s="14">
        <f t="shared" si="5"/>
        <v>0</v>
      </c>
      <c r="AE28" s="14">
        <f t="shared" si="6"/>
        <v>0</v>
      </c>
      <c r="AF28" s="14">
        <f t="shared" si="7"/>
        <v>0</v>
      </c>
      <c r="AG28" s="14">
        <f t="shared" si="3"/>
        <v>0</v>
      </c>
      <c r="AI28" s="27" t="s">
        <v>38</v>
      </c>
      <c r="AJ28" s="25">
        <v>0</v>
      </c>
      <c r="AK28" s="28">
        <v>311000</v>
      </c>
      <c r="AL28" s="28">
        <v>0</v>
      </c>
      <c r="AM28" s="19">
        <v>0</v>
      </c>
      <c r="AN28" s="19">
        <v>0</v>
      </c>
      <c r="AO28" s="19">
        <v>320000</v>
      </c>
      <c r="AP28" s="19">
        <v>19200</v>
      </c>
      <c r="AQ28" s="21">
        <v>0</v>
      </c>
    </row>
    <row r="29" spans="1:43" x14ac:dyDescent="0.25">
      <c r="A29" s="105" t="str">
        <v>Year 5 - Day 75</v>
      </c>
      <c r="B29" s="57">
        <v>5</v>
      </c>
      <c r="C29" s="58">
        <v>75</v>
      </c>
      <c r="D29" s="59">
        <v>4.2054794520547949</v>
      </c>
      <c r="E29" s="59" t="b">
        <v>1</v>
      </c>
      <c r="F29" s="59">
        <v>0</v>
      </c>
      <c r="G29" s="109">
        <v>325000</v>
      </c>
      <c r="H29" s="109">
        <v>0</v>
      </c>
      <c r="I29" s="59" t="b">
        <v>0</v>
      </c>
      <c r="J29" s="60" t="b">
        <v>1</v>
      </c>
      <c r="K29" s="60" t="b">
        <v>0</v>
      </c>
      <c r="L29" s="60">
        <v>250000</v>
      </c>
      <c r="M29" s="60">
        <v>0</v>
      </c>
      <c r="N29" s="61">
        <v>0.98245614035087714</v>
      </c>
      <c r="O29" s="62">
        <v>320000</v>
      </c>
      <c r="P29" s="63">
        <v>325000</v>
      </c>
      <c r="Q29" s="63">
        <v>325000</v>
      </c>
      <c r="R29" s="63">
        <v>320000</v>
      </c>
      <c r="S29" s="63">
        <v>19200</v>
      </c>
      <c r="T29" s="59">
        <v>1</v>
      </c>
      <c r="U29" s="62">
        <v>0</v>
      </c>
      <c r="V29" s="66">
        <v>0</v>
      </c>
      <c r="W29" s="66">
        <v>0.04</v>
      </c>
      <c r="X29" s="83"/>
      <c r="Y29" s="27" t="s">
        <v>39</v>
      </c>
      <c r="Z29" s="14">
        <f t="shared" si="0"/>
        <v>0</v>
      </c>
      <c r="AA29" s="14">
        <f t="shared" si="1"/>
        <v>0</v>
      </c>
      <c r="AB29" s="14">
        <f t="shared" si="2"/>
        <v>0</v>
      </c>
      <c r="AC29" s="14">
        <f t="shared" si="4"/>
        <v>0</v>
      </c>
      <c r="AD29" s="14">
        <f t="shared" si="5"/>
        <v>0</v>
      </c>
      <c r="AE29" s="14">
        <f t="shared" si="6"/>
        <v>0</v>
      </c>
      <c r="AF29" s="14">
        <f t="shared" si="7"/>
        <v>0</v>
      </c>
      <c r="AG29" s="14">
        <f t="shared" si="3"/>
        <v>0</v>
      </c>
      <c r="AI29" s="27" t="s">
        <v>39</v>
      </c>
      <c r="AJ29" s="25">
        <v>0</v>
      </c>
      <c r="AK29" s="28">
        <v>325000</v>
      </c>
      <c r="AL29" s="28">
        <v>0</v>
      </c>
      <c r="AM29" s="19">
        <v>325000</v>
      </c>
      <c r="AN29" s="19">
        <v>0</v>
      </c>
      <c r="AO29" s="19">
        <v>320000</v>
      </c>
      <c r="AP29" s="19">
        <v>19200</v>
      </c>
      <c r="AQ29" s="21">
        <v>0</v>
      </c>
    </row>
    <row r="30" spans="1:43" x14ac:dyDescent="0.25">
      <c r="A30" s="106" t="str">
        <v>Year 5 - Day 80</v>
      </c>
      <c r="B30" s="87">
        <v>5</v>
      </c>
      <c r="C30" s="88">
        <v>80</v>
      </c>
      <c r="D30" s="89">
        <v>4.2191780821917808</v>
      </c>
      <c r="E30" s="89" t="b">
        <v>1</v>
      </c>
      <c r="F30" s="89">
        <v>0</v>
      </c>
      <c r="G30" s="108">
        <v>322000</v>
      </c>
      <c r="H30" s="108">
        <v>19200</v>
      </c>
      <c r="I30" s="89" t="b">
        <v>0</v>
      </c>
      <c r="J30" s="90" t="b">
        <v>1</v>
      </c>
      <c r="K30" s="90" t="b">
        <v>0</v>
      </c>
      <c r="L30" s="90">
        <v>250000</v>
      </c>
      <c r="M30" s="90">
        <v>0</v>
      </c>
      <c r="N30" s="91">
        <v>0.98245614035087714</v>
      </c>
      <c r="O30" s="92">
        <v>320000</v>
      </c>
      <c r="P30" s="93">
        <v>0</v>
      </c>
      <c r="Q30" s="93">
        <v>325000</v>
      </c>
      <c r="R30" s="93">
        <v>320000</v>
      </c>
      <c r="S30" s="93">
        <v>19200</v>
      </c>
      <c r="T30" s="89">
        <v>1</v>
      </c>
      <c r="U30" s="92">
        <v>0</v>
      </c>
      <c r="V30" s="94">
        <v>0</v>
      </c>
      <c r="W30" s="94">
        <v>0.04</v>
      </c>
      <c r="Y30" s="27" t="s">
        <v>40</v>
      </c>
      <c r="Z30" s="14">
        <f t="shared" si="0"/>
        <v>0</v>
      </c>
      <c r="AA30" s="14">
        <f t="shared" si="1"/>
        <v>0</v>
      </c>
      <c r="AB30" s="14">
        <f t="shared" si="2"/>
        <v>0</v>
      </c>
      <c r="AC30" s="14">
        <f t="shared" si="4"/>
        <v>0</v>
      </c>
      <c r="AD30" s="14">
        <f t="shared" si="5"/>
        <v>0</v>
      </c>
      <c r="AE30" s="14">
        <f t="shared" si="6"/>
        <v>0</v>
      </c>
      <c r="AF30" s="14">
        <f t="shared" si="7"/>
        <v>0</v>
      </c>
      <c r="AG30" s="14">
        <f t="shared" si="3"/>
        <v>0</v>
      </c>
      <c r="AI30" s="27" t="s">
        <v>40</v>
      </c>
      <c r="AJ30" s="25">
        <v>0</v>
      </c>
      <c r="AK30" s="28">
        <v>322000</v>
      </c>
      <c r="AL30" s="28">
        <v>19200</v>
      </c>
      <c r="AM30" s="19">
        <v>0</v>
      </c>
      <c r="AN30" s="19">
        <v>0</v>
      </c>
      <c r="AO30" s="19">
        <v>320000</v>
      </c>
      <c r="AP30" s="19">
        <v>19200</v>
      </c>
      <c r="AQ30" s="21">
        <v>0</v>
      </c>
    </row>
    <row r="31" spans="1:43" x14ac:dyDescent="0.25">
      <c r="A31" s="105" t="str">
        <v>5th Anniversary</v>
      </c>
      <c r="B31" s="57">
        <v>6</v>
      </c>
      <c r="C31" s="58">
        <v>0</v>
      </c>
      <c r="D31" s="59">
        <v>5</v>
      </c>
      <c r="E31" s="59" t="b">
        <v>1</v>
      </c>
      <c r="F31" s="59">
        <v>0</v>
      </c>
      <c r="G31" s="109">
        <v>317000</v>
      </c>
      <c r="H31" s="109">
        <v>0</v>
      </c>
      <c r="I31" s="59" t="b">
        <v>0</v>
      </c>
      <c r="J31" s="60" t="b">
        <v>1</v>
      </c>
      <c r="K31" s="60" t="b">
        <v>1</v>
      </c>
      <c r="L31" s="60">
        <v>250000</v>
      </c>
      <c r="M31" s="60">
        <v>0</v>
      </c>
      <c r="N31" s="61">
        <v>0.98245614035087714</v>
      </c>
      <c r="O31" s="62">
        <v>325000</v>
      </c>
      <c r="P31" s="63">
        <v>0</v>
      </c>
      <c r="Q31" s="63">
        <v>0</v>
      </c>
      <c r="R31" s="63">
        <v>325000</v>
      </c>
      <c r="S31" s="63">
        <v>19500</v>
      </c>
      <c r="T31" s="59">
        <v>1</v>
      </c>
      <c r="U31" s="62">
        <v>0</v>
      </c>
      <c r="V31" s="66">
        <v>0</v>
      </c>
      <c r="W31" s="66">
        <v>0.04</v>
      </c>
      <c r="Y31" s="27" t="s">
        <v>41</v>
      </c>
      <c r="Z31" s="14">
        <f t="shared" si="0"/>
        <v>0</v>
      </c>
      <c r="AA31" s="14">
        <f t="shared" si="1"/>
        <v>0</v>
      </c>
      <c r="AB31" s="14">
        <f t="shared" si="2"/>
        <v>0</v>
      </c>
      <c r="AC31" s="14">
        <f t="shared" si="4"/>
        <v>0</v>
      </c>
      <c r="AD31" s="14">
        <f t="shared" si="5"/>
        <v>0</v>
      </c>
      <c r="AE31" s="14">
        <f t="shared" si="6"/>
        <v>0</v>
      </c>
      <c r="AF31" s="14">
        <f t="shared" si="7"/>
        <v>0</v>
      </c>
      <c r="AG31" s="14">
        <f t="shared" si="3"/>
        <v>0</v>
      </c>
      <c r="AI31" s="27" t="s">
        <v>41</v>
      </c>
      <c r="AJ31" s="25">
        <v>0</v>
      </c>
      <c r="AK31" s="28">
        <v>317000</v>
      </c>
      <c r="AL31" s="28">
        <v>0</v>
      </c>
      <c r="AM31" s="19">
        <v>0</v>
      </c>
      <c r="AN31" s="19">
        <v>0</v>
      </c>
      <c r="AO31" s="19">
        <v>325000</v>
      </c>
      <c r="AP31" s="19">
        <v>19500</v>
      </c>
      <c r="AQ31" s="21">
        <v>0</v>
      </c>
    </row>
    <row r="32" spans="1:43" x14ac:dyDescent="0.25">
      <c r="A32" s="106" t="str">
        <v>Year 6 - Day 155</v>
      </c>
      <c r="B32" s="87">
        <v>6</v>
      </c>
      <c r="C32" s="88">
        <v>155</v>
      </c>
      <c r="D32" s="89">
        <v>5.4246575342465757</v>
      </c>
      <c r="E32" s="89" t="b">
        <v>1</v>
      </c>
      <c r="F32" s="89">
        <v>0</v>
      </c>
      <c r="G32" s="108">
        <v>330000</v>
      </c>
      <c r="H32" s="108">
        <v>0</v>
      </c>
      <c r="I32" s="89" t="b">
        <v>0</v>
      </c>
      <c r="J32" s="90" t="b">
        <v>1</v>
      </c>
      <c r="K32" s="90" t="b">
        <v>0</v>
      </c>
      <c r="L32" s="90">
        <v>250000</v>
      </c>
      <c r="M32" s="90">
        <v>0</v>
      </c>
      <c r="N32" s="91">
        <v>0.98245614035087714</v>
      </c>
      <c r="O32" s="92">
        <v>325000</v>
      </c>
      <c r="P32" s="93">
        <v>330000</v>
      </c>
      <c r="Q32" s="93">
        <v>330000</v>
      </c>
      <c r="R32" s="93">
        <v>325000</v>
      </c>
      <c r="S32" s="93">
        <v>19500</v>
      </c>
      <c r="T32" s="89">
        <v>1</v>
      </c>
      <c r="U32" s="92">
        <v>0</v>
      </c>
      <c r="V32" s="94">
        <v>0</v>
      </c>
      <c r="W32" s="94">
        <v>0.04</v>
      </c>
      <c r="Y32" s="27" t="s">
        <v>42</v>
      </c>
      <c r="Z32" s="14">
        <f t="shared" si="0"/>
        <v>0</v>
      </c>
      <c r="AA32" s="14">
        <f t="shared" si="1"/>
        <v>0</v>
      </c>
      <c r="AB32" s="14">
        <f t="shared" si="2"/>
        <v>0</v>
      </c>
      <c r="AC32" s="14">
        <f t="shared" si="4"/>
        <v>0</v>
      </c>
      <c r="AD32" s="14">
        <f t="shared" si="5"/>
        <v>0</v>
      </c>
      <c r="AE32" s="14">
        <f t="shared" si="6"/>
        <v>0</v>
      </c>
      <c r="AF32" s="14">
        <f t="shared" si="7"/>
        <v>0</v>
      </c>
      <c r="AG32" s="14">
        <f t="shared" si="3"/>
        <v>0</v>
      </c>
      <c r="AI32" s="27" t="s">
        <v>42</v>
      </c>
      <c r="AJ32" s="25">
        <v>0</v>
      </c>
      <c r="AK32" s="28">
        <v>330000</v>
      </c>
      <c r="AL32" s="28">
        <v>0</v>
      </c>
      <c r="AM32" s="19">
        <v>330000</v>
      </c>
      <c r="AN32" s="19">
        <v>0</v>
      </c>
      <c r="AO32" s="19">
        <v>325000</v>
      </c>
      <c r="AP32" s="19">
        <v>19500</v>
      </c>
      <c r="AQ32" s="21">
        <v>0</v>
      </c>
    </row>
    <row r="33" spans="1:43" x14ac:dyDescent="0.25">
      <c r="A33" s="105" t="str">
        <v>6th Anniversary</v>
      </c>
      <c r="B33" s="57">
        <v>7</v>
      </c>
      <c r="C33" s="58">
        <v>0</v>
      </c>
      <c r="D33" s="59">
        <v>6</v>
      </c>
      <c r="E33" s="59" t="b">
        <v>1</v>
      </c>
      <c r="F33" s="59">
        <v>0</v>
      </c>
      <c r="G33" s="109">
        <v>329000</v>
      </c>
      <c r="H33" s="109">
        <v>0</v>
      </c>
      <c r="I33" s="59" t="b">
        <v>0</v>
      </c>
      <c r="J33" s="60" t="b">
        <v>1</v>
      </c>
      <c r="K33" s="60" t="b">
        <v>1</v>
      </c>
      <c r="L33" s="60">
        <v>250000</v>
      </c>
      <c r="M33" s="60">
        <v>0</v>
      </c>
      <c r="N33" s="61">
        <v>0.98245614035087714</v>
      </c>
      <c r="O33" s="62">
        <v>330000</v>
      </c>
      <c r="P33" s="63">
        <v>0</v>
      </c>
      <c r="Q33" s="63">
        <v>0</v>
      </c>
      <c r="R33" s="63">
        <v>330000</v>
      </c>
      <c r="S33" s="63">
        <v>19800</v>
      </c>
      <c r="T33" s="59">
        <v>1</v>
      </c>
      <c r="U33" s="62">
        <v>0</v>
      </c>
      <c r="V33" s="66">
        <v>0</v>
      </c>
      <c r="W33" s="66">
        <v>0.04</v>
      </c>
      <c r="Y33" s="27" t="s">
        <v>15</v>
      </c>
      <c r="Z33" s="14">
        <f t="shared" si="0"/>
        <v>0</v>
      </c>
      <c r="AA33" s="14">
        <f t="shared" si="1"/>
        <v>0</v>
      </c>
      <c r="AB33" s="14">
        <f t="shared" si="2"/>
        <v>0</v>
      </c>
      <c r="AC33" s="14">
        <f t="shared" si="4"/>
        <v>0</v>
      </c>
      <c r="AD33" s="14">
        <f t="shared" si="5"/>
        <v>0</v>
      </c>
      <c r="AE33" s="14">
        <f t="shared" si="6"/>
        <v>0</v>
      </c>
      <c r="AF33" s="14">
        <f t="shared" si="7"/>
        <v>0</v>
      </c>
      <c r="AG33" s="14">
        <f t="shared" si="3"/>
        <v>0</v>
      </c>
      <c r="AI33" s="27" t="s">
        <v>15</v>
      </c>
      <c r="AJ33" s="25">
        <v>0</v>
      </c>
      <c r="AK33" s="28">
        <v>329000</v>
      </c>
      <c r="AL33" s="28">
        <v>0</v>
      </c>
      <c r="AM33" s="19">
        <v>0</v>
      </c>
      <c r="AN33" s="19">
        <v>0</v>
      </c>
      <c r="AO33" s="19">
        <v>330000</v>
      </c>
      <c r="AP33" s="19">
        <v>19800</v>
      </c>
      <c r="AQ33" s="21">
        <v>0</v>
      </c>
    </row>
    <row r="34" spans="1:43" x14ac:dyDescent="0.25">
      <c r="A34" s="103" t="str">
        <v>Year 7 – Day 37</v>
      </c>
      <c r="B34" s="87">
        <v>7</v>
      </c>
      <c r="C34" s="88">
        <v>37</v>
      </c>
      <c r="D34" s="89">
        <v>6.1013698630136988</v>
      </c>
      <c r="E34" s="89" t="b">
        <v>1</v>
      </c>
      <c r="F34" s="89">
        <v>0</v>
      </c>
      <c r="G34" s="108">
        <v>321000</v>
      </c>
      <c r="H34" s="108">
        <v>26400</v>
      </c>
      <c r="I34" s="89" t="b">
        <v>0</v>
      </c>
      <c r="J34" s="90" t="b">
        <v>1</v>
      </c>
      <c r="K34" s="90" t="b">
        <v>0</v>
      </c>
      <c r="L34" s="90">
        <v>250000</v>
      </c>
      <c r="M34" s="90">
        <v>0</v>
      </c>
      <c r="N34" s="91">
        <v>0.96092821695673447</v>
      </c>
      <c r="O34" s="92">
        <v>322768.92430278886</v>
      </c>
      <c r="P34" s="93">
        <v>0</v>
      </c>
      <c r="Q34" s="93">
        <v>0</v>
      </c>
      <c r="R34" s="93">
        <v>330000</v>
      </c>
      <c r="S34" s="93">
        <v>19366.135458167329</v>
      </c>
      <c r="T34" s="89">
        <v>0.97808764940239046</v>
      </c>
      <c r="U34" s="92">
        <v>0</v>
      </c>
      <c r="V34" s="94">
        <v>0</v>
      </c>
      <c r="W34" s="94">
        <v>0.04</v>
      </c>
      <c r="Y34" s="26" t="s">
        <v>16</v>
      </c>
      <c r="Z34" s="14">
        <f t="shared" si="0"/>
        <v>0</v>
      </c>
      <c r="AA34" s="14">
        <f t="shared" si="1"/>
        <v>0</v>
      </c>
      <c r="AB34" s="14">
        <f t="shared" si="2"/>
        <v>0</v>
      </c>
      <c r="AC34" s="14">
        <f t="shared" si="4"/>
        <v>0</v>
      </c>
      <c r="AD34" s="14">
        <f t="shared" si="5"/>
        <v>0</v>
      </c>
      <c r="AE34" s="14">
        <f t="shared" si="6"/>
        <v>-7.5697211141232401E-2</v>
      </c>
      <c r="AF34" s="14">
        <f t="shared" si="7"/>
        <v>0.13545816732948879</v>
      </c>
      <c r="AG34" s="14">
        <f t="shared" si="3"/>
        <v>0</v>
      </c>
      <c r="AI34" s="26" t="s">
        <v>16</v>
      </c>
      <c r="AJ34" s="25">
        <v>0</v>
      </c>
      <c r="AK34" s="25">
        <v>321000</v>
      </c>
      <c r="AL34" s="25">
        <v>26400</v>
      </c>
      <c r="AM34" s="21">
        <v>0</v>
      </c>
      <c r="AN34" s="21">
        <v>0</v>
      </c>
      <c r="AO34" s="21">
        <v>322769</v>
      </c>
      <c r="AP34" s="21">
        <v>19366</v>
      </c>
      <c r="AQ34" s="21">
        <v>0</v>
      </c>
    </row>
    <row r="35" spans="1:43" x14ac:dyDescent="0.25">
      <c r="A35" s="104" t="str">
        <v>Year 7 – Day 362</v>
      </c>
      <c r="B35" s="57">
        <v>7</v>
      </c>
      <c r="C35" s="58">
        <v>362</v>
      </c>
      <c r="D35" s="59">
        <v>6.9917808219178079</v>
      </c>
      <c r="E35" s="59" t="b">
        <v>1</v>
      </c>
      <c r="F35" s="59">
        <v>0</v>
      </c>
      <c r="G35" s="109">
        <v>325000</v>
      </c>
      <c r="H35" s="109">
        <v>0</v>
      </c>
      <c r="I35" s="59" t="b">
        <v>0</v>
      </c>
      <c r="J35" s="60" t="b">
        <v>1</v>
      </c>
      <c r="K35" s="60" t="b">
        <v>0</v>
      </c>
      <c r="L35" s="60">
        <v>250000</v>
      </c>
      <c r="M35" s="60">
        <v>0</v>
      </c>
      <c r="N35" s="61">
        <v>0.96092821695673447</v>
      </c>
      <c r="O35" s="62">
        <v>322768.92430278886</v>
      </c>
      <c r="P35" s="63">
        <v>325000</v>
      </c>
      <c r="Q35" s="63">
        <v>325000</v>
      </c>
      <c r="R35" s="63">
        <v>330000</v>
      </c>
      <c r="S35" s="63">
        <v>19366.135458167329</v>
      </c>
      <c r="T35" s="59">
        <v>1</v>
      </c>
      <c r="U35" s="62">
        <v>0</v>
      </c>
      <c r="V35" s="66">
        <v>0</v>
      </c>
      <c r="W35" s="66">
        <v>0.04</v>
      </c>
      <c r="Y35" s="26" t="s">
        <v>17</v>
      </c>
      <c r="Z35" s="14">
        <f t="shared" si="0"/>
        <v>0</v>
      </c>
      <c r="AA35" s="14">
        <f t="shared" si="1"/>
        <v>0</v>
      </c>
      <c r="AB35" s="14">
        <f t="shared" si="2"/>
        <v>0</v>
      </c>
      <c r="AC35" s="14">
        <f t="shared" si="4"/>
        <v>0</v>
      </c>
      <c r="AD35" s="14">
        <f t="shared" si="5"/>
        <v>0</v>
      </c>
      <c r="AE35" s="14">
        <f t="shared" si="6"/>
        <v>-7.5697211141232401E-2</v>
      </c>
      <c r="AF35" s="14">
        <f t="shared" si="7"/>
        <v>0.13545816732948879</v>
      </c>
      <c r="AG35" s="14">
        <f t="shared" si="3"/>
        <v>0</v>
      </c>
      <c r="AI35" s="26" t="s">
        <v>17</v>
      </c>
      <c r="AJ35" s="25">
        <v>0</v>
      </c>
      <c r="AK35" s="25">
        <v>325000</v>
      </c>
      <c r="AL35" s="25">
        <v>0</v>
      </c>
      <c r="AM35" s="21">
        <v>325000</v>
      </c>
      <c r="AN35" s="21">
        <v>0</v>
      </c>
      <c r="AO35" s="21">
        <v>322769</v>
      </c>
      <c r="AP35" s="21">
        <v>19366</v>
      </c>
      <c r="AQ35" s="21">
        <v>0</v>
      </c>
    </row>
    <row r="36" spans="1:43" x14ac:dyDescent="0.25">
      <c r="A36" s="103" t="str">
        <v>7th Anniversary</v>
      </c>
      <c r="B36" s="87">
        <v>8</v>
      </c>
      <c r="C36" s="88">
        <v>0</v>
      </c>
      <c r="D36" s="89">
        <v>7</v>
      </c>
      <c r="E36" s="89" t="b">
        <v>1</v>
      </c>
      <c r="F36" s="89">
        <v>0</v>
      </c>
      <c r="G36" s="108">
        <v>317000</v>
      </c>
      <c r="H36" s="108">
        <v>0</v>
      </c>
      <c r="I36" s="89" t="b">
        <v>0</v>
      </c>
      <c r="J36" s="90" t="b">
        <v>1</v>
      </c>
      <c r="K36" s="90" t="b">
        <v>1</v>
      </c>
      <c r="L36" s="90">
        <v>250000</v>
      </c>
      <c r="M36" s="90">
        <v>0</v>
      </c>
      <c r="N36" s="91">
        <v>0.96092821695673447</v>
      </c>
      <c r="O36" s="92">
        <v>325000</v>
      </c>
      <c r="P36" s="93">
        <v>0</v>
      </c>
      <c r="Q36" s="93">
        <v>0</v>
      </c>
      <c r="R36" s="93">
        <v>325000</v>
      </c>
      <c r="S36" s="93">
        <v>19500</v>
      </c>
      <c r="T36" s="89">
        <v>1</v>
      </c>
      <c r="U36" s="92">
        <v>0</v>
      </c>
      <c r="V36" s="94">
        <v>0</v>
      </c>
      <c r="W36" s="94">
        <v>0.04</v>
      </c>
      <c r="Y36" s="26" t="s">
        <v>18</v>
      </c>
      <c r="Z36" s="14">
        <f t="shared" si="0"/>
        <v>0</v>
      </c>
      <c r="AA36" s="14">
        <f t="shared" si="1"/>
        <v>0</v>
      </c>
      <c r="AB36" s="14">
        <f t="shared" si="2"/>
        <v>0</v>
      </c>
      <c r="AC36" s="14">
        <f t="shared" si="4"/>
        <v>0</v>
      </c>
      <c r="AD36" s="14">
        <f t="shared" si="5"/>
        <v>0</v>
      </c>
      <c r="AE36" s="14">
        <f t="shared" si="6"/>
        <v>0</v>
      </c>
      <c r="AF36" s="14">
        <f t="shared" si="7"/>
        <v>0</v>
      </c>
      <c r="AG36" s="14">
        <f t="shared" si="3"/>
        <v>0</v>
      </c>
      <c r="AI36" s="26" t="s">
        <v>18</v>
      </c>
      <c r="AJ36" s="25">
        <v>0</v>
      </c>
      <c r="AK36" s="25">
        <v>317000</v>
      </c>
      <c r="AL36" s="25">
        <v>0</v>
      </c>
      <c r="AM36" s="21">
        <v>0</v>
      </c>
      <c r="AN36" s="21">
        <v>0</v>
      </c>
      <c r="AO36" s="21">
        <v>325000</v>
      </c>
      <c r="AP36" s="21">
        <v>19500</v>
      </c>
      <c r="AQ36" s="21">
        <v>0</v>
      </c>
    </row>
    <row r="37" spans="1:43" x14ac:dyDescent="0.25">
      <c r="A37" s="104" t="str">
        <v>Year 8 – Day 46</v>
      </c>
      <c r="B37" s="57">
        <v>8</v>
      </c>
      <c r="C37" s="58">
        <v>46</v>
      </c>
      <c r="D37" s="59">
        <v>7.1260273972602732</v>
      </c>
      <c r="E37" s="59" t="b">
        <v>1</v>
      </c>
      <c r="F37" s="59">
        <v>0</v>
      </c>
      <c r="G37" s="109">
        <v>307000</v>
      </c>
      <c r="H37" s="109">
        <v>26000</v>
      </c>
      <c r="I37" s="59" t="b">
        <v>0</v>
      </c>
      <c r="J37" s="60" t="b">
        <v>1</v>
      </c>
      <c r="K37" s="60" t="b">
        <v>0</v>
      </c>
      <c r="L37" s="60">
        <v>250000</v>
      </c>
      <c r="M37" s="60">
        <v>0</v>
      </c>
      <c r="N37" s="61">
        <v>0.93920288335597346</v>
      </c>
      <c r="O37" s="62">
        <v>317652.17391304346</v>
      </c>
      <c r="P37" s="63">
        <v>0</v>
      </c>
      <c r="Q37" s="63">
        <v>0</v>
      </c>
      <c r="R37" s="63">
        <v>325000</v>
      </c>
      <c r="S37" s="63">
        <v>19059.130434782608</v>
      </c>
      <c r="T37" s="59">
        <v>0.97739130434782606</v>
      </c>
      <c r="U37" s="62">
        <v>0</v>
      </c>
      <c r="V37" s="66">
        <v>0</v>
      </c>
      <c r="W37" s="66">
        <v>0.04</v>
      </c>
      <c r="Y37" s="26" t="s">
        <v>19</v>
      </c>
      <c r="Z37" s="14">
        <f t="shared" si="0"/>
        <v>0</v>
      </c>
      <c r="AA37" s="14">
        <f t="shared" si="1"/>
        <v>0</v>
      </c>
      <c r="AB37" s="14">
        <f t="shared" si="2"/>
        <v>0</v>
      </c>
      <c r="AC37" s="14">
        <f t="shared" si="4"/>
        <v>0</v>
      </c>
      <c r="AD37" s="14">
        <f t="shared" si="5"/>
        <v>0</v>
      </c>
      <c r="AE37" s="14">
        <f t="shared" si="6"/>
        <v>0.17391304345801473</v>
      </c>
      <c r="AF37" s="14">
        <f t="shared" si="7"/>
        <v>0.13043478260806296</v>
      </c>
      <c r="AG37" s="14">
        <f t="shared" si="3"/>
        <v>0</v>
      </c>
      <c r="AI37" s="26" t="s">
        <v>19</v>
      </c>
      <c r="AJ37" s="25">
        <v>0</v>
      </c>
      <c r="AK37" s="25">
        <v>307000</v>
      </c>
      <c r="AL37" s="25">
        <v>26000</v>
      </c>
      <c r="AM37" s="21">
        <v>0</v>
      </c>
      <c r="AN37" s="21">
        <v>0</v>
      </c>
      <c r="AO37" s="21">
        <v>317652</v>
      </c>
      <c r="AP37" s="21">
        <v>19059</v>
      </c>
      <c r="AQ37" s="21">
        <v>0</v>
      </c>
    </row>
    <row r="38" spans="1:43" x14ac:dyDescent="0.25">
      <c r="A38" s="103" t="str">
        <v>8th Anniversary</v>
      </c>
      <c r="B38" s="87">
        <v>9</v>
      </c>
      <c r="C38" s="88">
        <v>0</v>
      </c>
      <c r="D38" s="89">
        <v>8</v>
      </c>
      <c r="E38" s="89" t="b">
        <v>1</v>
      </c>
      <c r="F38" s="89">
        <v>0</v>
      </c>
      <c r="G38" s="108">
        <v>270000</v>
      </c>
      <c r="H38" s="108">
        <v>0</v>
      </c>
      <c r="I38" s="89" t="b">
        <v>0</v>
      </c>
      <c r="J38" s="90" t="b">
        <v>1</v>
      </c>
      <c r="K38" s="90" t="b">
        <v>1</v>
      </c>
      <c r="L38" s="90">
        <v>250000</v>
      </c>
      <c r="M38" s="90">
        <v>0</v>
      </c>
      <c r="N38" s="91">
        <v>0.93920288335597346</v>
      </c>
      <c r="O38" s="92">
        <v>317652.17391304346</v>
      </c>
      <c r="P38" s="93">
        <v>0</v>
      </c>
      <c r="Q38" s="93">
        <v>0</v>
      </c>
      <c r="R38" s="93">
        <v>0</v>
      </c>
      <c r="S38" s="93">
        <v>19059.130434782608</v>
      </c>
      <c r="T38" s="89">
        <v>1</v>
      </c>
      <c r="U38" s="92">
        <v>0</v>
      </c>
      <c r="V38" s="94">
        <v>0</v>
      </c>
      <c r="W38" s="94">
        <v>0.04</v>
      </c>
      <c r="Y38" s="26" t="s">
        <v>20</v>
      </c>
      <c r="Z38" s="14">
        <f t="shared" si="0"/>
        <v>0</v>
      </c>
      <c r="AA38" s="14">
        <f t="shared" si="1"/>
        <v>0</v>
      </c>
      <c r="AB38" s="14">
        <f t="shared" si="2"/>
        <v>0</v>
      </c>
      <c r="AC38" s="14">
        <f t="shared" si="4"/>
        <v>0</v>
      </c>
      <c r="AD38" s="14">
        <f t="shared" si="5"/>
        <v>0</v>
      </c>
      <c r="AE38" s="14">
        <f t="shared" si="6"/>
        <v>0.17391304345801473</v>
      </c>
      <c r="AF38" s="14">
        <f t="shared" si="7"/>
        <v>0.13043478260806296</v>
      </c>
      <c r="AG38" s="14">
        <f t="shared" si="3"/>
        <v>0</v>
      </c>
      <c r="AI38" s="26" t="s">
        <v>20</v>
      </c>
      <c r="AJ38" s="25">
        <v>0</v>
      </c>
      <c r="AK38" s="25">
        <v>270000</v>
      </c>
      <c r="AL38" s="25">
        <v>0</v>
      </c>
      <c r="AM38" s="21">
        <v>0</v>
      </c>
      <c r="AN38" s="21">
        <v>0</v>
      </c>
      <c r="AO38" s="21">
        <v>317652</v>
      </c>
      <c r="AP38" s="21">
        <v>19059</v>
      </c>
      <c r="AQ38" s="21">
        <v>0</v>
      </c>
    </row>
    <row r="39" spans="1:43" x14ac:dyDescent="0.25">
      <c r="A39" s="104" t="str">
        <v>9th Anniversary</v>
      </c>
      <c r="B39" s="57">
        <v>10</v>
      </c>
      <c r="C39" s="58">
        <v>0</v>
      </c>
      <c r="D39" s="59">
        <v>9</v>
      </c>
      <c r="E39" s="59" t="b">
        <v>1</v>
      </c>
      <c r="F39" s="59">
        <v>0</v>
      </c>
      <c r="G39" s="109">
        <v>150000</v>
      </c>
      <c r="H39" s="109">
        <v>19059</v>
      </c>
      <c r="I39" s="59" t="b">
        <v>0</v>
      </c>
      <c r="J39" s="60" t="b">
        <v>1</v>
      </c>
      <c r="K39" s="60" t="b">
        <v>1</v>
      </c>
      <c r="L39" s="60">
        <v>250000</v>
      </c>
      <c r="M39" s="60">
        <v>0</v>
      </c>
      <c r="N39" s="61">
        <v>0.93920288335597346</v>
      </c>
      <c r="O39" s="62">
        <v>317652.17391304346</v>
      </c>
      <c r="P39" s="63">
        <v>0</v>
      </c>
      <c r="Q39" s="63">
        <v>0</v>
      </c>
      <c r="R39" s="63">
        <v>0</v>
      </c>
      <c r="S39" s="63">
        <v>19059.130434782608</v>
      </c>
      <c r="T39" s="59">
        <v>1</v>
      </c>
      <c r="U39" s="62">
        <v>0</v>
      </c>
      <c r="V39" s="66">
        <v>0</v>
      </c>
      <c r="W39" s="66">
        <v>0.04</v>
      </c>
      <c r="Y39" s="26" t="s">
        <v>21</v>
      </c>
      <c r="Z39" s="14">
        <f t="shared" si="0"/>
        <v>0</v>
      </c>
      <c r="AA39" s="14">
        <f t="shared" si="1"/>
        <v>0</v>
      </c>
      <c r="AB39" s="14">
        <f t="shared" si="2"/>
        <v>0</v>
      </c>
      <c r="AC39" s="14">
        <f t="shared" si="4"/>
        <v>0</v>
      </c>
      <c r="AD39" s="14">
        <f t="shared" si="5"/>
        <v>0</v>
      </c>
      <c r="AE39" s="14">
        <f t="shared" si="6"/>
        <v>0.17391304345801473</v>
      </c>
      <c r="AF39" s="14">
        <f t="shared" si="7"/>
        <v>0.13043478260806296</v>
      </c>
      <c r="AG39" s="14">
        <f t="shared" si="3"/>
        <v>0</v>
      </c>
      <c r="AI39" s="26" t="s">
        <v>21</v>
      </c>
      <c r="AJ39" s="25">
        <v>0</v>
      </c>
      <c r="AK39" s="25">
        <v>150000</v>
      </c>
      <c r="AL39" s="25">
        <v>19059</v>
      </c>
      <c r="AM39" s="21">
        <v>0</v>
      </c>
      <c r="AN39" s="21">
        <v>0</v>
      </c>
      <c r="AO39" s="21">
        <v>317652</v>
      </c>
      <c r="AP39" s="21">
        <v>19059</v>
      </c>
      <c r="AQ39" s="21">
        <v>0</v>
      </c>
    </row>
    <row r="40" spans="1:43" x14ac:dyDescent="0.25">
      <c r="A40" s="103" t="str">
        <v>10th Anniversary</v>
      </c>
      <c r="B40" s="87">
        <v>11</v>
      </c>
      <c r="C40" s="88">
        <v>0</v>
      </c>
      <c r="D40" s="89">
        <v>10</v>
      </c>
      <c r="E40" s="89" t="b">
        <v>1</v>
      </c>
      <c r="F40" s="89">
        <v>0</v>
      </c>
      <c r="G40" s="108">
        <v>100000</v>
      </c>
      <c r="H40" s="108">
        <v>19059</v>
      </c>
      <c r="I40" s="89" t="b">
        <v>0</v>
      </c>
      <c r="J40" s="90" t="b">
        <v>1</v>
      </c>
      <c r="K40" s="90" t="b">
        <v>1</v>
      </c>
      <c r="L40" s="90">
        <v>250000</v>
      </c>
      <c r="M40" s="90">
        <v>0</v>
      </c>
      <c r="N40" s="91">
        <v>0.93920288335597346</v>
      </c>
      <c r="O40" s="92">
        <v>317652.17391304346</v>
      </c>
      <c r="P40" s="93">
        <v>0</v>
      </c>
      <c r="Q40" s="93">
        <v>0</v>
      </c>
      <c r="R40" s="93">
        <v>0</v>
      </c>
      <c r="S40" s="93">
        <v>19059.130434782608</v>
      </c>
      <c r="T40" s="89">
        <v>1</v>
      </c>
      <c r="U40" s="92">
        <v>0</v>
      </c>
      <c r="V40" s="94">
        <v>0</v>
      </c>
      <c r="W40" s="94">
        <v>0.04</v>
      </c>
      <c r="Y40" s="26" t="s">
        <v>22</v>
      </c>
      <c r="Z40" s="14">
        <f t="shared" si="0"/>
        <v>0</v>
      </c>
      <c r="AA40" s="14">
        <f t="shared" si="1"/>
        <v>0</v>
      </c>
      <c r="AB40" s="14">
        <f t="shared" si="2"/>
        <v>0</v>
      </c>
      <c r="AC40" s="14">
        <f t="shared" si="4"/>
        <v>0</v>
      </c>
      <c r="AD40" s="14">
        <f t="shared" si="5"/>
        <v>0</v>
      </c>
      <c r="AE40" s="14">
        <f t="shared" si="6"/>
        <v>0.17391304345801473</v>
      </c>
      <c r="AF40" s="14">
        <f t="shared" si="7"/>
        <v>0.13043478260806296</v>
      </c>
      <c r="AG40" s="14">
        <f t="shared" si="3"/>
        <v>0</v>
      </c>
      <c r="AI40" s="26" t="s">
        <v>22</v>
      </c>
      <c r="AJ40" s="25">
        <v>0</v>
      </c>
      <c r="AK40" s="25">
        <v>100000</v>
      </c>
      <c r="AL40" s="25">
        <v>19059</v>
      </c>
      <c r="AM40" s="21">
        <v>0</v>
      </c>
      <c r="AN40" s="21">
        <v>0</v>
      </c>
      <c r="AO40" s="21">
        <v>317652</v>
      </c>
      <c r="AP40" s="21">
        <v>19059</v>
      </c>
      <c r="AQ40" s="21">
        <v>0</v>
      </c>
    </row>
    <row r="41" spans="1:43" x14ac:dyDescent="0.25">
      <c r="A41" s="104" t="str">
        <v>11th Anniversary</v>
      </c>
      <c r="B41" s="57">
        <v>12</v>
      </c>
      <c r="C41" s="58">
        <v>0</v>
      </c>
      <c r="D41" s="59">
        <v>11</v>
      </c>
      <c r="E41" s="59" t="b">
        <v>1</v>
      </c>
      <c r="F41" s="59">
        <v>0</v>
      </c>
      <c r="G41" s="109">
        <v>50000</v>
      </c>
      <c r="H41" s="109">
        <v>19059</v>
      </c>
      <c r="I41" s="59" t="b">
        <v>0</v>
      </c>
      <c r="J41" s="60" t="b">
        <v>1</v>
      </c>
      <c r="K41" s="60" t="b">
        <v>1</v>
      </c>
      <c r="L41" s="60">
        <v>250000</v>
      </c>
      <c r="M41" s="60">
        <v>0</v>
      </c>
      <c r="N41" s="61">
        <v>0.93920288335597346</v>
      </c>
      <c r="O41" s="62">
        <v>317652.17391304346</v>
      </c>
      <c r="P41" s="63">
        <v>0</v>
      </c>
      <c r="Q41" s="63">
        <v>0</v>
      </c>
      <c r="R41" s="63">
        <v>0</v>
      </c>
      <c r="S41" s="63">
        <v>19059.130434782608</v>
      </c>
      <c r="T41" s="59">
        <v>1</v>
      </c>
      <c r="U41" s="62">
        <v>0</v>
      </c>
      <c r="V41" s="66">
        <v>0</v>
      </c>
      <c r="W41" s="66">
        <v>0.04</v>
      </c>
      <c r="Y41" s="26" t="s">
        <v>23</v>
      </c>
      <c r="Z41" s="14">
        <f t="shared" si="0"/>
        <v>0</v>
      </c>
      <c r="AA41" s="14">
        <f t="shared" si="1"/>
        <v>0</v>
      </c>
      <c r="AB41" s="14">
        <f t="shared" si="2"/>
        <v>0</v>
      </c>
      <c r="AC41" s="14">
        <f t="shared" si="4"/>
        <v>0</v>
      </c>
      <c r="AD41" s="14">
        <f t="shared" si="5"/>
        <v>0</v>
      </c>
      <c r="AE41" s="14">
        <f t="shared" si="6"/>
        <v>0.17391304345801473</v>
      </c>
      <c r="AF41" s="14">
        <f t="shared" si="7"/>
        <v>0.13043478260806296</v>
      </c>
      <c r="AG41" s="14">
        <f t="shared" si="3"/>
        <v>0</v>
      </c>
      <c r="AI41" s="26" t="s">
        <v>23</v>
      </c>
      <c r="AJ41" s="25">
        <v>0</v>
      </c>
      <c r="AK41" s="25">
        <v>50000</v>
      </c>
      <c r="AL41" s="25">
        <v>19059</v>
      </c>
      <c r="AM41" s="21">
        <v>0</v>
      </c>
      <c r="AN41" s="21">
        <v>0</v>
      </c>
      <c r="AO41" s="21">
        <v>317652</v>
      </c>
      <c r="AP41" s="21">
        <v>19059</v>
      </c>
      <c r="AQ41" s="21">
        <v>0</v>
      </c>
    </row>
    <row r="42" spans="1:43" x14ac:dyDescent="0.25">
      <c r="A42" s="103" t="str">
        <v>Year 12 – Day 81</v>
      </c>
      <c r="B42" s="87">
        <v>12</v>
      </c>
      <c r="C42" s="88">
        <v>81</v>
      </c>
      <c r="D42" s="89">
        <v>11.221917808219178</v>
      </c>
      <c r="E42" s="89" t="b">
        <v>1</v>
      </c>
      <c r="F42" s="89">
        <v>0</v>
      </c>
      <c r="G42" s="108">
        <v>0</v>
      </c>
      <c r="H42" s="108">
        <v>19059</v>
      </c>
      <c r="I42" s="89" t="b">
        <v>1</v>
      </c>
      <c r="J42" s="90" t="b">
        <v>1</v>
      </c>
      <c r="K42" s="90" t="b">
        <v>0</v>
      </c>
      <c r="L42" s="90">
        <v>250000</v>
      </c>
      <c r="M42" s="90">
        <v>0</v>
      </c>
      <c r="N42" s="91">
        <v>0.93920288335597346</v>
      </c>
      <c r="O42" s="92">
        <v>317652.17391304346</v>
      </c>
      <c r="P42" s="93">
        <v>0</v>
      </c>
      <c r="Q42" s="93">
        <v>0</v>
      </c>
      <c r="R42" s="93">
        <v>0</v>
      </c>
      <c r="S42" s="93">
        <v>0</v>
      </c>
      <c r="T42" s="89">
        <v>1</v>
      </c>
      <c r="U42" s="92">
        <v>0</v>
      </c>
      <c r="V42" s="94">
        <v>0</v>
      </c>
      <c r="W42" s="94">
        <v>0.04</v>
      </c>
      <c r="Y42" s="26" t="s">
        <v>24</v>
      </c>
      <c r="Z42" s="14">
        <f t="shared" si="0"/>
        <v>0</v>
      </c>
      <c r="AA42" s="14">
        <f t="shared" si="1"/>
        <v>0</v>
      </c>
      <c r="AB42" s="14">
        <f t="shared" si="2"/>
        <v>0</v>
      </c>
      <c r="AC42" s="14">
        <f t="shared" si="4"/>
        <v>0</v>
      </c>
      <c r="AD42" s="14">
        <f t="shared" si="5"/>
        <v>0</v>
      </c>
      <c r="AE42" s="14">
        <f t="shared" si="6"/>
        <v>0.17391304345801473</v>
      </c>
      <c r="AF42" s="14">
        <f t="shared" si="7"/>
        <v>0</v>
      </c>
      <c r="AG42" s="14">
        <f t="shared" si="3"/>
        <v>0</v>
      </c>
      <c r="AI42" s="26" t="s">
        <v>24</v>
      </c>
      <c r="AJ42" s="25">
        <v>0</v>
      </c>
      <c r="AK42" s="25">
        <v>0</v>
      </c>
      <c r="AL42" s="25">
        <v>19059</v>
      </c>
      <c r="AM42" s="21">
        <v>0</v>
      </c>
      <c r="AN42" s="21">
        <v>0</v>
      </c>
      <c r="AO42" s="21">
        <v>317652</v>
      </c>
      <c r="AP42" s="38"/>
      <c r="AQ42" s="21">
        <v>0</v>
      </c>
    </row>
    <row r="43" spans="1:43" x14ac:dyDescent="0.25">
      <c r="A43" s="107" t="str">
        <v>12th Anniversary</v>
      </c>
      <c r="B43" s="68">
        <v>13</v>
      </c>
      <c r="C43" s="69">
        <v>0</v>
      </c>
      <c r="D43" s="70">
        <v>12</v>
      </c>
      <c r="E43" s="70" t="b">
        <v>1</v>
      </c>
      <c r="F43" s="70">
        <v>0</v>
      </c>
      <c r="G43" s="110">
        <v>0</v>
      </c>
      <c r="H43" s="110">
        <v>0</v>
      </c>
      <c r="I43" s="70" t="b">
        <v>1</v>
      </c>
      <c r="J43" s="71" t="b">
        <v>1</v>
      </c>
      <c r="K43" s="71" t="b">
        <v>1</v>
      </c>
      <c r="L43" s="71">
        <v>250000</v>
      </c>
      <c r="M43" s="71">
        <v>0</v>
      </c>
      <c r="N43" s="72">
        <v>0.93920288335597346</v>
      </c>
      <c r="O43" s="73">
        <v>317652.17391304346</v>
      </c>
      <c r="P43" s="74">
        <v>0</v>
      </c>
      <c r="Q43" s="74">
        <v>0</v>
      </c>
      <c r="R43" s="74">
        <v>0</v>
      </c>
      <c r="S43" s="74">
        <v>0</v>
      </c>
      <c r="T43" s="70">
        <v>1</v>
      </c>
      <c r="U43" s="73">
        <v>0</v>
      </c>
      <c r="V43" s="77">
        <v>12706.086956521738</v>
      </c>
      <c r="W43" s="77">
        <v>0.04</v>
      </c>
      <c r="Y43" s="26" t="s">
        <v>25</v>
      </c>
      <c r="Z43" s="14">
        <f t="shared" si="0"/>
        <v>0</v>
      </c>
      <c r="AA43" s="14">
        <f t="shared" si="1"/>
        <v>0</v>
      </c>
      <c r="AB43" s="14">
        <f t="shared" si="2"/>
        <v>0</v>
      </c>
      <c r="AC43" s="14">
        <f t="shared" si="4"/>
        <v>0</v>
      </c>
      <c r="AD43" s="14">
        <f t="shared" si="5"/>
        <v>0</v>
      </c>
      <c r="AE43" s="14">
        <f t="shared" si="6"/>
        <v>0.17391304345801473</v>
      </c>
      <c r="AF43" s="14">
        <f t="shared" si="7"/>
        <v>0</v>
      </c>
      <c r="AG43" s="14">
        <f t="shared" si="3"/>
        <v>8.695652173810231E-2</v>
      </c>
      <c r="AI43" s="26" t="s">
        <v>25</v>
      </c>
      <c r="AJ43" s="25">
        <v>0</v>
      </c>
      <c r="AK43" s="25">
        <v>0</v>
      </c>
      <c r="AL43" s="25">
        <v>0</v>
      </c>
      <c r="AM43" s="21">
        <v>0</v>
      </c>
      <c r="AN43" s="21">
        <v>0</v>
      </c>
      <c r="AO43" s="21">
        <v>317652</v>
      </c>
      <c r="AP43" s="21">
        <v>0</v>
      </c>
      <c r="AQ43" s="21">
        <v>12706</v>
      </c>
    </row>
  </sheetData>
  <mergeCells count="2">
    <mergeCell ref="AI7:AL8"/>
    <mergeCell ref="Y8:AB9"/>
  </mergeCells>
  <conditionalFormatting sqref="K12:M43">
    <cfRule type="cellIs" dxfId="0" priority="3" operator="equal">
      <formula>TRUE</formula>
    </cfRule>
  </conditionalFormatting>
  <conditionalFormatting sqref="N12:N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4833-477A-490D-A67F-1FAAE1568BB2}">
  <dimension ref="A1:F8"/>
  <sheetViews>
    <sheetView workbookViewId="0">
      <selection activeCell="F1" sqref="F1:F8"/>
    </sheetView>
  </sheetViews>
  <sheetFormatPr defaultRowHeight="15" x14ac:dyDescent="0.25"/>
  <sheetData>
    <row r="1" spans="1:6" x14ac:dyDescent="0.25">
      <c r="A1" t="s">
        <v>54</v>
      </c>
      <c r="F1" t="s">
        <v>87</v>
      </c>
    </row>
    <row r="2" spans="1:6" x14ac:dyDescent="0.25">
      <c r="A2" t="s">
        <v>56</v>
      </c>
      <c r="F2" t="s">
        <v>88</v>
      </c>
    </row>
    <row r="3" spans="1:6" x14ac:dyDescent="0.25">
      <c r="A3" t="s">
        <v>77</v>
      </c>
      <c r="F3" t="s">
        <v>89</v>
      </c>
    </row>
    <row r="4" spans="1:6" x14ac:dyDescent="0.25">
      <c r="A4" t="s">
        <v>65</v>
      </c>
      <c r="F4" t="s">
        <v>90</v>
      </c>
    </row>
    <row r="5" spans="1:6" x14ac:dyDescent="0.25">
      <c r="A5" t="s">
        <v>10</v>
      </c>
      <c r="F5" t="s">
        <v>91</v>
      </c>
    </row>
    <row r="6" spans="1:6" x14ac:dyDescent="0.25">
      <c r="F6" t="s">
        <v>92</v>
      </c>
    </row>
    <row r="7" spans="1:6" x14ac:dyDescent="0.25">
      <c r="F7" t="s">
        <v>93</v>
      </c>
    </row>
    <row r="8" spans="1:6" x14ac:dyDescent="0.25">
      <c r="F8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WAEEAIgAsACIAdABlAHgAdAAiADoAIgAvAC8AQQBjAHQAaQB2AGEAdABpAG8AbgAgAEQAYQB0AGUAOgAgAFQAaABlACAAZABhAHQAZQAgAG8AbgAgAHcAaABpAGMAaAAgAHkAbwB1AHIAIABMAGkAZgBlAHQAaQBtAGUAIABJAG4AYwBvAG0AZQAgAGkAcwAgAGEAYwB0AGkAdgBhAHQAZQBkAC4AIABVAHAAbwBuACAAYQBjAHQAaQB2AGEAdABpAG8AbgAgAG8AZgAgAEwAaQBmAGUAdABpAG0AZQAgAEkAbgBjAG8AbQBlACwAIABjAGgAYQBuAGcAZQBzACAAYwBhAG4AbgBvAHQAIABiAGUAIABtAGEAZABlACAAdABvACAAdABoAGUAIABDAG8AdgBlAHIAZQBkACAAUABlAHIAcwBvAG4AKABzACkAIABvAHIAIABJAG4AYwBvAG0AZQAgAE8AcAB0AGkAbwBuAHMALgAgAFwAbgAvAC8AQQBuAG4AaQB2AGUAcgBzAGEAcgB5ACAAVgBhAGwAdQBlADoAIABUAGgAZQAgAGMAbwBuAHQAcgBhAGMAdAAgAHYAYQBsAHUAZQAgAG8AbgAgAGEAbgB5ACAAQgBlAG4AZQBmAGkAdAAgAFkAZQBhAHIAIABBAG4AbgBpAHYAZQByAHMAYQByAHkALgAgAFQAaABlACAAQwBvAG4AdABpAG4AdQBhAHQAaQBvAG4AIABDAG8AbgB0AHIAaQBiAHUAdABpAG8AbgAsACAAaQBmACAAYQBwAHAAbABpAGMAYQBiAGwAZQAsACAAaQBzACAAaQBuAGMAbAB1AGQAZQBkACAAaQBuACAAdABoAGUAIABjAGEAbABjAHUAbABhAHQAaQBvAG4AIABvAGYAIABBAG4AbgBpAHYAZQByAHMAYQByAHkAIABWAGEAbAB1AGUAcwAuACAAUABsAGUAYQBzAGUAIABzAGUAZQAgAFMAUABPAFUAUwBBAEwAIABDAE8ATgBUAEkATgBVAEEAVABJAE8ATgAgAGIAZQBsAG8AdwAuAFwAbgAvAC8AQgBlAG4AZQBmAGkAdAAgAEUAZgBmAGUAYwB0AGkAdgBlACAARABhAHQAZQA6ACAAVABoAGUAIABkAGEAdABlACAAdABoAGUAIABMAGkAdgBpAG4AZwAgAEIAZQBuAGUAZgBpAHQAIABpAHMAIABlAGwAZQBjAHQAZQBkAC4AIABUAGgAZQAgAEIAZQBuAGUAZgBpAHQAIABFAGYAZgBlAGMAdABpAHYAZQAgAEQAYQB0AGUAIABpAHMAIAB0AGgAZQAgAHMAYQBtAGUAIABhAHMAIAB0AGgAZQAgAEMAbwBuAHQAcgBhAGMAdAAgAEkAcwBzAHUAZQAgAEQAYQB0AGUALgBcAG4ALwAvAEIAZQBuAGUAZgBpAHQAIABRAHUAYQByAHQAZQByADoAIABFAGEAYwBoACAAYwBvAG4AcwBlAGMAdQB0AGkAdgBlACAAMwAgAG0AbwBuAHQAaAAgAHAAZQByAGkAbwBkACAAcwB0AGEAcgB0AGkAbgBnACAAbwBuACAAdABoAGUAIABCAGUAbgBlAGYAaQB0ACAARQBmAGYAZQBjAHQAaQB2AGUAIABEAGEAdABlAC4AXABuAC8ALwBCAGUAbgBlAGYAaQB0ACAAUQB1AGEAcgB0AGUAcgAgAEEAbgBuAGkAdgBlAHIAcwBhAHIAeQAgADoAVABoAGUAIABkAGEAdABlACAAZgBvAGwAbABvAHcAaQBuAGcAIABlAGEAYwBoACAAYwBvAG4AcwBlAGMAdQB0AGkAdgBlACAAMwAgAG0AbwBuAHQAaAAgAHAAZQByAGkAbwBkACAAcwB0AGEAcgB0AGkAbgBnACAAbwBuACAAdABoAGUAIABCAGUAbgBlAGYAaQB0ACAARQBmAGYAZQBjAHQAaQB2AGUAIABEAGEAdABlAC4AIABJAGYAIAB0AGgAZQAgAG4AZQB4AHQAIABCAGUAbgBlAGYAaQB0ACAAUQB1AGEAcgB0AGUAcgAgAEEAbgBuAGkAdgBlAHIAcwBhAHIAeQAgAGgAYQBzACAAbgBvACAAYwBvAHIAcgBlAHMAcABvAG4AZABpAG4AZwAgAGQAYQB0AGUALAAgAHQAaABlAG4AIAB0AGgAZQAgAEIAZQBuAGUAZgBpAHQAIABRAHUAYQByAHQAZQByACAAQQBuAG4AaQB2AGUAcgBzAGEAcgB5ACAAdwBpAGwAbAAgAGIAZQAgAGQAZQBlAG0AZQBkACAAdABvACAAYgBlACAAdABoAGUAIABmAG8AbABsAG8AdwBpAG4AZwAgAGQAYQB5AC4AXABuAC8ALwBGAG8AcgAgAGUAeABhAG0AcABsAGUALAAgAGkAZgAgAGEAIABCAGUAbgBlAGYAaQB0ACAAUQB1AGEAcgB0AGUAcgAgAEEAbgBuAGkAdgBlAHIAcwBhAHIAeQAgAGkAcwAgAE4AbwB2AGUAbQBiAGUAcgAgADIAOQAsACAAdABoAGUAIABuAGUAeAB0ACAAQgBlAG4AZQBmAGkAdAAgAFEAdQBhAHIAdABlAHIAIABBAG4AbgBpAHYAZQByAHMAYQByAHkAIAB3AG8AdQBsAGQAIABiAGUAIABGAGUAYgByAHUAYQByAHkAIAAyADkAIABvAGYAIAB0AGgAZQAgAGYAbwBsAGwAbwB3AGkAbgBnACAAeQBlAGEAcgA7ACAAaABvAHcAZQB2AGUAcgAsACAAaQBuACAAYQAgAG4AbwBuAC0ATABlAGEAcAAgAFkAZQBhAHIALAAgAHQAaABlAHIAZQAgAGkAcwAgAG4AbwAgAGMAbwByAHIAZQBzAHAAbwBuAGQAaQBuAGcAIABkAGEAdABlAC4AIABUAGgAZQByAGUAZgBvAHIAZQAsACAAdABoAGUAIABuAGUAeAB0ACAAQgBlAG4AZQBmAGkAdAAgAFEAdQBhAHIAdABlAHIAIABBAG4AbgBpAHYAZQByAHMAYQByAHkAIAB3AG8AdQBsAGQAIABiAGUAIABNAGEAcgBjAGgAIAAxAC4AXABuAC8ALwBCAGUAbgBlAGYAaQB0ACAAWQBlAGEAcgA6ACAARQBhAGMAaAAgAGMAbwBuAHMAZQBjAHUAdABpAHYAZQAgAG8AbgBlACAAeQBlAGEAcgAgAHAAZQByAGkAbwBkACAAcwB0AGEAcgB0AGkAbgBnACAAbwBuACAAdABoAGUAIABCAGUAbgBlAGYAaQB0ACAARQBmAGYAZQBjAHQAaQB2AGUAIABEAGEAdABlAC4AXABuAC8ALwBCAGUAbgBlAGYAaQB0ACAAWQBlAGEAcgAgAEEAbgBuAGkAdgBlAHIAcwBhAHIAeQA6ACAAVABoAGUAIABkAGEAdABlACAAbwBuACAAdwBoAGkAYwBoACAAZQBhAGMAaAAgAEIAZQBuAGUAZgBpAHQAIABZAGUAYQByACAAYgBlAGcAaQBuAHMALgBcAG4ALwAvAEMAbwBuAHQAcgBhAGMAdAAgAFkAZQBhAHIAOgAgAEUAYQBjAGgAIABjAG8AbgBzAGUAYwB1AHQAaQB2AGUAIABvAG4AZQAgAHkAZQBhAHIAIABwAGUAcgBpAG8AZAAgAHMAdABhAHIAdABpAG4AZwAgAG8AbgAgAHQAaABlACAAQwBvAG4AdAByAGEAYwB0ACAASQBzAHMAdQBlACAARABhAHQAZQAuAFwAbgAvAC8AQwBvAHYAZQByAGUAZAAgAFAAZQByAHMAbwBuACgAcwApADoAIABUAGgAZQAgAHAAZQByAHMAbwBuACwAIABvAHIAIABwAGUAcgBzAG8AbgBzACwAIAB3AGgAbwBzAGUAIABsAGkAZgBlAHQAaQBtAGUAIAB3AGkAdABoAGQAcgBhAHcAYQBsAHMAIABhAHIAZQAgAGcAdQBhAHIAYQBuAHQAZQBlAGQAIAB1AG4AZABlAHIAIAB0AGgAZQAgAEwAaQB2AGkAbgBnACAAQgBlAG4AZQBmAGkAdAAuACAAXABuAC8ALwBDAG8AdgBlAHIAZQBkACAAUABlAHIAcwBvAG4AIABDAGgAYQBuAGcAZQBzADoAIABUAGgAZQAgAEMAbwB2AGUAcgBlAGQAIABQAGUAcgBzAG8AbgAoAHMAKQAgAG0AYQB5ACAAYgBlACAAYwBoAGEAbgBnAGUAZAAgAGkAbgAgAHQAaABlACAAZQB2AGUAbgB0ACAAbwBmACAATABpAGYAZQAgAEMAaABhAG4AZwBlACAARQB2AGUAbgB0ACAAcAByAGkAbwByACAAdABvACAAbwByACAAbwBuACAAdABoAGUAIABBAGMAdABpAHYAYQB0AGkAbwBuACAARABhAHQAZQAuACAATgBvACAAZgB1AHIAdABoAGUAcgAgAGMAaABhAG4AZwBlAHMAIABtAGEAeQAgAGIAZQAgAG0AYQBkAGUAIAB0AG8AIAB0AGgAZQAgAEMAbwB2AGUAcgBlAGQAIABQAGUAcgBzAG8AbgAoAHMAKQAgAGEAZgB0AGUAcgAgAHQAaABlACAAQQBjAHQAaQB2AGEAdABpAG8AbgAgAEQAYQB0AGUALgBcAG4AXABuAFwAbgBcAG4ALwAvAEUAeABjAGUAcwBzACAAVwBpAHQAaABkAHIAYQB3AGEAbAA6ACAAQQBuAHkAIAB3AGkAdABoAGQAcgBhAHcAYQBsACwAIABvAHIAIABwAG8AcgB0AGkAbwBuACAAbwBmACAAYQAgAHcAaQB0AGgAZAByAGEAdwBhAGwALAAgAHQAaABhAHQAIABpAHMAIAB0AGEAawBlAG4AIABpAG4AIABhACAAQgBlAG4AZQBmAGkAdAAgAFkAZQBhAHIAIABhAGYAdABlAHIAIAB0AGgAZQAgAEEAYwB0AGkAdgBhAHQAaQBvAG4AIABEAGEAdABlACAAYQBuAGQAXABuAC8ALwBlAHgAYwBlAGUAZABzACAAdABoAGUAIABnAHIAZQBhAHQAZQByACAAbwBmACAAdABoAGUAIABtAGEAeABpAG0AdQBtACAAYQBtAG8AdQBuAHQAIAB0AGgAYQB0ACAAbQBhAHkAIABiAGUAIAB3AGkAdABoAGQAcgBhAHcAbgAgAGUAYQBjAGgAIABCAGUAbgBlAGYAaQB0ACAAWQBlAGEAcgAgAHcAaQB0AGgAbwB1AHQAIAByAGUAZAB1AGMAaQBuAGcAIAB0AGgAZQAgAEkAbgBjAG8AbQBlACAAQgBhAHMAZQAgAFwAbgAvAC8AbwByACAAdABoAGUAIABSAGUAcQB1AGkAcgBlAGQAIABNAGkAbgBpAG0AdQBtACAARABpAHMAdAByAGkAYgB1AHQAaQBvAG4AIABhAG0AbwB1AG4AdAAgAGEAcwAgAGMAYQBsAGMAdQBsAGEAdABlAGQAIABiAHkAIAB0AGgAZQAgAEEAbgBuAHUAaQB0AHkAIABTAGUAcgB2AGkAYwBlACAAQwBlAG4AdABlAHIALgAgAFwAbgAvAC8AQQBuACAARQB4AGMAZQBzAHMAIABXAGkAdABoAGQAcgBhAHcAYQBsACAAdwBpAGwAbAAgAGMAYQB1AHMAZQAgAHQAaABlACAASQBuAGMAbwBtAGUAIABCAGEAcwBlACAAYQBuAGQAIAB0AGgAZQAgAE0AYQB4AGkAbQB1AG0AIABBAG4AbgB1AGEAbAAgAFcAaQB0AGgAZAByAGEAdwBhAGwAIABBAG0AbwB1AG4AdAAgAHQAbwAgAGIAZQAgAHIAZQBjAGEAbABjAHUAbABhAHQAZQBkAC4AXABuAFcAaQB0AGgAZAByAGEAdwBhAGwAUABlAG4AYQBsAHQAeQAgAD0AIABMAEEATQBCAEQAQQAoAGkAcwBBAGMAdABpAHYAYQB0AGUAZAAsAHcAZABUAGEAawBlAG4ALABwAEMAdgAsAGMAdgAsAHAATQBhAHcALABcAG4AIAAgACAAIAAgACAAIAAgACAAIAAgACAAIAAgACAAIAAgACAAIAAgACAAIAAgACAAIAAgAEwARQBUACgAbgBvAFcAZAAsACAAMQAsAFwAbgAgACAAIAAgACAAIAAgACAAIAAgACAAIAAgACAAIAAgACAAIAAgACAAIAAgACAAIAAgACAAIAAgACAAIABwAHIAZQBBAGMAdABpAHYAYQB0AGkAbwBuAFcAZAAsACAAMQAgAC0AIABNAEEAWAAoADAALAAgAHcAZABUAGEAawBlAG4AIAAtACAAcABNAGEAdwApACAALwAgACgAcABDAHYAIAAtACAAcABNAGEAdwApACwAXABuACAAIAAgACAAIAAgACAAIAAgACAAIAAgACAAIAAgACAAIAAgACAAIAAgACAAIAAgACAAIAAgACAAIAAgAHAAbwBzAHQAQQBjAHQAaQB2AGEAdABpAG8AbgBXAGQALAAgADEAIAAtACAAdwBkAFQAYQBrAGUAbgAgAC8AIABjAHYALABcAG4AIAAgACAAIAAgACAAIAAgACAAIAAgACAAIAAgACAAIAAgACAAIAAgACAAIAAgACAAIAAgACAAIAAgACAASQBGACgAdwBkAFQAYQBrAGUAbgAgADwAPgAgADAALAAgAEkARgAoAGkAcwBBAGMAdABpAHYAYQB0AGUAZAAsACAAcAByAGUAQQBjAHQAaQB2AGEAdABpAG8AbgBXAGQALAAgAHAAbwBzAHQAQQBjAHQAaQB2AGEAdABpAG8AbgBXAGQAKQAsACAAbgBvAFcAZAApACkAKQA7AFwAbgAgACAAIAAgACAAIAAgACAAIAAgACAAIAAgACAAIAAgACAAIAAgACAAIAAgACAAIAAgACAAIAAgACAAIABcAG4ALwAvAEgAaQBnAGgAZQByACAAQQBuAG4AaQB2AGUAcgBzAGEAcgB5ACAAVgBhAGwAdQBlADoAIABGAG8AcgAgAFAAbwBsAGEAcgBpAHMAIABJAG4AYwBvAG0AZQAgAE0AYQB4ACwAIAB0AGgAZQAgAGMAdQByAHIAZQBuAHQAIABBAG4AbgBpAHYAZQByAHMAYQByAHkAIABWAGEAbAB1AGUAIAB0AGgAYQB0ACAAaQBzACAAZwByAGUAYQB0AGUAcgAgAHQAaABhAG4AIAB0AGgAZQAgAGMAdQByAHIAZQBuAHQAIABJAG4AYwBvAG0AZQAgAEIAYQBzAGUALgBcAG4ALwAvAEkAbgBjAG8AbQBlACAAQgBhAHMAZQA6ACAAVABoAGUAIABJAG4AYwBvAG0AZQAgAEIAYQBzAGUAIABpAHMAIABhACAAdgBhAGwAdQBlACAAdQBzAGUAZAAgAHQAbwAgAGQAZQB0AGUAcgBtAGkAbgBlACAAdABoAGUAIABMAGkAdgBpAG4AZwAgAEIAZQBuAGUAZgBpAHQAIABmAGUAZQAgAGEAbgBkACAAdABoAGUAIABtAGEAeABpAG0AdQBtACAAYQBtAG8AdQBuAHQAIAB0AGgAYQB0ACAAbQBhAHkAIABiAGUAIAB3AGkAdABoAGQAcgBhAHcAbgAgAGUAYQBjAGgAIABCAGUAbgBlAGYAaQB0ACAAWQBlAGEAcgAgAGEAZgB0AGUAcgAgAHQAaABlACAAQQBjAHQAaQB2AGEAdABpAG8AbgAgAEQAYQB0AGUAIAB3AGkAdABoAG8AdQB0ACAAcgBlAGQAdQBjAGkAbgBnACAAdABoAGUAIABJAG4AYwBvAG0AZQAgAEIAYQBzAGUALgBcAG4ALwAvAFQAaABlACAASQBuAGMAbwBtAGUAIABCAGEAcwBlACAAaQBzACAAYQBsAHMAbwAgAHUAcwBlAGQAIAB0AG8AIABkAGUAdABlAHIAbQBpAG4AZQAgAHQAaABlACAAYQBtAG8AdQBuAHQAIABwAGEAaQBkACAAZQBhAGMAaAAgAHkAZQBhAHIAIABvAHYAZQByACAAdABoAGUAIABsAGkAZgBlAHQAaQBtAGUAIABvAGYAIAB0AGgAZQAgAEMAbwB2AGUAcgBlAGQAIABQAGUAcgBzAG8AbgAoAHMAKQAsACAAaQBmACAAYQBuAGQAIAB3AGgAZQBuACAAdABoAGUAIABjAG8AbgB0AHIAYQBjAHQAIAB2AGEAbAB1AGUAIABpAHMAIAByAGUAZAB1AGMAZQBkACAAdABvACAAegBlAHIAbwAsACAAYgB1AHQAIAB0AGgAZQAgAEkAbgBjAG8AbQBlACAAQgBhAHMAZQAgAGkAcwAgAHMAdABpAGwAbAAgAGcAcgBlAGEAdABlAHIAIAB0AGgAYQBuACAAegBlAHIAbwAsACAAbwByACAAdQBwAG8AbgAgAHQAaABlACAATABhAHQAZQBzAHQAIABBAG4AbgB1AGkAdAB5ACAARABhAHQAZQAuAFwAbgBJAG4AYwBvAG0AZQBDAHIAZQBkAGkAdABCAGEAcwBlACAAPQAgAEwAQQBNAEIARABBACgAaQBzAEEAYwB0AGkAdgBhAHQAZQBkACwAaQBzAEEAbgBuAGkAdgBlAHIAcwBhAHIAeQAsAGgAYQBzAEkAbgBjAG8AbQBlAEMAcgBlAGQAaQB0ACwAYQBuAG4AaQB2AGUAcgBzAGEAcgB5AEMAdgAsAHAAdQByAGMAaABhAHMAZQBQAGEAeQBtAGUAbgB0AHMALAB3AGQAUABlAG4AYQBsAHQAeQBNAHUAbAB0ACwAcAByAGUAdgBJAG4AYwBvAG0AZQBDAHIAZQBkAGkAdABCAGEAcwBlACwAXABuACAAIAAgACAAIAAgACAAIAAgACAAIAAgACAAIAAgACAAIAAgACAAIAAgACAAIAAgACAAIABJAEYAKABOAE8AVAAoAGkAcwBBAGMAdABpAHYAYQB0AGUAZAApACwAXABuACAAIAAgACAAIAAgACAAIAAgACAAIAAgACAAIAAgACAAIAAgACAAIAAgACAAIAAgACAAIAAgACAAIAAgACAAIAAgACAASQBGACgAaABhAHMASQBuAGMAbwBtAGUAQwByAGUAZABpAHQALABwAHIAZQB2AEkAbgBjAG8AbQBlAEMAcgBlAGQAaQB0AEIAYQBzAGUALABcAG4AIAAgACAAIAAgACAAIAAgACAAIAAgACAAIAAgACAAIAAgACAAIAAgACAAIAAgACAAIAAgACAAIAAgACAAIAAgACAAIAAgACAAIAAgACAAIAAgACAASQBGACgAaQBzAEEAbgBuAGkAdgBlAHIAcwBhAHIAeQAsAFwAbgAgACAAIAAgACAAIAAgACAAIAAgACAAIAAgACAAIAAgACAAIAAgACAAIAAgACAAIAAgACAAIAAgACAAIAAgACAAIAAgACAAIAAgACAAIAAgACAAIAAgACAAIAAgACAAIABNAEEAWAAoAHAAcgBlAHYASQBuAGMAbwBtAGUAQwByAGUAZABpAHQAQgBhAHMAZQAsAGEAbgBuAGkAdgBlAHIAcwBhAHIAeQBDAHYAKwBwAHUAcgBjAGgAYQBzAGUAUABhAHkAbQBlAG4AdABzACkALABcAG4AIAAgACAAIAAgACAAIAAgACAAIAAgACAAIAAgACAAIAAgACAAIAAgACAAIAAgACAAIAAgACAAIAAgACAAIAAgACAAIAAgACAAIAAgACAAIAAgACAAIAAgACAAIAAgACAAcAByAGUAdgBJAG4AYwBvAG0AZQBDAHIAZQBkAGkAdABCAGEAcwBlACsAcAB1AHIAYwBoAGEAcwBlAFAAYQB5AG0AZQBuAHQAcwApACkAKgB3AGQAUABlAG4AYQBsAHQAeQBNAHUAbAB0ACwAMAApACkAOwBcAG4AIAAgACAAIAAgACAAIAAgACAAIAAgACAAIAAgACAAIAAgACAAIAAgACAAIAAgACAAIAAgACAAIAAgACAAIAAgACAAIAAgACAAIAAgACAAIAAgACAAIAAgACAAIAAgACAAXABuAC8ALwBJAG4AYwBvAG0AZQAgAEMAcgBlAGQAaQB0ADoAIABBAHAAcABsAGkAYwBhAGIAbABlACAAdABvACAAUABvAGwAYQByAGkAcwAgAEkAbgBjAG8AbQBlACAATQBhAHgAIABvAG4AbAB5ACwAIAB0AGgAZQAgAEkAbgBjAG8AbQBlACAAQwByAGUAZABpAHQAIABpAHMAIABhAG4AIABhAG0AbwB1AG4AdAAgAHQAaABhAHQAIABtAGEAeQAgAGIAZQAgAGEAZABkAGUAZAAgAHQAbwAgAHQAaABlACAAXABuAC8ALwBJAG4AYwBvAG0AZQAgAEIAYQBzAGUAIABwAHIAaQBvAHIAIAB0AG8AIAB0AGgAZQAgAEEAYwB0AGkAdgBhAHQAaQBvAG4AIABEAGEAdABlACAAYQBzACAAcwBoAG8AdwBuACAAaQBuACAAdABoAGUAIABmAG8AbABsAG8AdwBpAG4AZwAgAHQAYQBiAGwAZQA6AFwAbgAvAC8ASQBuAGMAbwBtAGUAIABDAHIAZQBkAGkAdAAgAEIAYQBzAGUAOgAgAEEAcABwAGwAaQBjAGEAYgBsAGUAIAB0AG8AIABQAG8AbABhAHIAaQBzACAASQBuAGMAbwBtAGUAIABNAGEAeAAgAG8AbgBsAHkALAAgAHQAaABlACAASQBuAGMAbwBtAGUAIABDAHIAZQBkAGkAdAAgAEIAYQBzAGUAIABpAHMAIAB1AHMAZQBkACAAcwBvAGwAZQBsAHkAIABhAHMAIABhACAAYgBhAHMAaQBzACAAZgBvAHIAIABjAGEAbABjAHUAbABhAHQAaQBuAGcAIAB0AGgAZQAgAEkAbgBjAG8AbQBlACAAQwByAGUAZABpAHQAIABwAHIAaQBvAHIAIAB0AG8AIAB0AGgAZQAgAEEAYwB0AGkAdgBhAHQAaQBvAG4AIABEAGEAdABlAC4AXABuAC8ALwBJAG4AYwBvAG0AZQAgAEMAcgBlAGQAaQB0ACAAUABlAHIAYwBlAG4AdABhAGcAZQA6ACAAQQBwAHAAbABpAGMAYQBiAGwAZQAgAHQAbwAgAFAAbwBsAGEAcgBpAHMAIABJAG4AYwBvAG0AZQAgAE0AYQB4ACAAbwBuAGwAeQAsACAAYQAgAHAAZQByAGMAZQBuAHQAYQBnAGUAIABvAGYAIAB0AGgAZQAgAEkAbgBjAG8AbQBlACAAQwByAGUAZABpAHQAIABCAGEAcwBlACAAdQBzAGUAZAAgAHQAbwAgAGQAZQB0AGUAcgBtAGkAbgBlACAAdABoAGUAIABJAG4AYwBvAG0AZQAgAEMAcgBlAGQAaQB0ACAAYQBtAG8AdQBuAHQAIABwAHIAaQBvAHIAIAB0AG8AIAB0AGgAZQAgAEEAYwB0AGkAdgBhAHQAaQBvAG4AIABEAGEAdABlAC4AXABuAC8ALwBJAG4AYwBvAG0AZQAgAE8AcAB0AGkAbwBuADoAIABUAGgAZQAgAEkAbgBjAG8AbQBlACAATwBwAHQAaQBvAG4AIABpAHMAIABlAGwAZQBjAHQAZQBkACAAYgB5ACAAWQBvAHUAIABhAHQAIABjAG8AbgB0AHIAYQBjAHQAIABpAHMAcwB1AGUALgAgAFQAaABlACAATQBhAHgAaQBtAHUAbQAgAEEAbgBuAHUAYQBsACAAVwBpAHQAaABkAHIAYQB3AGEAbAAgAEEAbQBvAHUAbgB0AHMAIABhAG4AZAAgAFAAcgBvAHQAZQBjAHQAZQBkACAASQBuAGMAbwBtAGUAIABQAGEAeQBtAGUAbgB0AHMAIABvAGYAZgBlAHIAZQBkACAAaQBuACAAZQBhAGMAaAAgAEkAbgBjAG8AbQBlACAATwBwAHQAaQBvAG4AIAB2AGEAcgB5ACAAYgB5ACAAYQBnAGUAIABhAG4AZAAgAHcAaABlAHQAaABlAHIAIAB5AG8AdQAgAGUAbABlAGMAdAAgAG8AbgBlACAAbwByACAAdAB3AG8AIABDAG8AdgBlAHIAZQBkACAAUABlAHIAcwBvAG4AcwAuAFwAbgBJAG4AYwBvAG0AZQBDAHIAZQBkAGkAdAAgAD0AIABMAEEATQBCAEQAQQAoAHAAYQB5AFAAZQByAGkAbwBkACwAcAByAGUAdgBJAG4AYwBvAG0AZQBDAHIAZQBkAGkAdABCAGEAcwBlACwAaQBzAEEAYwB0AGkAdgBhAHQAZQBkACwAaQBzAEEAbgBuAGkAdgBlAHIAcwBhAHIAeQAsAGkAbgBjAG8AbQBlAEMAcgBlAGQAUgBhAHQAZQAsAFwAbgAgACAAIAAgACAAIAAgACAAIAAgACAAIAAgACAAIAAgACAAIAAgACAAIAAgAEwARQBUACgAcABpAGMAYgAsAEkARgAoAHAAYQB5AFAAZQByAGkAbwBkAD4AMAAsAHAAcgBlAHYASQBuAGMAbwBtAGUAQwByAGUAZABpAHQAQgBhAHMAZQAsADAAKQAsAFwAbgAgACAAIAAgACAAIAAgACAAIAAgACAAIAAgACAAIAAgACAAIAAgACAAIAAgACAAIAAgACAAaQBzAFAAcgBlAFMAeQBzAFcAZABPAG4AQQBuAG4AaQB2AGUAcgBzAGEAcgB5ACwAQQBOAEQAKABOAE8AVAAoAGkAcwBBAGMAdABpAHYAYQB0AGUAZAApACwAaQBzAEEAbgBuAGkAdgBlAHIAcwBhAHIAeQApACwAXABuACAAIAAgACAAIAAgACAAIAAgACAAIAAgACAAIAAgACAAIAAgACAAIAAgACAAIAAgACAAIAAgACAAIAAgAEkARgAoAGkAcwBQAHIAZQBTAHkAcwBXAGQATwBuAEEAbgBuAGkAdgBlAHIAcwBhAHIAeQAsAHAAaQBjAGIAKgBpAG4AYwBvAG0AZQBDAHIAZQBkAFIAYQB0AGUALAAwACkAKQApADsAXABuAFwAbgBBAG4AbgBpAHYAZQByAHMAYQByAHkAQwB2ACAAPQAgAEwAQQBNAEIARABBACgAaQBzAEEAbgBuAGkAdgBlAHIAcwBhAHIAeQAsAHAAYQB5AFAAZQByAGkAbwBkACwAYwB2ACwASQBGACgATwBSACgATgBPAFQAKABpAHMAQQBuAG4AaQB2AGUAcgBzAGEAcgB5ACkALABwAGEAeQBQAGUAcgBpAG8AZAA9ADAAKQAsADAALABjAHYAKQApADsAXABuAFwAbgBJAG4AaQB0AGkAYQBsAEMAdQByAHIAZQBuAHQASQBuAGMAbwBtAGUAQgBhAHMAZQAgAD0AIABMAEEATQBCAEQAQQAoAGkAcwBBAG4AbgBpAHYAZQByAHMAYQByAHkALABwAHIAZQB2AEkAQgAsAGEAbgBuAGkAdgBlAHIAcwBhAHIAeQBDAHYALABwAHUAcgBjAGgAYQBzAGUAUABhAHkAbQBlAG4AdABzACwAdwBkAFAAZQBuAGEAbAB0AHkATQB1AGwAdAAsAFwAbgAgACAAIAAgACAAIAAgACAAIAAgACAAIAAgACAAIAAgACAAIAAgACAAIAAgACAAIAAgACAAIAAgACAAIAAgACAAIAAgAEkARgAoAGkAcwBBAG4AbgBpAHYAZQByAHMAYQByAHkALAAgAE0AQQBYACgAcAByAGUAdgBJAEIALAAgAGEAbgBuAGkAdgBlAHIAcwBhAHIAeQBDAHYAIAArACAAcAB1AHIAYwBoAGEAcwBlAFAAYQB5AG0AZQBuAHQAcwApACwAIABwAHIAZQB2AEkAQgAgACsAIABwAHUAcgBjAGgAYQBzAGUAUABhAHkAbQBlAG4AdABzACkAIAAqACAAdwBkAFAAZQBuAGEAbAB0AHkATQB1AGwAdAApADsAXABuAFwAbgBJAG4AYwBvAG0AZQBCAGEAcwBlAEEAZABqAHUAcwB0AG0AZQBuAHQAIAA9ACAATABBAE0AQgBEAEEAKABpAG4AaQB0AGkAYQBsAEMAdQByAHIASQBCACwAcAByAGUAdgBJAEIALABpAHMAQQBuAG4AaQB2AGUAcgBzAGEAcgB5ACwAaQBzAEEAYwB0AGkAdgBhAHQAZQBkACwAaQBuAGMAbwBtAGUAQwByAGUAZABpAHQALAAgAFwAbgAgACAAIAAgACAAIAAgACAAIAAgACAAIAAgACAAIAAgACAAIAAgACAAIAAgACAAIAAgACAAIAAgACAAIABMAEUAVAAoAGQAZQBsAHQAYQAsACAAaQBuAGkAdABpAGEAbABDAHUAcgByAEkAQgAgAC0AIABwAHIAZQB2AEkAQgAsACAASQBGACgAQQBOAEQAKABpAHMAQQBuAG4AaQB2AGUAcgBzAGEAcgB5ACwAIABOAE8AVAAoAGkAcwBBAGMAdABpAHYAYQB0AGUAZAApACkALAAgAE0AQQBYACgAMAAsACAAaQBuAGMAbwBtAGUAQwByAGUAZABpAHQAIAAtACAAZABlAGwAdABhACkALAAgADAAKQApACkAOwBcAG4AXABuAEkAbgBjAG8AbQBlAEIAYQBzAGUAIAA9ACAATABBAE0AQgBEAEEAKABpAG4AaQB0AGkAYQBsAEMAdQByAHIASQBCACwAYQBkAGoAdQBzAHQAbQBlAG4AdAAsAGkAbgBpAHQAaQBhAGwAQwB1AHIAcgBJAEIAIAArACAAYQBkAGoAdQBzAHQAbQBlAG4AdAApADsAXABuAFwAbgBNAGEAeABBAGwAbABvAHcAYQBiAGwAZQBXAGQAQQBtAG8AdQBuAHQAIAA9ACAATABBAE0AQgBEAEEAKABjAHYALABpAG4AYwBvAG0AZQBCAGEAcwBlACwAbQBhAHcAZABSAGEAdABlACwAIABJAEYAKABjAHYAIAA+ACAAMAAsACAAaQBuAGMAbwBtAGUAQgBhAHMAZQAgACoAIABtAGEAdwBkAFIAYQB0AGUALAAgADAAKQApADsAXABuAFwAbgAvAC8ATABpAGYAZQAgAEMAaABhAG4AZwBlACAARQB2AGUAbgB0ADoAIABBACAAYwBoAGEAbgBnAGUAIAB0AG8AIAB0AGgAZQAgAEMAbwB2AGUAcgBlAGQAIABQAGUAcgBzAG8AbgAoAHMAKQAgAHUAcABvAG4AIABtAGEAcgByAGkAYQBnAGUALAAgAGQAaQB2AG8AcgBjAGUAIABvAHIAIABkAGUAYQB0AGgAIABpAGYAIABwAHIAaQBvAHIAIAB0AG8AIAB0AGgAZQAgAEEAYwB0AGkAdgBhAHQAaQBvAG4AIABEAGEAdABlAC4AXABuAC8ALwBMAGkAZgBlAHQAaQBtAGUAIABJAG4AYwBvAG0AZQA6ACAAQQBuAHkAIAB3AGkAdABoAGQAcgBhAHcAYQBsACAAdABhAGsAZQBuACAAbwBuACAAbwByACAAYQBmAHQAZQByACAAdABoAGUAIABBAGMAdABpAHYAYQB0AGkAbwBuACAARABhAHQAZQAgAHQAaABhAHQAIABpAHMAIABhAGwAbAAgAG8AcgAgAHAAYQByAHQAIABvAGYAIAB0AGgAZQAgAE0AYQB4AGkAbQB1AG0AIABBAG4AbgB1AGEAbAAgAFcAaQB0AGgAZAByAGEAdwBhAGwAIABBAG0AbwB1AG4AdAAgAG8AcgAgAFAAcgBvAHQAZQBjAHQAZQBkACAASQBuAGMAbwBtAGUAIABQAGEAeQBtAGUAbgB0AC4AXABuAC8ALwBNAGEAeABpAG0AdQBtACAAQQBuAG4AdQBhAGwAIABXAGkAdABoAGQAcgBhAHcAYQBsACAAQQBtAG8AdQBuAHQAOgAgAFQAaABlACAAbQBhAHgAaQBtAHUAbQAgAGEAbQBvAHUAbgB0ACAAdABoAGEAdAAgAG0AYQB5ACAAYgBlACAAdwBpAHQAaABkAHIAYQB3AG4AIABlAGEAYwBoACAAQgBlAG4AZQBmAGkAdAAgAFkAZQBhAHIAIABvAG4AIABvAHIAIABhAGYAdABlAHIAIABhAGMAdABpAHYAYQB0AGkAbgBnACAATABpAGYAZQB0AGkAbQBlACAASQBuAGMAbwBtAGUAIABhAG4AZAAgAHcAaABpAGwAZQAgAHQAaABlACAAYwBvAG4AdAByAGEAYwB0ACAAdgBhAGwAdQBlACAAaQBzACAAZwByAGUAYQB0AGUAcgAgAHQAaABhAG4AIAB6AGUAcgBvACAAdwBpAHQAaABvAHUAdAAgAHIAZQBkAHUAYwBpAG4AZwAgAHQAaABlACAASQBuAGMAbwBtAGUAIABCAGEAcwBlAC4AXABuAC8ALwBNAGEAeABpAG0AdQBtACAAQQBuAG4AdQBhAGwAIABXAGkAdABoAGQAcgBhAHcAYQBsACAAUABlAHIAYwBlAG4AdABhAGcAZQA6ACAAVABoAGUAIABwAGUAcgBjAGUAbgB0AGEAZwBlACAAdQBzAGUAZAAgAHQAbwAgAGQAZQB0AGUAcgBtAGkAbgBlACAAdABoAGUAIABNAGEAeABpAG0AdQBtACAAQQBuAG4AdQBhAGwAIABXAGkAdABoAGQAcgBhAHcAYQBsACAAQQBtAG8AdQBuAHQAIABhAHYAYQBpAGwAYQBiAGwAZQAgAGYAbwByACAAdwBpAHQAaABkAHIAYQB3AGEAbAAgAGUAYQBjAGgAIABCAGUAbgBlAGYAaQB0ACAAWQBlAGEAcgAgAGEAZgB0AGUAcgAgAGEAYwB0AGkAdgBhAHQAaQBuAGcAIABMAGkAZgBlAHQAaQBtAGUAIABJAG4AYwBvAG0AZQAgAGEAbgBkACAAdwBoAGkAbABlACAAdABoAGUAIABjAG8AbgB0AHIAYQBjAHQAIAB2AGEAbAB1AGUAIABpAHMAIABnAHIAZQBhAHQAZQByACAAdABoAGEAbgAgAHoAZQByAG8ALgBcAG4ATQBhAHcAUwB0AGEAYwBrACAAPQAgAEwAQQBNAEIARABBACgAcAByAGUAdgBDAHYALABwAHIAZQB2AEkAQgAsAHAAcgBlAHYASQBDAEIALABwAHIAZQB2AE0AYQB3AGEALABwAGEAeQBQAGUAcgBpAG8AZAAsAHcAZABUAGEAawBlAG4ALABjAHYALABpAHMAQQBuAG4AaQB2AGUAcgBzAGEAcgB5ACwAaQBzAEEAYwB0AGkAdgBhAHQAZQBkACwAcAB1AHIAYwBoAGEAcwBlAFAAYQB5AG0AZQBuAHQAcwAsAG0AYQB3AGQAUgBhAHQAZQAsAGkAbgBjAG8AbQBlAEMAcgBlAGQAUgBhAHQAZQAsACAAXABuACAAIAAgACAAIAAgACAAIAAgACAAIAAgACAAIAAgACAAIAAgAEwARQBUACgAYQBuAG4AaQB2AGUAcgBzAGEAcgB5AEMAdgAsAEEAbgBuAGkAdgBlAHIAcwBhAHIAeQBDAHYAKABpAHMAQQBuAG4AaQB2AGUAcgBzAGEAcgB5ACwAcABhAHkAUABlAHIAaQBvAGQALABjAHYAKQAsAFwAbgAgACAAIAAgACAAIAAgACAAIAAgACAAIAAgACAAIAAgACAAIAAgACAAIAAgAHcAZABQAGUAbgBhAGwAdAB5AE0AdQBsAHQALAAgAFcAaQB0AGgAZAByAGEAdwBhAGwAUABlAG4AYQBsAHQAeQAoAGkAcwBBAGMAdABpAHYAYQB0AGUAZAAsAHcAZABUAGEAawBlAG4ALABwAHIAZQB2AEMAdgAsAGMAdgAsAHAAcgBlAHYATQBhAHcAYQApACwAXABuACAAIAAgACAAIAAgACAAIAAgACAAIAAgACAAIAAgACAAIAAgACAAIAAgACAAaQBuAGMAbwBtAGUAQwByAGUAZABpAHQALAAgAEkAbgBjAG8AbQBlAEMAcgBlAGQAaQB0ACgAcABhAHkAUABlAHIAaQBvAGQALABwAHIAZQB2AEkAQwBCACwAaQBzAEEAYwB0AGkAdgBhAHQAZQBkACwAaQBzAEEAbgBuAGkAdgBlAHIAcwBhAHIAeQAsAGkAbgBjAG8AbQBlAEMAcgBlAGQAUgBhAHQAZQApACwAXABuACAAIAAgACAAIAAgACAAIAAgACAAIAAgACAAIAAgACAAIAAgACAAIAAgACAAaQBuAGkAdABpAGEAbABDAHUAcgByAEkAQgAsACAASQBuAGkAdABpAGEAbABDAHUAcgByAGUAbgB0AEkAbgBjAG8AbQBlAEIAYQBzAGUAKABpAHMAQQBuAG4AaQB2AGUAcgBzAGEAcgB5ACwAcAByAGUAdgBJAEIALABhAG4AbgBpAHYAZQByAHMAYQByAHkAQwB2ACwAcAB1AHIAYwBoAGEAcwBlAFAAYQB5AG0AZQBuAHQAcwAsAHcAZABQAGUAbgBhAGwAdAB5AE0AdQBsAHQAKQAsAFwAbgAgACAAIAAgACAAIAAgACAAIAAgACAAIAAgACAAIAAgACAAIAAgACAAIAAgAGEAZABqAHUAcwB0AG0AZQBuAHQALAAgAEkAbgBjAG8AbQBlAEIAYQBzAGUAQQBkAGoAdQBzAHQAbQBlAG4AdAAoAGkAbgBpAHQAaQBhAGwAQwB1AHIAcgBJAEIALABwAHIAZQB2AEkAQgAsAGkAcwBBAG4AbgBpAHYAZQByAHMAYQByAHkALABpAHMAQQBjAHQAaQB2AGEAdABlAGQALABpAG4AYwBvAG0AZQBDAHIAZQBkAGkAdAApACwAXABuACAAIAAgACAAIAAgACAAIAAgACAAIAAgACAAIAAgACAAIAAgACAAIAAgACAAaABhAHMASQBuAGMAbwBtAGUAQwByAGUAZABpAHQALABhAGQAagB1AHMAdABtAGUAbgB0AD4AMAAsAFwAbgAgACAAIAAgACAAIAAgACAAIAAgACAAIAAgACAAIAAgACAAIAAgACAAIAAgAGkAbgBjAG8AbQBlAEMAcgBlAGQAaQB0AEIAYQBzAGUALAAgAEkAbgBjAG8AbQBlAEMAcgBlAGQAaQB0AEIAYQBzAGUAKABpAHMAQQBjAHQAaQB2AGEAdABlAGQALABpAHMAQQBuAG4AaQB2AGUAcgBzAGEAcgB5ACwAaABhAHMASQBuAGMAbwBtAGUAQwByAGUAZABpAHQALABhAG4AbgBpAHYAZQByAHMAYQByAHkAQwB2ACwAcAB1AHIAYwBoAGEAcwBlAFAAYQB5AG0AZQBuAHQAcwAsAHcAZABQAGUAbgBhAGwAdAB5AE0AdQBsAHQALABwAHIAZQB2AEkAQwBCACkALABcAG4AIAAgACAAIAAgACAAIAAgACAAIAAgACAAIAAgACAAIAAgACAAIAAgACAAIABpAG4AYwBvAG0AZQBCAGEAcwBlACwAIABJAG4AYwBvAG0AZQBCAGEAcwBlACgAaQBuAGkAdABpAGEAbABDAHUAcgByAEkAQgAsAGEAZABqAHUAcwB0AG0AZQBuAHQAKQAsAFwAbgAgACAAIAAgACAAIAAgACAAIAAgACAAIAAgACAAIAAgACAAIAAgACAAIAAgAG0AYQB3AGEALAAgAE0AYQB4AEEAbABsAG8AdwBhAGIAbABlAFcAZABBAG0AbwB1AG4AdAAoAGMAdgAsAGkAbgBjAG8AbQBlAEIAYQBzAGUALABtAGEAdwBkAFIAYQB0AGUAKQAsAFwAbgAgACAAIAAgACAAIAAgACAAIAAgACAAIAAgACAAIAAgACAAIAAgACAAIAAgAEgAUwBUAEEAQwBLACgAYwB2ACwAIABpAG4AYwBvAG0AZQBCAGEAcwBlACwAaQBuAGMAbwBtAGUAQwByAGUAZABpAHQAQgBhAHMAZQAsAG0AYQB3AGEALAB3AGQAUABlAG4AYQBsAHQAeQBNAHUAbAB0ACwAIABhAGQAagB1AHMAdABtAGUAbgB0ACwAIABpAG4AYwBvAG0AZQBDAHIAZQBkAGkAdAApAFwAbgAgACAAIAAgACAAIAAgACAAIAAgACAAIAAgACAAIAAgACAAIAAgACAAIAAgACkAXABuACAAIAAgACAAIAAgACAAIAAgACAAIAAgACAAIAAgACAAIAApADsAXABuAFwAbgAvAC8AUAByAG8AdABlAGMAdABlAGQAIABJAG4AYwBvAG0AZQAgAFAAYQB5AG0AZQBuAHQAOgAgAFQAaABlACAAYQBtAG8AdQBuAHQAIAB0AG8AIABiAGUAIABwAGEAaQBkACAAZQBhAGMAaAAgAHkAZQBhAHIAIABvAHYAZQByACAAdABoAGUAIABsAGkAZgBlAHQAaQBtAGUAIABvAGYAIAB0AGgAZQAgAEMAbwB2AGUAcgBlAGQAIABQAGUAcgBzAG8AbgAoAHMAKQAgAGEAZgB0AGUAcgAgAHQAaABlACAAQQBjAHQAaQB2AGEAdABpAG8AbgAgAEQAYQB0AGUALABcAG4ALwAvAGkAZgAgAGEAbgBkACAAdwBoAGUAbgAgAHQAaABlACAAYwBvAG4AdAByAGEAYwB0ACAAdgBhAGwAdQBlACAAaQBzACAAcgBlAGQAdQBjAGUAZAAgAHQAbwAgAHoAZQByAG8ALAAgAGIAdQB0ACAAdABoAGUAIABJAG4AYwBvAG0AZQAgAEIAYQBzAGUAIABpAHMAIABzAHQAaQBsAGwAIABnAHIAZQBhAHQAZQByACAAdABoAGEAbgAgAHoAZQByAG8AIABvAHIAIABpAGYAIAB0AGgAZQAgAEwAYQB0AGUAcwB0ACAAQQBuAG4AdQBpAHQAeQAgAEQAYQB0AGUAIABoAGEAcwAgAGIAZQBlAG4AIAByAGUAYQBjAGgAZQBkAC4AXABuAC8ALwBQAHIAbwB0AGUAYwB0AGUAZAAgAEkAbgBjAG8AbQBlACAAUABhAHkAbQBlAG4AdAAgAFAAZQByAGMAZQBuAHQAYQBnAGUAOgAgAFQAaABlACAAcABlAHIAYwBlAG4AdABhAGcAZQAgAHUAcwBlAGQAIAB0AG8AIABkAGUAdABlAHIAbQBpAG4AZQAgAHQAaABlACAAUAByAG8AdABlAGMAdABlAGQAIABJAG4AYwBvAG0AZQAgAFAAYQB5AG0AZQBuAHQALgBcAG4AUAByAG8AdABlAGMAdABlAGQASQBuAGMAbwBtAGUAUABhAHkAbQBlAG4AdAAgAD0AIABMAEEATQBCAEQAQQAoAGMAdgAsAGkAbgBjAG8AbQBlAEIAYQBzAGUALABwAGkAcABfAHIAYQB0AGUALABJAEYAKABjAHYAPQAwACwAcABpAHAAXwByAGEAdABlACoAaQBuAGMAbwBtAGUAQgBhAHMAZQAsADAAKQApADsAXABuAFwAbgBJAHMAQQBuAG4AaQB2AGUAcgBzAGEAcgB5ACAAPQAgAEwAQQBNAEIARABBACgAcABhAHkAUABlAHIAaQBvAGQALABwAGEAeQBQAGUAcgBpAG8AZAAtAEkATgBUACgAcABhAHkAUABlAHIAaQBvAGQAKQA9ADAAKQA7AFwAbgBcAG4ASQBzAEEAYwB0AGkAdgBhAHQAZQBkACAAPQAgAEwAQQBNAEIARABBACgAcABhAHkAUABlAHIAaQBvAGQALABhAGMAdABpAHYAYQB0AGkAbwBuAFAAZQByAGkAbwBkACwAcABhAHkAUABlAHIAaQBvAGQAPgA9AGEAYwB0AGkAdgBhAHQAaQBvAG4AUABlAHIAaQBvAGQAKQA7AFwAbgAvAC8ALwAvAC8ALwAvAC8ALwAvAC8ALwAvAC8ALwAvAC8ALwAvAC8ALwAvAC8ALwAvAC8ALwAvAC8ALwAvAC8ALwAvAC8ALwAvAC8ALwAvAC8ALwAvAC8ALwAvAC8ALwAvAC8ALwAvAC8ALwAvAC8ALwAvAC8ALwAvAC8ALwAvAC8ALwAvAC8ALwAvAC8ALwAvAC8ALwAvAC8ALwAvAC8ALwAvAC8ALwAvAC8ALwAvAC8AXABuAC8ALwAvAC8ALwAvAC8ALwAvAC8ALwAvAC8ALwAvAC8ALwAvAC8ALwAvACAAUABvAGwAYQByAGkAcwAgAE0AYQB4ACAARABhAGkAbAB5ACAALwAvAC8ALwAvAC8ALwAvAC8ALwAvAC8ALwAvAC8ALwAvAC8ALwAvAC8ALwAvAC8ALwAvAC8ALwAvAC8ALwAvAC8ALwAvAC8ALwAvAC8ALwAvAC8ALwAvAC8ALwAvAC8ALwAvAFwAbgAvAC8ALwAvAC8ALwAvAC8ALwAvAC8ALwAvAC8ALwAvAC8ALwAvAC8ALwAvAC8ALwAvAC8ALwAvAC8ALwAvAC8ALwAvAC8ALwAvAC8ALwAvAC8ALwAvAC8ALwAvAC8ALwAvAC8ALwAvAC8ALwAvAC8ALwAvAC8ALwAvAC8ALwAvAC8ALwAvAC8ALwAvAC8ALwAvAC8ALwAvAC8ALwAvAC8ALwAvAC8ALwAvAC8ALwAvAC8AXABuAE0AYQB4AFMAdABlAHAAVgBhAGwAdQBlAFAAcgBlAHYAaQBvAHUAcwBZAGUAYQByACAAPQAgAEwAQQBNAEIARABBACgAcAByAGUAdgBZAGUAYQByACwAcAByAGUAdgBNAGEAeABWAGEAbAB1AGUALABwAHIAZQB2AFkAZQBhAHIATQBhAHgAVgBhAGwAdQBlACwAeQBlAGEAcgAsAHMAVQBwAFYAYQBsAHUAZQAsAFwAbgAgACAAIAAgACAAIAAgACAAIAAgACAAIAAgACAAIAAgACAAIAAgACAAIAAgACAAIAAgACAAIAAgACAAIAAgAEwARQBUACgAbQB2ACAAIAAsAGkAZgAoAHAAcgBlAHYAWQBlAGEAcgA8AD4AeQBlAGEAcgAsAHMAVQBwAFYAYQBsAHUAZQAsAE0AQQBYACgAcAByAGUAdgBNAGEAeABWAGEAbAB1AGUALABzAFUAcABWAGEAbAB1AGUAKQApACwAXABuACAAIAAgACAAIAAgACAAIAAgACAAIAAgACAAIAAgACAAIAAgACAAIAAgACAAIAAgACAAIAAgACAAIAAgACAAIAAgACAAIABwAHkAbQB2ACwAaQBmACgAcAByAGUAdgBZAGUAYQByADwAPgB5AGUAYQByACwAcAByAGUAdgBNAGEAeABWAGEAbAB1AGUALABwAHIAZQB2AFkAZQBhAHIATQBhAHgAVgBhAGwAdQBlACkALABcAG4AIAAgACAAIAAgACAAIAAgACAAIAAgACAAIAAgACAAIAAgACAAIAAgACAAIAAgACAAIAAgACAAIAAgACAAIAAgACAAIAAgAEgAUwBUAEEAQwBLACgAeQBlAGEAcgAsAG0AdgAsAHAAeQBtAHYAKQApACkAOwBcAG4AXABuAFcAZABIAGEAaQByAGMAdQB0AEIAZQBmAG8AcgBlAEEAYwB0AGkAdgBhAHQAaQBvAG4AIAA9ACAATABBAE0AQgBEAEEAKABJAHMAQQBjAHQAaQB2AGEAdABpAG8AbgAsAHcAZABUAGEAawBlAG4ALABDAG8AbgB0AHIAYQBjAHQAVgBhAGwAdQBlACwAXABuACAAIAAgACAAIAAgACAAIAAgACAAIAAgACAAIAAgACAASQBGACgATgBPAFQAKABJAHMAQQBjAHQAaQB2AGEAdABpAG8AbgApACwAdwBkAFQAYQBrAGUAbgAvAEMAbwBuAHQAcgBhAGMAdABWAGEAbAB1AGUALAAwACkAKQA7AFwAbgBcAG4AVwBkAEgAYQBpAHIAYwB1AHQAQQBmAHQAZQByAEEAYwB0AGkAdgBhAHQAaQBvAG4AIAA9ACAATABBAE0AQgBEAEEAKABwAHIAZQB2AE0AYQB3AGEALABpAHMAQQBjAHQAaQB2AGEAdABlAGQALAB3AGQAVABhAGsAZQBuACwAYwB2ACwAXABuACAAIAAgACAAIAAgACAAIAAgACAAIAAgACAAIAAgACAAIABMAEUAVAAoAGgAYQBpAHIAYwB1AHQALAAoAHcAZABUAGEAawBlAG4ALQBwAHIAZQB2AE0AYQB3AGEAKQAvACgAYwB2AC0AcAByAGUAdgBNAGEAdwBhACkALABJAEYAKABBAE4ARAAoAGkAcwBBAGMAdABpAHYAYQB0AGUAZAAsAHcAZABUAGEAawBlAG4APgBwAHIAZQB2AE0AYQB3AGEAKQAsAGgAYQBpAHIAYwB1AHQALAAwACkAKQApADsAXABuAFwAbgBJAG4AdABlAHIAZQBzAHQATwBuAFAAYQB5AG0AZQBuAHQAcwAgAD0AIABMAEEATQBCAEQAQQAoAHAAcgBlAHYAWQBlAGEAcgAsAGEAYwBjAHUAbQBQAGEAeQAsAEYAdgBUAG8AdABhAGwALAB5AGUAYQByACwAcABhAHkALABoAGEAcwBXAGQATwBjAGMAdQByAHIAQQBmAHQAZQByAEEAYwB0ACwAbQBpAGIAUABlAHIAYwBlAG4AdAAsAFwAbgAgACAAIAAgACAAIAAgACAAIAAgACAAIAAgACAAIAAgACAAIAAgACAAIAAgAEwARQBUACgAYQBwACwAYQBjAGMAdQBtAFAAYQB5ACsAcABhAHkALABcAG4AIAAgACAAIAAgACAAIAAgACAAIAAgACAAIAAgACAAIAAgACAAIAAgACAAIAAgACAAIAAgAGkAbgB0AGUAcgBlAHMAdABQAGEAeQAsAEkARgAoAHAAcgBlAHYAWQBlAGEAcgA8AD4AeQBlAGEAcgAsAGEAcAAqAG0AaQBiAFAAZQByAGMAZQBuAHQALAAwACkALABcAG4AIAAgACAAIAAgACAAIAAgACAAIAAgACAAIAAgACAAIAAgACAAIAAgACAAIAAgACAAIAAgAGYAdgAsAEkARgAoAGgAYQBzAFcAZABPAGMAYwB1AHIAcgBBAGYAdABlAHIAQQBjAHQALAAwACwARgB2AFQAbwB0AGEAbAArAGkAbgB0AGUAcgBlAHMAdABQAGEAeQArAHAAYQB5ACkALABcAG4AIAAgACAAIAAgACAAIAAgACAAIAAgACAAIAAgACAAIAAgACAAIAAgACAAIAAgACAAIAAgAEgAUwBUAEEAQwBLACgAeQBlAGEAcgAsAGEAcAAsAGYAdgApACkAKQA7AFwAbgBcAG4AUwB0AGUAcABVAHAAVgBhAGwAdQBlACAAPQAgAEwAQQBNAEIARABBACgAcAByAGUAdgBTAHQAZQBwAFUAcAAsAHAAcgBlAHYASQBuAGMAbwBtAGUAQgBhAHMAZQAsAGMAbwBuAHQAcgBhAGMAdABWAGEAbAB1AGUALABwAHAASQBuAHYAZQBzAHQAZQBkACwAXABuACAAIAAgACAAIAAgACAAIAAgACAAIAAgACAAIAAgACAAIAAgACAAIAAgACAAIAAgAEkARgAoAGMAbwBuAHQAcgBhAGMAdABWAGEAbAB1AGUALQBwAHAASQBuAHYAZQBzAHQAZQBkAD4ATQBBAFgAKABwAHIAZQB2AFMAdABlAHAAVQBwACwAcAByAGUAdgBJAG4AYwBvAG0AZQBCAGEAcwBlACkALABjAG8AbgB0AHIAYQBjAHQAVgBhAGwAdQBlACwAMAApACkAOwBcAG4AXABuAFAAcgBlAEEAYwB0AGkAdgBhAHQAaQBvAG4ASQBuAGMAbwBtAGUAQgBhAHMAZQAgAD0AIABMAEEATQBCAEQAQQAoAGEAYwBjAHUAbQBQAGUAbgBhAGwAdAB5ACwAcAByAGUAdgBJAG4AYwBvAG0AZQBCAGEAcwBlACwAcAByAGUAdgBTAHQAZQBwAFUAcAAsAHAAYQB5ACwAaABhAHMAVwBkAE8AYwBjAHUAcgByAEEAZgB0AGUAcgBBAGMAdAAsAHcAZABQAGUAbgBhAGwAdAB5ACwAYwB2ACwAZgB2ACwAXABuACAAIAAgACAAIAAgACAAIAAgACAAIAAgACAAIAAgACAAIAAgACAAIAAgACAAIAAgACAAIAAgACAAIAAgACAATABFAFQAKABhAHcAcAAsAGEAYwBjAHUAbQBQAGUAbgBhAGwAdAB5ACoAdwBkAFAAZQBuAGEAbAB0AHkALABcAG4AIAAgACAAIAAgACAAIAAgACAAIAAgACAAIAAgACAAIAAgACAAIAAgACAAIAAgACAAIAAgACAAIAAgACAAIAAgACAAIAAgAG0AaQBuAEkAYgAsAGYAdgAqAGEAdwBwACwAXABuACAAIAAgACAAIAAgACAAIAAgACAAIAAgACAAIAAgACAAIAAgACAAIAAgACAAIAAgACAAIAAgACAAIAAgACAAIAAgACAAIABzAFUAcABWAGEAbAB1AGUALABTAHQAZQBwAFUAcABWAGEAbAB1AGUAKABwAHIAZQB2AFMAdABlAHAAVQBwACwAcAByAGUAdgBJAG4AYwBvAG0AZQBCAGEAcwBlACwAYwB2ACwAcABhAHkAKQAsAFwAbgAgACAAIAAgACAAIAAgACAAIAAgACAAIAAgACAAIAAgACAAIAAgACAAIAAgACAAIAAgACAAIAAgACAAIAAgACAAIAAgACAAUAByAGUAQQBjAHQASQBCACwASQBGACgAaABhAHMAVwBkAE8AYwBjAHUAcgByAEEAZgB0AGUAcgBBAGMAdAAsADAALABNAEEAWAAoAHAAYQB5ACsAcAByAGUAdgBJAG4AYwBvAG0AZQBCAGEAcwBlACwAcwBVAHAAVgBhAGwAdQBlACwAbQBpAG4ASQBiACkAKgB3AGQAUABlAG4AYQBsAHQAeQApACwAXABuACAAIAAgACAAIAAgACAAIAAgACAAIAAgACAAIAAgACAAIAAgACAAIAAgACAAIAAgACAAIAAgACAAIAAgACAAIAAgACAAIABIAFMAVABBAEMASwAoAGEAdwBwACwAUAByAGUAQQBjAHQASQBCACwAcwBVAHAAVgBhAGwAdQBlACwAbQBpAG4ASQBiACkAKQApADsAXABuAFwAbgBQAG8AcwB0AEEAYwB0AGkAdgBhAHQAaQBvAG4ASQBuAGMAbwBtAGUAQgBhAHMAZQAgAD0AIABMAEEATQBCAEQAQQAoAHAAcgBlAHYASQBCACwAdABpAG0AZQBGAHIAbwBtAFYAYQBsACwAaABhAHMAVwBkAE8AYwBjAHUAcgByAGUAZABBAGYAdABlAHIAQQBjAHQAaQB2AGEAdABpAG8AbgAsAGkAcwBBAG4AbgBpAHYAZQByAHMAYQByAHkALABjAHYALABpAHMAQQBjAHQAaQB2AGEAdABlAGQALAB3AGQAUABlAG4AYQBsAHQAeQAsAG0AYQB4AFMAdABlAHAAVgBhAGwAdQBlAFAAWQAsAFwAbgAgACAAIAAgACAAIAAgACAAIAAgACAAIAAgACAAIAAgACAAIAAgACAAIAAgACAAIAAgACAAIAAgACAAIAAgACAAIAAgAEkARgAoAHQAaQBtAGUARgByAG8AbQBWAGEAbAA9ADAALgAwACwAMAAuADAALABcAG4AIAAgACAAIAAgACAAIAAgACAAIAAgACAAIAAgACAAIAAgACAAIAAgACAAIAAgACAAIAAgACAAIAAgACAAIAAgACAAIAAgACAAIAAgACAAIAAgAEkARgAoAEEATgBEACgAaABhAHMAVwBkAE8AYwBjAHUAcgByAGUAZABBAGYAdABlAHIAQQBjAHQAaQB2AGEAdABpAG8AbgAsAGkAcwBBAG4AbgBpAHYAZQByAHMAYQByAHkAKQAsAFwAbgAgACAAIAAgACAAIAAgACAAIAAgACAAIAAgACAAIAAgACAAIAAgACAAIAAgACAAIAAgACAAIAAgACAAIAAgACAAIAAgACAAIAAgACAAIAAgACAAIAAgACAAIAAgACAAIAAgACAAIABNAEEAWAAoAGMAdgAsAHAAcgBlAHYASQBCACwAbQBhAHgAUwB0AGUAcABWAGEAbAB1AGUAUABZACkALABcAG4AIAAgACAAIAAgACAAIAAgACAAIAAgACAAIAAgACAAIAAgACAAIAAgACAAIAAgACAAIAAgACAAIAAgACAAIAAgACAAIAAgACAAIAAgACAAIAAgACAAIAAgACAAIAAgACAAIAAgACAASQBGACgAaQBzAEEAYwB0AGkAdgBhAHQAZQBkACwAcAByAGUAdgBJAEIALAAwACkAKgB3AGQAUABlAG4AYQBsAHQAeQApACkAKQA7AFwAbgBcAG4AVwBpAHQAaABkAHIAYQB3AGEAbABQAGUAbgBhAGwAdAB5AEQAYQBpAGwAeQAgAD0AIABMAEEATQBCAEQAQQAoAGgAYQBzAEwAaQBmAGUAdABpAG0AZQBJAG4AYwBvAG0AZQBTAHQAYQByAHQAZQBkACwAdwBkAFQAYQBrAGUAbgAsAEkAcwBBAGMAdABpAHYAYQB0AGkAbwBuACwAQwBvAG4AdAByAGEAYwB0AFYAYQBsAHUAZQAsAHAAcgBlAHYATQBhAHcAYQAsAFwAbgAgACAAIAAgACAAIAAgACAAIAAgACAAIAAgACAAIAAgACAAIAAgACAAIAAgACAAIAAgACAAIAAgACAAIAAgACAAMQAtAEkARgAoAEEATgBEACgATgBPAFQAKABoAGEAcwBMAGkAZgBlAHQAaQBtAGUASQBuAGMAbwBtAGUAUwB0AGEAcgB0AGUAZAApACwAdwBkAFQAYQBrAGUAbgA+ADAAKQAsAFwAbgAgACAAIAAgACAAIAAgACAAIAAgACAAIAAgACAAIAAgACAAIAAgACAAIAAgACAAIAAgACAAIAAgACAAIAAgACAAIAAgACAAIAAgAFcAZABIAGEAaQByAGMAdQB0AEIAZQBmAG8AcgBlAEEAYwB0AGkAdgBhAHQAaQBvAG4AKABJAHMAQQBjAHQAaQB2AGEAdABpAG8AbgAsAHcAZABUAGEAawBlAG4ALABDAG8AbgB0AHIAYQBjAHQAVgBhAGwAdQBlACkAIAArAFwAbgAgACAAIAAgACAAIAAgACAAIAAgACAAIAAgACAAIAAgACAAIAAgACAAIAAgACAAIAAgACAAIAAgACAAIAAgACAAIAAgACAAIAAgAFcAZABIAGEAaQByAGMAdQB0AEEAZgB0AGUAcgBBAGMAdABpAHYAYQB0AGkAbwBuACgAcAByAGUAdgBNAGEAdwBhACwASQBzAEEAYwB0AGkAdgBhAHQAaQBvAG4ALAB3AGQAVABhAGsAZQBuACwAQwBvAG4AdAByAGEAYwB0AFYAYQBsAHUAZQApACwAMAApACkAOwBcAG4AXABuAE0AYQB4AEEAbABsAG8AdwBXAGQAQQBtAG8AdQBuAHQARABhAGkAbAB5ACAAPQAgAEwAQQBNAEIARABBACgAaABhAHMATABpAGYAZQB0AGkAbQBlAEkAbgBjAG8AbQBlAFMAdABhAHIAdABlAGQALABJAEIALABtAGEAdwBkACwAXABuACAAIAAgACAAIAAgACAAIAAgACAAIAAgACAAIAAgACAAIAAgACAAIAAgACAAIAAgACAAIAAgACAAIAAgACAASQBGACgATgBPAFQAKABoAGEAcwBMAGkAZgBlAHQAaQBtAGUASQBuAGMAbwBtAGUAUwB0AGEAcgB0AGUAZAApACwASQBCACoAbQBhAHcAZAAsADAAKQApADsAXABuAFwAbgBNAGEAdwBTAHQAYQBjAGsARABhAGkAbAB5ACAAPQAgAEwAQQBNAEIARABBACgAcAByAGUAdgBZAGUAYQByACwAYQBjAGMAdQBtAFAAZQBuAGEAbAB0AHkALABwAHIAZQB2AEkAbgBjAG8AbQBlAEIAYQBzAGUALABwAHIAZQB2AFMAdABlAHAAVQBwACwAcAByAGUAdgBNAGEAeABWAGEAbAB1AGUALABwAHIAZQB2AFkAZQBhAHIATQBhAHgAVgBhAGwAdQBlACwAcAByAGUAdgBNAGEAdwBhACwAeQBlAGEAcgAsAHAAYQB5ACwAaABhAHMAVwBkAE8AYwBjAHUAcgByAEEAZgB0AGUAcgBBAGMAdAAsAGMAdgAsAHQAaQBtAGUARgByAG8AbQBWAGEAbAAsAGkAcwBBAG4AbgBpAHYAZQByAHMAYQByAHkALABpAHMAQQBjAHQAaQB2AGEAdABlAGQALABoAGEAcwBMAGkAZgBlAHQAaQBtAGUASQBuAGMAbwBtAGUAUwB0AGEAcgB0AGUAZAAsAHcAZABUAGEAawBlAG4ALABmAHYALABtAGEAdwBkACwAXABuACAAIAAgACAAIAAgACAAIAAgACAAIAAgACAAIAAgACAAIAAgACAAIAAgACAAIAAgAEwARQBUACgAdwBkAFAAZQBuAGEAbAB0AHkALABXAGkAdABoAGQAcgBhAHcAYQBsAFAAZQBuAGEAbAB0AHkARABhAGkAbAB5ACgAaABhAHMATABpAGYAZQB0AGkAbQBlAEkAbgBjAG8AbQBlAFMAdABhAHIAdABlAGQALAB3AGQAVABhAGsAZQBuACwAaQBzAEEAYwB0AGkAdgBhAHQAZQBkACwAYwB2ACwAcAByAGUAdgBNAGEAdwBhACkALABcAG4AIAAgACAAIAAgACAAIAAgACAAIAAgACAAIAAgACAAIAAgACAAIAAgACAAIAAgACAAIAAgACAAIABwAHIAZQBBAGMAdABJAEIAQQBsAGwALABQAHIAZQBBAGMAdABpAHYAYQB0AGkAbwBuAEkAbgBjAG8AbQBlAEIAYQBzAGUAKABhAGMAYwB1AG0AUABlAG4AYQBsAHQAeQAsAHAAcgBlAHYASQBuAGMAbwBtAGUAQgBhAHMAZQAsAHAAcgBlAHYAUwB0AGUAcABVAHAALABwAGEAeQAsAGgAYQBzAFcAZABPAGMAYwB1AHIAcgBBAGYAdABlAHIAQQBjAHQALAB3AGQAUABlAG4AYQBsAHQAeQAsAGMAdgAsAGYAdgApACwAXABuACAAIAAgACAAIAAgACAAIAAgACAAIAAgACAAIAAgACAAIAAgACAAIAAgACAAIAAgACAAIAAgACAAYQB3AHAALABDAEgATwBPAFMARQBDAE8ATABTACgAcAByAGUAQQBjAHQASQBCAEEAbABsACwAMQApACwAXABuACAAIAAgACAAIAAgACAAIAAgACAAIAAgACAAIAAgACAAIAAgACAAIAAgACAAIAAgACAAIAAgACAAcAByAGUAQQBjAHQASQBCACwAQwBIAE8ATwBTAEUAQwBPAEwAUwAoAHAAcgBlAEEAYwB0AEkAQgBBAGwAbAAsADIAKQAsAFwAbgAgACAAIAAgACAAIAAgACAAIAAgACAAIAAgACAAIAAgACAAIAAgACAAIAAgACAAIAAgACAAIAAgAHMAdABlAHAAVQBwAFYAYQBsAHUAZQAsAEMASABPAE8AUwBFAEMATwBMAFMAKABwAHIAZQBBAGMAdABJAEIAQQBsAGwALAAzACkALABcAG4AIAAgACAAIAAgACAAIAAgACAAIAAgACAAIAAgACAAIAAgACAAIAAgACAAIAAgACAAIAAgACAAIABtAGkAbgBpAG0AdQBtAEkAbgBjAG8AbQBlAEIAYQBzAGUALABDAEgATwBPAFMARQBDAE8ATABTACgAcAByAGUAQQBjAHQASQBCAEEAbABsACwANAApACwAXABuACAAIAAgACAAIAAgACAAIAAgACAAIAAgACAAIAAgACAAIAAgACAAIAAgACAAIAAgACAAIAAgACAAbQBhAHgAUwB0AGUAcABWAGEAbAB1AGUAcwAsAE0AYQB4AFMAdABlAHAAVgBhAGwAdQBlAFAAcgBlAHYAaQBvAHUAcwBZAGUAYQByACgAcAByAGUAdgBZAGUAYQByACwAcAByAGUAdgBNAGEAeABWAGEAbAB1AGUALABwAHIAZQB2AFkAZQBhAHIATQBhAHgAVgBhAGwAdQBlACwAeQBlAGEAcgAsAHMAdABlAHAAVQBwAFYAYQBsAHUAZQApACwAXABuACAAIAAgACAAIAAgACAAIAAgACAAIAAgACAAIAAgACAAIAAgACAAIAAgACAAIAAgACAAIAAgACAAbQB2ACwAQwBIAE8ATwBTAEUAQwBPAEwAUwAoAG0AYQB4AFMAdABlAHAAVgBhAGwAdQBlAHMALAAyACkALABcAG4AIAAgACAAIAAgACAAIAAgACAAIAAgACAAIAAgACAAIAAgACAAIAAgACAAIAAgACAAIAAgACAAIABtAGEAeABTAHQAZQBwAFYAYQBsAHUAZQBQAFkALABDAEgATwBPAFMARQBDAE8ATABTACgAbQBhAHgAUwB0AGUAcABWAGEAbAB1AGUAcwAsADMAKQAsAFwAbgAgACAAIAAgACAAIAAgACAAIAAgACAAIAAgACAAIAAgACAAIAAgACAAIAAgACAAIAAgACAAIAAgAHAAbwBzAHQAQQBjAHQASQBCACwAUABvAHMAdABBAGMAdABpAHYAYQB0AGkAbwBuAEkAbgBjAG8AbQBlAEIAYQBzAGUAKABwAHIAZQB2AEkAbgBjAG8AbQBlAEIAYQBzAGUALAB0AGkAbQBlAEYAcgBvAG0AVgBhAGwALABoAGEAcwBXAGQATwBjAGMAdQByAHIAQQBmAHQAZQByAEEAYwB0ACwAaQBzAEEAbgBuAGkAdgBlAHIAcwBhAHIAeQAsAGMAdgAsAGkAcwBBAGMAdABpAHYAYQB0AGUAZAAsAHcAZABQAGUAbgBhAGwAdAB5ACwAbQBhAHgAUwB0AGUAcABWAGEAbAB1AGUAUABZACkALABcAG4AIAAgACAAIAAgACAAIAAgACAAIAAgACAAIAAgACAAIAAgACAAIAAgACAAIAAgACAAIAAgACAAIABpAG4AYwBvAG0AZQBCAGEAcwBlACwAcAByAGUAQQBjAHQASQBCACsAcABvAHMAdABBAGMAdABJAEIALABcAG4AIAAgACAAIAAgACAAIAAgACAAIAAgACAAIAAgACAAIAAgACAAIAAgACAAIAAgACAAIAAgACAAIABtAGEAdwBhACwATQBhAHgAQQBsAGwAbwB3AFcAZABBAG0AbwB1AG4AdABEAGEAaQBsAHkAKABoAGEAcwBMAGkAZgBlAHQAaQBtAGUASQBuAGMAbwBtAGUAUwB0AGEAcgB0AGUAZAAsAGkAbgBjAG8AbQBlAEIAYQBzAGUALABtAGEAdwBkACkALABcAG4AIAAgACAAIAAgACAAIAAgACAAIAAgACAAIAAgACAAIAAgACAAIAAgACAAIAAgACAAIAAgACAAIABIAFMAVABBAEMASwAoAHkAZQBhAHIALABhAHcAcAAsAGkAbgBjAG8AbQBlAEIAYQBzAGUALABzAHQAZQBwAFUAcABWAGEAbAB1AGUALABtAHYALABtAGEAeABTAHQAZQBwAFYAYQBsAHUAZQBQAFkALABtAGEAdwBhACwAdwBkAFAAZQBuAGEAbAB0AHkALABtAGkAbgBpAG0AdQBtAEkAbgBjAG8AbQBlAEIAYQBzAGUAKQApACkAOwAgAFwAbgBcAG4AUAByAG8AdABlAGMAdABlAGQASQBuAGMAbwBtAGUARABhAGkAbAB5ACAAPQAgAEwAQQBNAEIARABBACgASABhAHMATABpAGYAZQB0AGkAbQBlAEkAbgBjAG8AbQBlAFMAdABhAHIAdABlAGQALABJAHMAQQBuAG4ALABJAG4AYwBvAG0AZQBCAGEAcwBlACwAcAByAG8AdABlAGMAdABlAGQASQBuAGMAUABlAHIALABJAEYAKABBAE4ARAAoAEgAYQBzAEwAaQBmAGUAdABpAG0AZQBJAG4AYwBvAG0AZQBTAHQAYQByAHQAZQBkACwASQBzAEEAbgBuACkALABwAHIAbwB0AGUAYwB0AGUAZABJAG4AYwBQAGUAcgAqAEkAbgBjAG8AbQBlAEIAYQBzAGUALAAwACkAKQA7ACIAfQAsAHsAIgBwAGEAdABoACIAOgAiAC8AcAByAG8AagBlAGMAdABzAC8AVQB0AGkAbABzACIALAAiAHQAZQB4AHQAIgA6ACIALwAvAEYAaQBuAGQAcwAgAHQAaABlACAAcgBvAG8AdAAgAG8AZgAgAGEAIABwAG8AbAB5AG4AbwBtAGkAYQBsACAAZwBpAHYAZQBuACAAYQBuACAAaQBuAGkAdABpAGEAbAAgAGcAdQBlAHMAcwAsACAAdABoAGUAIABwAG8AbAB5AG4AbwBtAGkAYQBsACwAIABpAHQAcwAgAGQAZQByAGkAdgBhAHQAaQB2AGUALAAgAGEAbgBkACAAYQAgAHQAbwBsAGUAcgBhAG4AYwBlACAAXABuAC8ALwBFAHgAYQBtAHAAbABlACAAQwBhAGwAbAA6ACAATgBlAHcAdABvAG4AUgBhAHAAaABzAG8AbgAoADMALABMAEEATQBCAEQAQQAoAHgALAAoAHgALQAxACkAXgAyACkALABMAEEATQBCAEQAQQAoAHgALAAyACoAKAB4AC0AMQApACkALAAwAC4AMAAwADAAMAAxACkAXABuACAAIAAgACAAIAAgACAAIAAgACAAIAAgACAAIAAgAC8ALwBOAGUAdwB0AG8AbgBSAGEAcABoAHMAbwBuACgAMwAsAEwAQQBNAEIARABBACgAeAAsACgAeAAtADEAKQBeADIAKQAsAEwAQQBNAEIARABBACgAeAAsADIAKgAoAHgALQAxACkAKQAsACkAIAAgAFwAbgBOAGUAdwB0AG8AbgBSAGEAcABoAHMAbwBuACAAPQAgAEwAYQBtAGIAZABhACgAZwB1AGUAcwBzACwAeQAsAGQAeQAsAHQAbwBsAGUAcgBhAG4AYwBlAF8ALABcAG4AIAAgACAAIAAgACAAIAAgACAAIAAgACAAIAAgACAAIAAgACAAIAAgACAAIAAgACAATABlAHQAKAB4AG4ALAAgAGcAdQBlAHMAcwAsAFwAbgAgACAAIAAgACAAIAAgACAAIAAgACAAIAAgACAAIAAgACAAIAAgACAAIAAgACAAIAAgACAAIAAgAHQAbwBsAGUAcgBhAG4AYwBlACwASQBGACgASQBTAE8ATQBJAFQAVABFAEQAKAB0AG8AbABlAHIAYQBuAGMAZQBfACkALAAwAC4AMAAwADAAMQAsAHQAbwBsAGUAcgBhAG4AYwBlAF8AKQAsAFwAbgAgACAAIAAgACAAIAAgACAAIAAgACAAIAAgACAAIAAgACAAIAAgACAAIAAgACAAIAAgACAAIAAgAHgAbgBfADEALAAgAHgAbgAgAC0AIAB5ACgAeABuACkALwBkAHkAKAB4AG4AKQAsAFwAbgAgACAAIAAgACAAIAAgACAAIAAgACAAIAAgACAAIAAgACAAIAAgACAAIAAgACAAIAAgACAAIAAgAGkAZgAoAEEAQgBTACgAeABuAF8AMQAgAC0AIAB4AG4AKQA8ACAAdABvAGwAZQByAGEAbgBjAGUALAB4AG4ALAAgAE4AZQB3AHQAbwBuAFIAYQBwAGgAcwBvAG4AKAB4AG4AXwAxACwAeQAsAGQAeQAsAHQAbwBsAGUAcgBhAG4AYwBlACkAKQApACkAOwBcAG4AIAAgACAAIAAgACAAIAAgACAAIAAgACAAIAAgACAAIAAgACAAIAAgACAAIAAgACAAIAAgACAAIABcAG4ATQBvAHIAdABTAG8AYQBPAHIAZwBBAGQAZAByAGUAcwBzACAAPQAgAFwAIgBoAHQAdABwAHMAOgAvAC8AbQBvAHIAdAAuAHMAbwBhAC4AbwByAGcALwBkAGEAdABhAC8AXAAiADsAXABuAGUAcgByAG8AcgBNAGUAcwBzAGEAZwBlACAAPQAgAFwAIgBEAG8AZQBzACAATgBvAHQAIABFAHgAaQBzAHQAXAAiADsAXABuAFwAbgAvAC8ARQB4AGEAbQBwAGwAZQAgAEMAYQBsAGwAcwA6AFwAbgAvAC8AIAAgACAAIAA9AEcAZQB0AE0AbwByAHQAUwBvAGEATwByAGcAVABhAGIAbABlAEkAZABzAEEAbgBkAE4AYQBtAGUAcwAoADEAKQAgAHQAbwAgAGcAZQB0ACAAdABoAGUAIAB0AGEAYgBsAGUAIAB3AGkAdABoACAAaQBkACAAYQBuAGQAIABuAGEAbQBlAC4AXABuAC8ALwAgACAAIAAgAD0ARwBlAHQATQBvAHIAdABTAG8AYQBPAHIAZwBUAGEAYgBsAGUASQBkAHMAQQBuAGQATgBhAG0AZQBzACgAUwBFAFEAVQBFAE4AQwBFACgAMQAwADAALAAsADEAKQApACAAdABvACAAZwBlAHQAIABhACAAbABpAHMAdAAgAG8AZgAgAHQAYQBiAGwAZQAgAGkAZABzACAAYQBuAGQAIABuAGEAbQBlAHMALgAgACAAIAAgACAAIAAgAFwAbgBHAGUAdABNAG8AcgB0AFMAbwBhAE8AcgBnAFQAYQBiAGwAZQBJAGQAcwBBAG4AZABOAGEAbQBlAHMAIAAgAD0AIABMAEEATQBCAEQAQQAoAHQAYQBiAGwAZQBOAHUAbQBiAGUAcgAsAFwAbgAgACAAIAAgACAAIAAgACAAIAAgACAAIAAgACAAIAAgACAAIAAgACAAIAAgACAAIAAgACAAIAAgACAAIAAgACAAIABMAEUAVAAoACAAIAAgAGYAaQBsAGUATgBhAG0AZQAsACAATQBvAHIAdABTAG8AYQBPAHIAZwBBAGQAZAByAGUAcwBzACAAJgAgAFwAIgB0AFwAIgAmAHQAYQBiAGwAZQBOAHUAbQBiAGUAcgAmAFwAIgAuAHgAbQBsAFwAIgAsAFwAbgAgACAAIAAgACAAIAAgACAAIAAgACAAIAAgACAAIAAgACAAIAAgACAAIAAgACAAIAAgACAAIAAgACAAIAAgACAAIAAgACAAIAAgACAAIAAgAHgAcABhAHQAaAAsAFwAIgAvAC8AVABhAGIAbABlAE4AYQBtAGUAXAAiACwAXABuACAAIAAgACAAIAAgACAAIAAgACAAIAAgACAAIAAgACAAIAAgACAAIAAgACAAIAAgACAAIAAgACAAIAAgACAAIAAgACAAIAAgACAAIAAgACAAZgBpAGwAdABlAHIAZQBkAFgAbQBsACwARgBJAEwAVABFAFIAWABNAEwAKABXAEUAQgBTAEUAUgBWAEkAQwBFACgARgBpAGwAZQBOAGEAbQBlACkALAB4AHAAYQB0AGgAKQAsAFwAbgAgACAAIAAgACAAIAAgACAAIAAgACAAIAAgACAAIAAgACAAIAAgACAAIAAgACAAIAAgACAAIAAgACAAIAAgACAAIAAgACAAIAAgACAAIAAgAGkAdABlAG0AMQAsACAAdABhAGIAbABlAE4AdQBtAGIAZQByACwAXABuACAAIAAgACAAIAAgACAAIAAgACAAIAAgACAAIAAgACAAIAAgACAAIAAgACAAIAAgACAAIAAgACAAIAAgACAAIAAgACAAIAAgACAAIAAgACAAaQB0AGUAbQAyACwAIABJAEYARQBSAFIATwBSACgAZgBpAGwAdABlAHIAZQBkAFgAbQBsACwAZQByAHIAbwByAE0AZQBzAHMAYQBnAGUAKQAsAFwAbgAgACAAIAAgACAAIAAgACAAIAAgACAAIAAgACAAIAAgACAAIAAgACAAIAAgACAAIAAgACAAIAAgACAAIAAgACAAIAAgACAAIAAgAEgAUwBUAEEAQwBLACgAaQB0AGUAbQAxACwAaQB0AGUAbQAyACkAXABuACAAIAAgACAAIAAgACAAIAAgACAAIAAgACAAIAAgACAAIAAgACAAIAAgACAAIAAgACAAIAAgACAAIAAgACAAIAAgACAAIAAgACAAKQApADsAXABuAC8ALwBFAHgAYQBtAHAAbABlACAAQwBhAGwAbAA6AFwAbgAvAC8AIAAgACAAIABGAGkAbAB0AGUAcgBNAG8AcgB0AFMAbwBhAE8AcgBnAEEAYwB0AGkAdgBlAFQAYQBiAGwAZQBJAGQAcwBBAG4AZABOAGEAbQBlAHMAKAAkAEEAJAAyACMAKQAgAHQAbwAgAGYAaQBsAHQAZQByACAAdABoAGUAIABsAGkAcwB0ACAAbwBmACAAdABhAGIAbABlAHMAIABkAG8AdwBuACAAdABoAGUAIABvAG4AZQBzACAAdABoAGEAdAAgAGUAeABpAHMAdAAsACAAdwBoAGUAcgBlACAAQQAyACMAIABjAG8AbgB0AGEAaQBuAHMAIAAvAC8AIAAvAC8APQBHAGUAdABNAG8AcgB0AFMAbwBhAE8AcgBnAFQAYQBiAGwAZQBJAGQAcwBBAG4AZABOAGEAbQBlAHMAKABTAEUAUQBVAEUATgBDAEUAKAAxADAAMAAsACwAMQApACkAXABuAEYAaQBsAHQAZQByAE0AbwByAHQAUwBvAGEATwByAGcAQQBjAHQAaQB2AGUAVABhAGIAbABlAEkAZABzAEEAbgBkAE4AYQBtAGUAcwAgAD0AIABMAGEAbQBiAGQAYQAoAHQAdwBvAEMAbwBsAHUAbQBuAEEAcgByAGEAeQAsAFwAbgAgACAAIAAgACAAIAAgACAAIAAgACAAIAAgACAAIAAgACAAIAAgACAAIAAgACAAIAAgACAAIAAgACAAIAAgACAAIAAgACAAIAAgACAAIAAgACAAIAAgACAAIAAgACAATABFAFQAKAAgAHIALAB0AHcAbwBDAG8AbAB1AG0AbgBBAHIAcgBhAHkALABcAG4AIAAgACAAIAAgACAAIAAgACAAIAAgACAAIAAgACAAIAAgACAAIAAgACAAIAAgACAAIAAgACAAIAAgACAAIAAgACAAIAAgACAAIAAgACAAIAAgACAAIAAgACAAIAAgACAAIAAgACAARgBJAEwAVABFAFIAKAByACwATwBGAEYAUwBFAFQAKAByACwAMAAsADEALAAsADEAKQAgADwAPgBlAHIAcgBvAHIATQBlAHMAcwBhAGcAZQApACkAKQA7AFwAbgAgACAAIAAgACAAIAAgACAAIAAgACAAIAAgACAAIAAgACAAIAAgACAAIAAgACAAIAAgACAAIAAgACAAIAAgACAAIAAgACAAIAAgACAAIAAgACAAIAAgACAAIAAgACAAIAAgACAAIABcAG4ALwAvAEUAeABhAG0AcABsAGUAIABDAGEAbABsADoAXABuAC8ALwAgACAAIAAgAEcAZQB0AE0AbwByAHQAYQBsAGkAdAB5AFQAYQBiAGwAZQAoADEANAAsACwAKQAgAHQAbwAgAHIAZQB0AHIAaQBlAHYAZQAgAHQAaABlACAAdABhAGIAbABlACAAdwBpAHQAaAAgAEkAZAAgADEANAAsACAAbQBpAG4AIABhAGcAZQAgADAALAAgAGEAbgBkACAAbQBhAHgAIABhAGcAZQAgADEAMgAwAC4AXABuAC8ALwAgACAAIAAgAEcAZQB0AE0AbwByAHQAYQBsAGkAdAB5AFQAYQBiAGwAZQAoADEAMwAsADEAMAAsADEAMAAwACkAIAB0AG8AIAByAGUAdAByAGkAZQB2AGUAIAB0AGgAZQAgAHQAYQBiAGwAZQAgAHcAaQB0AGgAIABJAGQAIAAxADMALAAgAG0AaQBuACAAYQBnAGUAIAAxADAALAAgAGEAbgBkACAAbQBhAHgAIABhAGcAZQAgADEAMAAuAFwAdABcAHQAXAB0AFwAdABcAHQAXAB0ACAAIABcAG4ARwBlAHQATQBvAHIAdABhAGwAaQB0AHkAVABhAGIAbABlACAAPQBMAEEATQBCAEQAQQAoAFQAYQBiAGwAZQBJAEQALABNAGkAbgBBAGcAZQBfACwATQBhAHgAQQBnAGUAXwAsAFwAbgAgACAAIAAgACAAIAAgACAAIAAgACAAIAAgACAAIAAgACAAIAAgACAAIAAgACAAIAAgACAAIAAgAEwARQBUACgATQBpAG4AQQBnAGUALAAgAEkARgAoAEkAUwBPAE0ASQBUAFQARQBEACgATQBpAG4AQQBnAGUAXwApACwAMAAsAE0AaQBuAEEAZwBlAF8AKQAsAFwAbgAgACAAIAAgACAAIAAgACAAIAAgACAAIAAgACAAIAAgACAAIAAgACAAIAAgACAAIAAgACAAIAAgACAAIAAgACAATQBhAHgAQQBnAGUALAAgAEkARgAoAEkAUwBPAE0ASQBUAFQARQBEACgATQBhAHgAQQBnAGUAXwApACwAMQAyADAALABNAGEAeABBAGcAZQBfACkALABcAG4AIAAgACAAIAAgACAAIAAgACAAIAAgACAAIAAgACAAIAAgACAAIAAgACAAIAAgACAAIAAgACAAIAAgACAAIAAgAEYAaQBsAGUAVAB5AHAAZQAsAFwAIgAuAHgAbQBsAFwAIgAsAFwAbgAgACAAIAAgACAAIAAgACAAIAAgACAAIAAgACAAIAAgACAAIAAgACAAIAAgACAAIAAgACAAIAAgACAAIAAgACAAUwBlAGEAcgBjAGgAUwB0AHIAaQBuAGcALABcACIALwAvAEAAdAAgAHwAIAAvAC8AWQBcACIALABcAG4AIAAgACAAIAAgACAAIAAgACAAIAAgACAAIAAgACAAIAAgACAAIAAgACAAIAAgACAAIAAgACAAIAAgACAAIAAgAFQAYQBiAGwAZQBOAGEAbQBlACwARQBOAEMATwBEAEUAVQBSAEwAKABcACIAdABcACIAJgBUAGEAYgBsAGUASQBEACkALABcAG4AIAAgACAAIAAgACAAIAAgACAAIAAgACAAIAAgACAAIAAgACAAIAAgACAAIAAgACAAIAAgACAAIAAgACAAIAAgAE0AbwByAHQAVABiAGwALAAgAFcAUgBBAFAAUgBPAFcAUwAoAEYASQBMAFQARQBSAFgATQBMACgAVwBFAEIAUwBFAFIAVgBJAEMARQAoAE0AbwByAHQAUwBvAGEATwByAGcAQQBkAGQAcgBlAHMAcwAgACYAVABhAGIAbABlAE4AYQBtAGUAIAAmACAARgBpAGwAZQBUAHkAcABlACkALAAgAFMAZQBhAHIAYwBoAFMAdAByAGkAbgBnACkALAAgADIAKQAsAFwAbgAgACAAIAAgACAAIAAgACAAIAAgACAAIAAgACAAIAAgACAAIAAgACAAIAAgACAAIAAgACAAIAAgACAAIAAgACAARgBJAEwAVABFAFIAKABNAG8AcgB0AFQAYgBsACwAIAAoAEkATgBEAEUAWAAoAE0AbwByAHQAVABiAGwALAAgADAALAAgADIAKQAgAD4AIABNAGkAbgBBAGcAZQApACAAKgAgACgASQBOAEQARQBYACgATQBvAHIAdABUAGIAbAAsACAAMAAsACAAMgApACAAPAAgAE0AYQB4AEEAZwBlACkAKQApACkAOwBcAG4ALwAvAEMAbwBtAGIAbwBTAGMAYQBuACAAdwBpAGwAbAAgAGEAbABsACAAcwBjAGEAbgAgAG0AdQBsAHQAaQBwAGwAZQAgAGEAcgByAGEAeQBzAC4AIABUAGgAZQAgAHMAdQBwAHAAbABpAGUAZAAgAGYAdQBuAGMAdABpAG8AbgAgAHMAaABvAHUAbABkACAAaABhAHYAZQAgADEAIABtAG8AcgBlACAAcABhAHIAYQBtAGUAdABlAHIAIAB0AGgAYQBuACAAdABoAGUAIABhAHIAcgBhAHkAcwAgACAAIAAgACAAIAAgACAAIAAgACAAIAAgACAAIAAgACAAIAAgACAAIAAgACAAIAAgACAAIAAvAC8AVABoAGUAIABwAGEAcgBhAG0AZQB0AGUAcgAgAHQAaABhAHQAIAB0AGEAawBlAHMAIAB0AGgAZQAgAHAAcgBlAHYAaQBvAHUAcwAgAHYAYQBsAHUAZQAgAHMAaABvAHUAbABkACAAYQBsAHcAYQB5AHMAIABiAGUAIAB0AGgAZQAgAGwAYQBzAHQAIABvAG4AZQAgAGkAbgAgAHQAaABlACAAZgB1AG4AYwB0AGkAbwBuAC4AXABuAFwAbgAvAC8AUwBjAGEAbgAgADIAIABhAHIAcgBhAHkAcwAgAGEAbgBkACAAdABoAGUAIABmAHUAbgBjAHQAaQBvAG4AIAByAGUAcQB1AGkAcgBlAHMAIAAzACAAcABhAHIAYQBtAGUAdABlAHIAcwBcAG4AQwBvAG0AYgBvAFMAQwBBAE4AMgAgAD0ATABBAE0AQgBEAEEAKABpAG4AaQB0AFYAYQBsAHUAZQAsAGEAcgByAGEAeQAxACwAYQByAHIAYQB5ADIALABmAHUAbgBjAHQAaQBvAG4ALABcAG4AIAAgACAAIAAgACAAIAAgACAAIAAgACAAIAAgACAAIAAgACAAIABMAEUAVAAoAGMAbABvAHMAdQByAGUALAAgAE0AQQBQACgAYQByAHIAYQB5ADEALABhAHIAcgBhAHkAMgAsAFwAbgAgACAAIAAgACAAIAAgACAAIAAgACAAIAAgACAAIAAgACAAIAAgACAAIAAgACAAIAAgACAAIAAgACAAIAAgACAAIAAgACAAIAAgACAATABBAE0AQgBEAEEAKABhACwAYgAsAFwAbgAgACAAIAAgACAAIAAgACAAIAAgACAAIAAgACAAIAAgACAAIAAgACAAIAAgACAAIAAgACAAIAAgACAAIAAgACAAIAAgACAAIAAgACAAIAAgACAAIAAgACAAIABMAEEATQBCAEQAQQAoAGMALABmAHUAbgBjAHQAaQBvAG4AKABhACwAYgAsAGM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MAIABhAHIAcgBhAHkAcwAgAGEAbgBkACAAdABoAGUAIABmAHUAbgBjAHQAaQBvAG4AIAByAGUAcQB1AGkAcgBlAHMAIAA0ACAAcABhAHIAYQBtAGUAdABlAHIAcwBcAG4AQwBvAG0AYgBvAFMAQwBBAE4AMwAgAD0ATABBAE0AQgBEAEEAKABpAG4AaQB0AFYAYQBsAHUAZQAsAGEAcgByAGEAeQAxACwAYQByAHIAYQB5ADIALABhAHIAcgBhAHkAMwAsAGYAdQBuAGMAdABpAG8AbgAsAFwAbgAgACAAIAAgACAAIAAgACAAIAAgACAAIAAgACAAIAAgACAAIAAgAEwARQBUACgAYwBsAG8AcwB1AHIAZQAsACAATQBBAFAAKABhAHIAcgBhAHkAMQAsAGEAcgByAGEAeQAyACwAYQByAHIAYQB5ADMALABcAG4AIAAgACAAIAAgACAAIAAgACAAIAAgACAAIAAgACAAIAAgACAAIAAgACAAIAAgACAAIAAgACAAIAAgACAAIAAgACAAIAAgACAAIAAgAEwAQQBNAEIARABBACgAYQAsAGIALABjACwAXABuACAAIAAgACAAIAAgACAAIAAgACAAIAAgACAAIAAgACAAIAAgACAAIAAgACAAIAAgACAAIAAgACAAIAAgACAAIAAgACAAIAAgACAAIAAgACAAIAAgACAAIAAgAEwAQQBNAEIARABBACgAZAAsAGYAdQBuAGMAdABpAG8AbgAoAGEALABiACwAYwAsAGQ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QAIABhAHIAcgBhAHkAcwAgAGEAbgBkACAAdABoAGUAIABmAHUAbgBjAHQAaQBvAG4AIAByAGUAcQB1AGkAcgBlAHMAIAA1ACAAcABhAHIAYQBtAGUAdABlAHIAcwBcAG4AQwBvAG0AYgBvAFMAQwBBAE4ANAAgAD0ATABBAE0AQgBEAEEAKABpAG4AaQB0AFYAYQBsAHUAZQAsAGEAcgByAGEAeQAxACwAYQByAHIAYQB5ADIALABhAHIAcgBhAHkAMwAsAGEAcgByAGEAeQA0ACwAZgB1AG4AYwB0AGkAbwBuACwAXABuACAAIAAgACAAIAAgACAAIAAgACAAIAAgACAAIAAgACAAIAAgACAATABFAFQAKABjAGwAbwBzAHUAcgBlACwAIABNAEEAUAAoAGEAcgByAGEAeQAxACwAYQByAHIAYQB5ADIALABhAHIAcgBhAHkAMwAsAGEAcgByAGEAeQA0ACwAXABuACAAIAAgACAAIAAgACAAIAAgACAAIAAgACAAIAAgACAAIAAgACAAIAAgACAAIAAgACAAIAAgACAAIAAgACAAIAAgACAAIAAgACAAIABMAEEATQBCAEQAQQAoAGEALABiACwAYwAsAGQALABcAG4AIAAgACAAIAAgACAAIAAgACAAIAAgACAAIAAgACAAIAAgACAAIAAgACAAIAAgACAAIAAgACAAIAAgACAAIAAgACAAIAAgACAAIAAgACAAIAAgACAAIAAgACAATABBAE0AQgBEAEEAKABlACwAZgB1AG4AYwB0AGkAbwBuACgAYQAsAGIALABjACwAZAAsAGU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UAIABhAHIAcgBhAHkAcwAgAGEAbgBkACAAdABoAGUAIABmAHUAbgBjAHQAaQBvAG4AIAByAGUAcQB1AGkAcgBlAHMAIAA2ACAAcABhAHIAYQBtAGUAdABlAHIAcwBcAG4AQwBvAG0AYgBvAFMAQwBBAE4ANQAgAD0ATABBAE0AQgBEAEEAKABpAG4AaQB0AFYAYQBsAHUAZQAsAGEAcgByAGEAeQAxACwAYQByAHIAYQB5ADIALABhAHIAcgBhAHkAMwAsAGEAcgByAGEAeQA0ACwAYQByAHIAYQB5ADUALABmAHUAbgBjAHQAaQBvAG4ALABcAG4AIAAgACAAIAAgACAAIAAgACAAIAAgACAAIAAgACAAIAAgACAAIABMAEUAVAAoAGMAbABvAHMAdQByAGUALAAgAE0AQQBQACgAYQByAHIAYQB5ADEALABhAHIAcgBhAHkAMgAsAGEAcgByAGEAeQAzACwAYQByAHIAYQB5ADQALABhAHIAcgBhAHkANQAsAFwAbgAgACAAIAAgACAAIAAgACAAIAAgACAAIAAgACAAIAAgACAAIAAgACAAIAAgACAAIAAgACAAIAAgACAAIAAgACAAIAAgACAAIAAgACAATABBAE0AQgBEAEEAKABhACwAYgAsAGMALABkACwAZQAsAFwAbgAgACAAIAAgACAAIAAgACAAIAAgACAAIAAgACAAIAAgACAAIAAgACAAIAAgACAAIAAgACAAIAAgACAAIAAgACAAIAAgACAAIAAgACAAIAAgACAAIAAgACAAIABMAEEATQBCAEQAQQAoAGYALABmAHUAbgBjAHQAaQBvAG4AKABhACwAYgAsAGMALABkACwAZQAsAGYAKQApACkAKQAsAFwAbgAgACAAIAAgACAAIAAgACAAIAAgACAAIAAgACAAIAAgACAAIAAgACAAIAAgACAAcAByAG8AYwBlAHMAcwBTAGUAcgBpAGUAcwAsAEwAQQBNAEIARABBACgAcAByAGUAdgBWAGEAbAB1AGUALABmAHUAbgBjACwAZgB1AG4AYwAoAHAAcgBlAHYAVgBhAGwAdQBlACkAKQAsAFwAbgAgACAAIAAgACAAIAAgACAAIAAgACAAIAAgACAAIAAgACAAIAAgAFMAQwBBAE4AKABpAG4AaQB0AFYAYQBsAHUAZQAsAGMAbABvAHMAdQByAGUALABwAHIAbwBjAGUAcwBzAFMAZQByAGkAZQBzACkAKQApADsAXABuAFwAbgAvAC8AUwBjAGEAbgAgADYAIABhAHIAcgBhAHkAcwAgAGEAbgBkACAAdABoAGUAIABmAHUAbgBjAHQAaQBvAG4AIAByAGUAcQB1AGkAcgBlAHMAIAA3ACAAcABhAHIAYQBtAGUAdABlAHIAcwBcAG4AQwBvAG0AYgBvAFMAQwBBAE4ANgAgAD0ATABBAE0AQgBEAEEAKABpAG4AaQB0AFYAYQBsAHUAZQAsAGEAcgByAGEAeQAxACwAYQByAHIAYQB5ADIALABhAHIAcgBhAHkAMwAsAGEAcgByAGEAeQA0ACwAYQByAHIAYQB5ADUALABhAHIAcgBhAHkANgAsAGYAdQBuAGMAdABpAG8AbgAsAFwAbgAgACAAIAAgACAAIAAgACAAIAAgACAAIAAgACAAIAAgACAAIAAgAEwARQBUACgAYwBsAG8AcwB1AHIAZQAsACAATQBBAFAAKABhAHIAcgBhAHkAMQAsAGEAcgByAGEAeQAyACwAYQByAHIAYQB5ADMALABhAHIAcgBhAHkANAAsAGEAcgByAGEAeQA1ACwAYQByAHIAYQB5ADYALABcAG4AIAAgACAAIAAgACAAIAAgACAAIAAgACAAIAAgACAAIAAgACAAIAAgACAAIAAgACAAIAAgACAAIAAgACAAIAAgACAAIAAgACAAIAAgAEwAQQBNAEIARABBACgAYQAsAGIALABjACwAZAAsAGUALABmACwATABBAE0AQgBEAEEAKABnACwAZgB1AG4AYwB0AGkAbwBuACgAYQAsAGIALABjACwAZAAsAGUALABmACwAZwApACkAKQApACwAXABuACAAIAAgACAAIAAgACAAIAAgACAAIAAgACAAIAAgACAAIAAgACAAIAAgACAAIABwAHIAbwBjAGUAcwBzAFMAZQByAGkAZQBzACwATABBAE0AQgBEAEEAKABwAHIAZQB2AFYAYQBsAHUAZQAsAGYAdQBuAGMALABmAHUAbgBjACgAcAByAGUAdgBWAGEAbAB1AGUAKQApACwAXABuACAAIAAgACAAIAAgACAAIAAgACAAIAAgACAAIAAgACAAIAAgACAAUwBDAEEATgAoAGkAbgBpAHQAVgBhAGwAdQBlACwAYwBsAG8AcwB1AHIAZQAsAHAAcgBvAGMAZQBzAHMAUwBlAHIAaQBlAHMAKQApACkAOwBcAG4AXABuAFwAbgAvAC8AUwBoAG8AcgB0ACAAYwB1AHQAIABmAG8AcgAgAEMASABPAE8AUwBFAEMATwBMAFMAXABuAEMAQwAgAD0AIABMAEEATQBCAEQAQQAoAEEAcgByAGEAeQAsAGkAbgBkAGUAeAAsAEMASABPAE8AUwBFAEMATwBMAFMAKABBAHIAcgBhAHkALABpAG4AZABlAHgAKQApADsAXABuAFwAbgAvAC8AVABoAGkAcwAgAGYAdQBuAGMAdABpAG8AbgAgAGIAcgBlAGEAawBzACAAYQAgAHIAbwB3ACAAaQBuAHQAbwAgAHAAYQByAGEAbQBlAHQAZQByAHMAIABpAG4AdABvACAAYQAgAGYAdQBuAGMAdABpAG8AbgAuAFwAbgAvAC8AVABoAGkAcwAgAG0AYQB5ACAAbgBlAGUAZAAgAHQAbwAgAGIAZQAgAHUAcABkAGEAdABlAGQAIABpAGYAIABhACAAZgB1AG4AYwB0AGkAbwBuACAAaABhAHMAIABtAG8AcgBlACAAdABoAGEAbgAgADEANQAgAHAAYQByAGEAbQBlAHQAZQByAHMALgBcAG4AQwB1AHIAcgB5ACAAPQAgAEwAQQBNAEIARABBACgAYQByAHIAYQB5ACwAZgB1AG4AYwB0AGkAbwBuACwATABFAFQAKABmACwAZgB1AG4AYwB0AGkAbwBuACwAdgAsAEMASABPAE8AUwBFAFIATwBXAFMAKABhAHIAcgBhAHkALAAxACkALABTAFcASQBUAEMASAAoAEMATwBMAFUATQBOAFMAKABhAHIAcgBhAHkAKQAsAFwAbgAwACwAZgAoACkALABcAG4AMQAsAGYAKABDAEMAKAB2ACwAMQApACkALABcAG4AMgAsAGYAKABDAEMAKAB2ACwAMQApACwAQwBDACgAdgAsADIAKQApACwAXABuADMALABmACgAQwBDACgAdgAsADEAKQAsAEMAQwAoAHYALAAyACkALABDAEMAKAB2ACwAMwApACkALABcAG4ANAAsAGYAKABDAEMAKAB2ACwAMQApACwAQwBDACgAdgAsADIAKQAsAEMAQwAoAHYALAAzACkALABDAEMAKAB2ACwANAApACkALABcAG4ANQAsAGYAKABDAEMAKAB2ACwAMQApACwAQwBDACgAdgAsADIAKQAsAEMAQwAoAHYALAAzACkALABDAEMAKAB2ACwANAApACwAQwBDACgAdgAsADUAKQApACwAXABuADYALABmACgAQwBDACgAdgAsADEAKQAsAEMAQwAoAHYALAAyACkALABDAEMAKAB2ACwAMwApACwAQwBDACgAdgAsADQAKQAsAEMAQwAoAHYALAA1ACkALABDAEMAKAB2ACwANgApACkALABcAG4ANwAsAGYAKABDAEMAKAB2ACwAMQApACwAQwBDACgAdgAsADIAKQAsAEMAQwAoAHYALAAzACkALABDAEMAKAB2ACwANAApACwAQwBDACgAdgAsADUAKQAsAEMAQwAoAHYALAA2ACkALABDAEMAKAB2ACwANwApACkALABcAG4AOAAsAGYAKABDAEMAKAB2ACwAMQApACwAQwBDACgAdgAsADIAKQAsAEMAQwAoAHYALAAzACkALABDAEMAKAB2ACwANAApACwAQwBDACgAdgAsADUAKQAsAEMAQwAoAHYALAA2ACkALABDAEMAKAB2ACwANwApACwAQwBDACgAdgAsADgAKQApACwAXABuADkALABmACgAQwBDACgAdgAsADEAKQAsAEMAQwAoAHYALAAyACkALABDAEMAKAB2ACwAMwApACwAQwBDACgAdgAsADQAKQAsAEMAQwAoAHYALAA1ACkALABDAEMAKAB2ACwANgApACwAQwBDACgAdgAsADcAKQAsAEMAQwAoAHYALAA4ACkALABDAEMAKAB2ACwAOQApACkALABcAG4AMQAwACwAZgAoAEMAQwAoAHYALAAxACkALABDAEMAKAB2ACwAMgApACwAQwBDACgAdgAsADMAKQAsAEMAQwAoAHYALAA0ACkALABDAEMAKAB2ACwANQApACwAQwBDACgAdgAsADYAKQAsAEMAQwAoAHYALAA3ACkALABDAEMAKAB2ACwAOAApACwAQwBDACgAdgAsADkAKQAsAEMAQwAoAHYALAAxADAAKQApACwAXABuADEAMQAsAGYAKABDAEMAKAB2ACwAMQApACwAQwBDACgAdgAsADIAKQAsAEMAQwAoAHYALAAzACkALABDAEMAKAB2ACwANAApACwAQwBDACgAdgAsADUAKQAsAEMAQwAoAHYALAA2ACkALABDAEMAKAB2ACwANwApACwAQwBDACgAdgAsADgAKQAsAEMAQwAoAHYALAA5ACkALABDAEMAKAB2ACwAMQAwACkALABDAEMAKAB2ACwAMQAxACkAKQAsAFwAbgAxADIALABmACgAQwBDACgAdgAsADEAKQAsAEMAQwAoAHYALAAyACkALABDAEMAKAB2ACwAMwApACwAQwBDACgAdgAsADQAKQAsAEMAQwAoAHYALAA1ACkALABDAEMAKAB2ACwANgApACwAQwBDACgAdgAsADcAKQAsAEMAQwAoAHYALAA4ACkALABDAEMAKAB2ACwAOQApACwAQwBDACgAdgAsADEAMAApACwAQwBDACgAdgAsADEAMQApACwAQwBDACgAdgAsADEAMgApACkALABcAG4AMQAz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pACwAXABuADEANA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KQAsAFwAbgAxADU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kALABcAG4AMQA2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sAEMAQwAoAHYALAAxADYAKQApACwAXABuADEANw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LABDAEMAKAB2ACwAMQA3ACkAKQAsAFwAbgAxADgALABmACgAQwBDACgAdgAsADEAKQAsAEMAQwAoAHYALAAyACkALABDAEMAKAB2ACwAMwApACwAQwBDACgAdgAsADQAKQAsAEMAQwAoAHYALAA1ACkALABDAEMAKAB2ACwANgApACwAQwBDACgAdgAsADcAKQAsAEMAQwAoAHYALAA4ACkALABDAEMAKAB2ACwAOQApACwAQwBDACgAdgAsADEAMAApACwAQwBDACgAdgAsADEAMQApACwAQwBDACgAdgAsADEAMgApACwAQwBDACgAdgAsADEAMwApACwAQwBDACgAdgAsADEANAApACwAQwBDACgAdgAsADEANQApACwAQwBDACgAdgAsADEANgApACwAQwBDACgAdgAsADEANwApACwAQwBDACgAdgAsADEAOAApACkALABcAG4AMQA5ACwAZgAoAEMAQwAoAHYALAAxACkALABDAEMAKAB2ACwAMgApACwAQwBDACgAdgAsADMAKQAsAEMAQwAoAHYALAA0ACkALABDAEMAKAB2ACwANQApACwAQwBDACgAdgAsADYAKQAsAEMAQwAoAHYALAA3ACkALABDAEMAKAB2ACwAOAApACwAQwBDACgAdgAsADkAKQAsAEMAQwAoAHYALAAxADAAKQAsAEMAQwAoAHYALAAxADEAKQAsAEMAQwAoAHYALAAxADIAKQAsAEMAQwAoAHYALAAxADMAKQAsAEMAQwAoAHYALAAxADQAKQAsAEMAQwAoAHYALAAxADUAKQAsAEMAQwAoAHYALAAxADYAKQAsAEMAQwAoAHYALAAxADcAKQAsAEMAQwAoAHYALAAxADgAKQAsAEMAQwAoAHYALAAxADkAKQApACwAXABuADIAMAAsAGYAKABDAEMAKAB2ACwAMQApACwAQwBDACgAdgAsADIAKQAsAEMAQwAoAHYALAAzACkALABDAEMAKAB2ACwANAApACwAQwBDACgAdgAsADUAKQAsAEMAQwAoAHYALAA2ACkALABDAEMAKAB2ACwANwApACwAQwBDACgAdgAsADgAKQAsAEMAQwAoAHYALAA5ACkALABDAEMAKAB2ACwAMQAwACkALABDAEMAKAB2ACwAMQAxACkALABDAEMAKAB2ACwAMQAyACkALABDAEMAKAB2ACwAMQAzACkALABDAEMAKAB2ACwAMQA0ACkALABDAEMAKAB2ACwAMQA1ACkALABDAEMAKAB2ACwAMQA2ACkALABDAEMAKAB2ACwAMQA3ACkALABDAEMAKAB2ACwAMQA4ACkALABDAEMAKAB2ACwAMQA5ACkALABDAEMAKAB2ACwAMgAwACkAKQAsAFwAbgBcACIATgBlAGUAZAAgAHQAbwAgAGUAeAB0AGUAbgBkACAAdABoAGUAIABjAHUAcgByAHkAIABmAHUAbgBjAHQAaQBvAG4AXAAiACkAKQApADsAXABuAFwAbgAvAC8AVABoAGkAcwAgAGYAdQBuAGMAdABpAG8AbgAgAG0AaQBtAGkAYwBzACAAYQAgAFMAQwBBAE4ALAAgAGIAdQB0ACAAdABoAGUAIABpAG4AaQB0AGkAYQBsAF8AdgBhAGwAdQBlACAAaQBzACAAYQBuACAAYQByAHIAYQB5ACAAYwBhAGwAbABlAGQAIABpAG4AaQB0AGkAYQBsAF8AdgBhAGwAdQBlAF8AYQByAHIAYQB5AC4AXABuAC8ALwBUAGgAZQAgAGEAcgByAGEAeQAgAGkAcwAgAGEAIABnAHIAbwB1AHAAIABvAGYAIABjAG8AbAB1AG0AbgBzACAAdABvACAAdwBvAHIAawAgAHQAaAByAG8AdQBnAGgAIABhAHQAIABlAGEAYwBoACAAcgBvAHcALgBcAG4ALwAvAFQAaABlACAATABBAE0AQgBEAEEAIABmAHUAbgBjAHQAaQBvAG4AIABtAHUAcwB0ACAAcgBlAHQAdQByAG4AIABhACAAYwBvAGwAdQBtAG4AIABhAHIAcgBhAHkALgAgAFQAaABlACAAYwBvAGwAdQBtAG4AIABhAHIAcgBhAHkAIABtAHUAcwB0ACAAYgBlACAAYQB0ACAAbABlAGEAcwB0ACAAYQBzACAAbABvAG4AZwAgAGEAcwAgAHQAaABlACAAaQBuAGkAdABpAGEAbABfAHYAYQBsAHUAZQBfAGEAcgByAGEAeQAuAFwAbgBNAHUAbAB0AGkAUwBDAEEATgAgAD0ATABBAE0AQgBEAEEAKABpAG4AaQB0AGkAYQBsAF8AdgBhAGwAdQBlAF8AYQByAHIAYQB5ACwAYQByAHIAYQB5ACwAZgB1AG4AYwB0AGkAbwBuACwAXABuACAAIAAgACAAIAAgACAAIAAgACAAIAAgACAAIAAgACAAIAAgACAAIAAgACAAIABMAEUAVAAoAHAAcgBlAHYAXwBzAGkAegBlACwAQwBPAEwAVQBNAE4AUwAoAGkAbgBpAHQAaQBhAGwAXwB2AGEAbAB1AGUAXwBhAHIAcgBhAHkAKQAsAFwAbgAgACAAIAAgACAAIAAgACAAIAAgACAAIAAgACAAIAAgACAAIAAgACAAIAAgACAAIAAgACAAIABhAHIAcgBfAHMAaQB6AGUALABSAE8AVwBTACgAYQByAHIAYQB5ACkALABcAG4AIAAgACAAIAAgACAAIAAgACAAIAAgACAAIAAgACAAIAAgACAAIAAgACAAIAAgACAAIAAgACAAcABhAHIAYQBfAHYAZQBjAHQAbwByACwASABTAFQAQQBDAEsAKABDAEgATwBPAFMARQBSAE8AVwBTACgAaQBuAGkAdABpAGEAbABfAHYAYQBsAHUAZQBfAGEAcgByAGEAeQAsADEAKQAsAEMASABPAE8AUwBFAFIATwBXAFMAKABhAHIAcgBhAHkALAAxACkAKQAsAFwAbgAgACAAIAAgACAAIAAgACAAIAAgACAAIAAgACAAIAAgACAAIAAgACAAIAAgACAAIAAgACAAIAByAGUAcwB1AGwAdAAsACAAQwB1AHIAcgB5ACgAcABhAHIAYQBfAHYAZQBjAHQAbwByACwAZgB1AG4AYwB0AGkAbwBuACkALABcAG4AIAAgACAAIAAgACAAIAAgACAAIAAgACAAIAAgACAAIAAgACAAIAAgACAAIAAgACAAIAAgACAAaABvAGwAZABvAHYAZQByACwAVABBAEsARQAoAHIAZQBzAHUAbAB0ACwAMQAsAHAAcgBlAHYAXwBzAGkAegBlACkALABcAG4AIAAgACAAIAAgACAAIAAgACAAIAAgACAAIAAgACAAIAAgACAAIAAgACAAIAAgACAAIAAgACAASQBGACgAYQByAHIAXwBzAGkAegBlAC0AMQA9ADAALAByAGUAcwB1AGwAdAAsAFYAUwBUAEEAQwBLACgAcgBlAHMAdQBsAHQALAAgAE0AdQBsAHQAaQBTAGMAYQBuACgAaABvAGwAZABvAHYAZQByACwARABSAE8AUAAoAGEAcgByAGEAeQAsADEAKQAsAGYAdQBuAGMAdABpAG8AbgApACkAKQApACkAOwBcAG4AXABuAC8ALwBUAGgAaQBzACAAZgB1AG4AYwB0AGkAbwBuACAAbQBpAG0AaQBjAHMAIABhACAAUwBDAEEATgAsACAAYgB1AHQAIAB0AGgAZQAgAGkAbgBpAHQAaQBhAGwAXwB2AGEAbAB1AGUAIABpAHMAIABhAG4AIABhAHIAcgBhAHkAIABjAGEAbABsAGUAZAAgAGkAbgBpAHQAaQBhAGwAXwB2AGEAbAB1AGUAXwBhAHIAcgBhAHkALgBcAG4ALwAvAFQAaABlACAAYQByAHIAYQB5ACAAaQBzACAAYQAgAGcAcgBvAHUAcAAgAG8AZgAgAGMAbwBsAHUAbQBuAHMAIAB0AG8AIAB3AG8AcgBrACAAdABoAHIAbwB1AGcAaAAgAGEAdAAgAGUAYQBjAGgAIAByAG8AdwAuAFwAbgAvAC8AVABoAGUAIABMAEEATQBCAEQAQQAgAGYAdQBuAGMAdABpAG8AbgAgAG0AdQBzAHQAIAByAGUAdAB1AHIAbgAgAGEAIABjAG8AbAB1AG0AbgAgAGEAcgByAGEAeQAuACAAVABoAGUAIABjAG8AbAB1AG0AbgAgAGEAcgByAGEAeQAgAG0AdQBzAHQAIABiAGUAIABhAHQAIABsAGUAYQBzAHQAIABhAHMAIABsAG8AbgBnACAAYQBzACAAdABoAGUAIABpAG4AaQB0AGkAYQBsAF8AdgBhAGwAdQBlAF8AYQByAHIAYQB5AC4AXAB0AFwAdABcAHQAXAB0AFwAdAAgACAAIABcAG4ALwAvAEkAbABsAHUAcwB0AHIAYQB0AGUAIAB3AG8AcgBrAHMAIABsAGkAawBlACAATQB1AGwAaQB0AFMAQwBBAE4AIABhAG4AZAAgAGEAZABkAHMAIABhACAAaABlAGEAZABlAHIAIABhAHQAIAB0AGgAZQAgAHQAbwBwAC4AXABuAEkAbABsAHUAcwB0AHIAYQB0AGUAIAA9AEwAQQBNAEIARABBACgAaQBuAGkAdABpAGEAbABfAHYAYQBsAHUAZQBfAGEAcgByAGEAeQAsAGEAcgByAGEAeQAsAGYAdQBuAGMAdABpAG8AbgAsAGgAZQBhAGQAZQByACwAVgBTAFQAQQBDAEsAKABoAGUAYQBkAGUAcgAsAE0AdQBsAHQAaQBTAGMAYQBuACgAaQBuAGkAdABpAGEAbABfAHYAYQBsAHUAZQBfAGEAcgByAGEAeQAsAGEAcgByAGEAeQAsAGYAdQBuAGMAdABpAG8AbgApACkAKQA7ACIAfQBdACwAIgBwAHIAbwBqAGUAYwB0AE4AYQBtAGUAcwAiADoAWwAiAFYAQQAuAFcAaQB0AGgAZAByAGEAdwBhAGwAUABlAG4AYQBsAHQAeQAiACwAIgBWAEEALgBJAG4AYwBvAG0AZQBDAHIAZQBkAGkAdABCAGEAcwBlACIALAAiAFYAQQAuAEkAbgBjAG8AbQBlAEMAcgBlAGQAaQB0ACIALAAiAFYAQQAuAEEAbgBuAGkAdgBlAHIAcwBhAHIAeQBDAHYAIgAsACIAVgBBAC4ASQBuAGkAdABpAGEAbABDAHUAcgByAGUAbgB0AEkAbgBjAG8AbQBlAEIAYQBzAGUAIgAsACIAVgBBAC4ASQBuAGMAbwBtAGUAQgBhAHMAZQBBAGQAagB1AHMAdABtAGUAbgB0ACIALAAiAFYAQQAuAEkAbgBjAG8AbQBlAEIAYQBzAGUAIgAsACIAVgBBAC4ATQBhAHgAQQBsAGwAbwB3AGEAYgBsAGUAVwBkAEEAbQBvAHUAbgB0ACIALAAiAFYAQQAuAE0AYQB3AFMAdABhAGMAawAiACwAIgBWAEEALgBQAHIAbwB0AGUAYwB0AGUAZABJAG4AYwBvAG0AZQBQAGEAeQBtAGUAbgB0ACIALAAiAFYAQQAuAEkAcwBBAG4AbgBpAHYAZQByAHMAYQByAHkAIgAsACIAVgBBAC4ASQBzAEEAYwB0AGkAdgBhAHQAZQBkACIALAAiAFYAQQAuAE0AYQB4AFMAdABlAHAAVgBhAGwAdQBlAFAAcgBlAHYAaQBvAHUAcwBZAGUAYQByACIALAAiAFYAQQAuAFcAZABIAGEAaQByAGMAdQB0AEIAZQBmAG8AcgBlAEEAYwB0AGkAdgBhAHQAaQBvAG4AIgAsACIAVgBBAC4AVwBkAEgAYQBpAHIAYwB1AHQAQQBmAHQAZQByAEEAYwB0AGkAdgBhAHQAaQBvAG4AIgAsACIAVgBBAC4ASQBuAHQAZQByAGUAcwB0AE8AbgBQAGEAeQBtAGUAbgB0AHMAIgAsACIAVgBBAC4AUwB0AGUAcABVAHAAVgBhAGwAdQBlACIALAAiAFYAQQAuAFAAcgBlAEEAYwB0AGkAdgBhAHQAaQBvAG4ASQBuAGMAbwBtAGUAQgBhAHMAZQAiACwAIgBWAEEALgBQAG8AcwB0AEEAYwB0AGkAdgBhAHQAaQBvAG4ASQBuAGMAbwBtAGUAQgBhAHMAZQAiACwAIgBWAEEALgBXAGkAdABoAGQAcgBhAHcAYQBsAFAAZQBuAGEAbAB0AHkARABhAGkAbAB5ACIALAAiAFYAQQAuAE0AYQB4AEEAbABsAG8AdwBXAGQAQQBtAG8AdQBuAHQARABhAGkAbAB5ACIALAAiAFYAQQAuAE0AYQB3AFMAdABhAGMAawBEAGEAaQBsAHkAIgAsACIAVgBBAC4AUAByAG8AdABlAGMAdABlAGQASQBuAGMAbwBtAGUARABhAGkAbAB5ACIALAAiAFUAdABpAGwAcwAuAE4AZQB3AHQAbwBuAFIAYQBwAGgAcwBvAG4AIgAsACIAVQB0AGkAbABzAC4ATQBvAHIAdABTAG8AYQBPAHIAZwBBAGQAZAByAGUAcwBzACIALAAiAFUAdABpAGwAcwAuAGUAcgByAG8AcgBNAGUAcwBzAGEAZwBlACIALAAiAFUAdABpAGwAcwAuAEcAZQB0AE0AbwByAHQAUwBvAGEATwByAGcAVABhAGIAbABlAEkAZABzAEEAbgBkAE4AYQBtAGUAcwAiACwAIgBVAHQAaQBsAHMALgBGAGkAbAB0AGUAcgBNAG8AcgB0AFMAbwBhAE8AcgBnAEEAYwB0AGkAdgBlAFQAYQBiAGwAZQBJAGQAcwBBAG4AZABOAGEAbQBlAHMAIgAsACIAVQB0AGkAbABzAC4ARwBlAHQATQBvAHIAdABhAGwAaQB0AHkAVABhAGIAbABlACIALAAiAFUAdABpAGwAcwAuAEMAbwBtAGIAbwBTAEMAQQBOADIAIgAsACIAVQB0AGkAbABzAC4AQwBvAG0AYgBvAFMAQwBBAE4AMwAiACwAIgBVAHQAaQBsAHMALgBDAG8AbQBiAG8AUwBDAEEATgA0ACIALAAiAFUAdABpAGwAcwAuAEMAbwBtAGIAbwBTAEMAQQBOADUAIgAsACIAVQB0AGkAbABzAC4AQwBvAG0AYgBvAFMAQwBBAE4ANgAiACwAIgBVAHQAaQBsAHMALgBDAEMAIgAsACIAVQB0AGkAbABzAC4AQwB1AHIAcgB5ACIALAAiAFUAdABpAGwAcwAuAE0AdQBsAHQAaQBTAEMAQQBOACIALAAiAFUAdABpAGwAcwAuAEkAbABsAHUAcwB0AHIAYQB0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17F66A6-C359-4C14-9222-3C4529CC079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Glossary</vt:lpstr>
      <vt:lpstr>Example Doc</vt:lpstr>
      <vt:lpstr>Order of Operation</vt:lpstr>
      <vt:lpstr>How It Works</vt:lpstr>
      <vt:lpstr>Calculation D 8+ StructRef</vt:lpstr>
      <vt:lpstr>Calculation D 8+ Classic</vt:lpstr>
      <vt:lpstr>Calculation D 8+ MAPS</vt:lpstr>
      <vt:lpstr>Calculation D 8+ DYN</vt:lpstr>
      <vt:lpstr>Sheet1</vt:lpstr>
      <vt:lpstr>Activation_Time</vt:lpstr>
      <vt:lpstr>InitialPurchasePayment</vt:lpstr>
      <vt:lpstr>MAW</vt:lpstr>
      <vt:lpstr>Minimum_Income_Base_Percentage</vt:lpstr>
      <vt:lpstr>Payments</vt:lpstr>
      <vt:lpstr>PaymentTimes</vt:lpstr>
      <vt:lpstr>PIP</vt:lpstr>
      <vt:lpstr>Purchase_Pay_0_Time</vt:lpstr>
      <vt:lpstr>Purchase_Pay_1</vt:lpstr>
      <vt:lpstr>Purchase_Pay_1_Time</vt:lpstr>
      <vt:lpstr>Purchase_Pay_2</vt:lpstr>
      <vt:lpstr>Purchase_Pay_2_Time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Bryon Robidoux</cp:lastModifiedBy>
  <dcterms:created xsi:type="dcterms:W3CDTF">2021-12-27T15:58:30Z</dcterms:created>
  <dcterms:modified xsi:type="dcterms:W3CDTF">2024-12-07T02:38:07Z</dcterms:modified>
</cp:coreProperties>
</file>