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32\Google Drive\PAF Papers\Excel Paper\"/>
    </mc:Choice>
  </mc:AlternateContent>
  <xr:revisionPtr revIDLastSave="0" documentId="13_ncr:1_{AD8AB1EF-A9A4-4582-BEC8-77A5B2FF14CF}" xr6:coauthVersionLast="47" xr6:coauthVersionMax="47" xr10:uidLastSave="{00000000-0000-0000-0000-000000000000}"/>
  <bookViews>
    <workbookView xWindow="-120" yWindow="-120" windowWidth="29040" windowHeight="15720" tabRatio="796" firstSheet="4" activeTab="9" xr2:uid="{CEBF006A-A518-4AB7-9A76-15366DBD2099}"/>
  </bookViews>
  <sheets>
    <sheet name="Prospectus" sheetId="22" r:id="rId1"/>
    <sheet name="Glossary" sheetId="14" r:id="rId2"/>
    <sheet name="Example Doc" sheetId="15" r:id="rId3"/>
    <sheet name="How It Works" sheetId="16" r:id="rId4"/>
    <sheet name="Orders of Operation" sheetId="17" r:id="rId5"/>
    <sheet name="Calculation D - Classic" sheetId="13" r:id="rId6"/>
    <sheet name="Calc D - Classic No Offset" sheetId="24" r:id="rId7"/>
    <sheet name="Calculation D - MAPS" sheetId="18" r:id="rId8"/>
    <sheet name="Scan Examples" sheetId="19" r:id="rId9"/>
    <sheet name="Calculation D - Dynamics" sheetId="21" r:id="rId10"/>
    <sheet name="Sheet1" sheetId="25" r:id="rId11"/>
  </sheets>
  <externalReferences>
    <externalReference r:id="rId12"/>
  </externalReferences>
  <definedNames>
    <definedName name="ActivationPeriod" localSheetId="6">'Calc D - Classic No Offset'!$B$2</definedName>
    <definedName name="ActivationPeriod">'Calculation D - Classic'!$B$2</definedName>
    <definedName name="IncCredRate" localSheetId="6">'Calc D - Classic No Offset'!$B$3</definedName>
    <definedName name="IncCredRate">'Calculation D - Classic'!$B$3</definedName>
    <definedName name="InitialPurchasePayment">[1]Homework!$B$2</definedName>
    <definedName name="invest1">[1]Homework!$B$21</definedName>
    <definedName name="invest2">[1]Homework!$B$22</definedName>
    <definedName name="MawRate" localSheetId="6">'Calc D - Classic No Offset'!$B$5</definedName>
    <definedName name="MawRate">'Calculation D - Classic'!$B$5</definedName>
    <definedName name="Periods">'Calculation D - MAPS'!$B$1</definedName>
    <definedName name="pipRate" localSheetId="6">'Calc D - Classic No Offset'!$B$6</definedName>
    <definedName name="pipRate">'Calculation D - Classic'!$B$6</definedName>
    <definedName name="Utils.CC">_xlfn.LAMBDA(_xlpm.Array,_xlpm.index, _xlfn.CHOOSECOLS(_xlpm.Array, _xlpm.index))</definedName>
    <definedName name="Utils.ComboSCAN2">_xlfn.LAMBDA(_xlpm.initValue,_xlpm.array1,_xlpm.array2,_xlpm.function, _xlfn.LET(_xlpm.closure, _xlfn.MAP(_xlpm.array1, _xlpm.array2, _xlfn.LAMBDA(_xlpm.a,_xlpm.b, _xlfn.LAMBDA(_xlpm.c, _xlpm.function(_xlpm.a, _xlpm.b, _xlpm.c)))), _xlpm.processSeries, _xlfn.LAMBDA(_xlpm.prevValue,_xlpm.func, _xlpm.func(_xlpm.prevValue)), _xlfn.SCAN(_xlpm.initValue, _xlpm.closure, _xlpm.processSeries)))</definedName>
    <definedName name="Utils.ComboSCAN3">_xlfn.LAMBDA(_xlpm.initValue,_xlpm.array1,_xlpm.array2,_xlpm.array3,_xlpm.function, _xlfn.LET(_xlpm.closure, _xlfn.MAP(_xlpm.array1, _xlpm.array2, _xlpm.array3, _xlfn.LAMBDA(_xlpm.a,_xlpm.b,_xlpm.c, _xlfn.LAMBDA(_xlpm.d, _xlpm.function(_xlpm.a, _xlpm.b, _xlpm.c, _xlpm.d)))), _xlpm.processSeries, _xlfn.LAMBDA(_xlpm.prevValue,_xlpm.func, _xlpm.func(_xlpm.prevValue)), _xlfn.SCAN(_xlpm.initValue, _xlpm.closure, _xlpm.processSeries)))</definedName>
    <definedName name="Utils.ComboSCAN4">_xlfn.LAMBDA(_xlpm.initValue,_xlpm.array1,_xlpm.array2,_xlpm.array3,_xlpm.array4,_xlpm.function, _xlfn.LET(_xlpm.closure, _xlfn.MAP(_xlpm.array1, _xlpm.array2, _xlpm.array3, _xlpm.array4, _xlfn.LAMBDA(_xlpm.a,_xlpm.b,_xlpm.c,_xlpm.d, _xlfn.LAMBDA(_xlpm.e, _xlpm.function(_xlpm.a, _xlpm.b, _xlpm.c, _xlpm.d, _xlpm.e)))), _xlpm.processSeries, _xlfn.LAMBDA(_xlpm.prevValue,_xlpm.func, _xlpm.func(_xlpm.prevValue)), _xlfn.SCAN(_xlpm.initValue, _xlpm.closure, _xlpm.processSeries)))</definedName>
    <definedName name="Utils.ComboSCAN5">_xlfn.LAMBDA(_xlpm.initValue,_xlpm.array1,_xlpm.array2,_xlpm.array3,_xlpm.array4,_xlpm.array5,_xlpm.function, _xlfn.LET(_xlpm.closure, _xlfn.MAP(_xlpm.array1, _xlpm.array2, _xlpm.array3, _xlpm.array4, _xlpm.array5, _xlfn.LAMBDA(_xlpm.a,_xlpm.b,_xlpm.c,_xlpm.d,_xlpm.e, _xlfn.LAMBDA(_xlpm.f, _xlpm.function(_xlpm.a, _xlpm.b, _xlpm.c, _xlpm.d, _xlpm.e, _xlpm.f)))), _xlpm.processSeries, _xlfn.LAMBDA(_xlpm.prevValue,_xlpm.func, _xlpm.func(_xlpm.prevValue)), _xlfn.SCAN(_xlpm.initValue, _xlpm.closure, _xlpm.processSeries)))</definedName>
    <definedName name="Utils.ComboSCAN6">_xlfn.LAMBDA(_xlpm.initValue,_xlpm.array1,_xlpm.array2,_xlpm.array3,_xlpm.array4,_xlpm.array5,_xlpm.array6,_xlpm.function, _xlfn.LET(_xlpm.closure, _xlfn.MAP(_xlpm.array1, _xlpm.array2, _xlpm.array3, _xlpm.array4, _xlpm.array5, _xlpm.array6, _xlfn.LAMBDA(_xlpm.a,_xlpm.b,_xlpm.c,_xlpm.d,_xlpm.e,_xlpm.f, _xlfn.LAMBDA(_xlpm.g, _xlpm.function(_xlpm.a, _xlpm.b, _xlpm.c, _xlpm.d, _xlpm.e, _xlpm.f, _xlpm.g)))), _xlpm.processSeries, _xlfn.LAMBDA(_xlpm.prevValue,_xlpm.func, _xlpm.func(_xlpm.prevValue)), _xlfn.SCAN(_xlpm.initValue, _xlpm.closure, _xlpm.processSeries)))</definedName>
    <definedName name="Utils.errorMessage">"Does Not Exist"</definedName>
    <definedName name="Utils.FilterMortSoaOrgActiveTableIdsAndNames">_xlfn.LAMBDA(_xlpm.twoColumnArray, _xlfn.LET(_xlpm.r, _xlpm.twoColumnArray, _xlfn._xlws.FILTER(_xlpm.r, OFFSET(_xlpm.r, 0, 1, , 1) &lt;&gt; Utils.errorMessage)))</definedName>
    <definedName name="Utils.GetMortalityTable">_xlfn.LAMBDA(_xlpm.TableID,_xlpm.MinAge_,_xlpm.MaxAge_, _xlfn.LET(_xlpm.MinAge, IF(_xlfn.ISOMITTED(_xlpm.MinAge_), 0, _xlpm.MinAge_), _xlpm.MaxAge, IF(_xlfn.ISOMITTED(_xlpm.MaxAge_), 120, _xlpm.MaxAge_), _xlpm.FileType, ".xml", _xlpm.SearchString, "//@t | //Y", _xlpm.TableName, _xlfn.ENCODEURL("t" &amp; _xlpm.TableID), _xlpm.MortTbl, _xlfn.WRAPROWS(_xlfn.FILTERXML(_xlfn.WEBSERVICE(Utils.MortSoaOrgAddress &amp; _xlpm.TableName &amp; _xlpm.FileType), _xlpm.SearchString), 2), _xlfn._xlws.FILTER(_xlpm.MortTbl, (INDEX(_xlpm.MortTbl, 0, 2) &gt; _xlpm.MinAge) * (INDEX(_xlpm.MortTbl, 0, 2) &lt; _xlpm.MaxAge))))</definedName>
    <definedName name="Utils.GetMortSoaOrgTableIdsAndNames">_xlfn.LAMBDA(_xlpm.tableNumber, _xlfn.LET(_xlpm.fileName, Utils.MortSoaOrgAddress &amp; "t" &amp; _xlpm.tableNumber &amp; ".xml", _xlpm.xpath, "//TableName", _xlpm.filteredXml, _xlfn.FILTERXML(_xlfn.WEBSERVICE(_xlpm.fileName), _xlpm.xpath), _xlpm.item1, _xlpm.tableNumber, _xlpm.item2, IFERROR(_xlpm.filteredXml, Utils.errorMessage), _xlfn.HSTACK(_xlpm.item1, _xlpm.item2)))</definedName>
    <definedName name="Utils.Illustrate">_xlfn.LAMBDA(_xlpm.initial_value_array,_xlpm.array,_xlpm.function,_xlpm.header, _xlfn.VSTACK(_xlpm.header, Utils.MultiSCAN(_xlpm.initial_value_array, _xlpm.array, _xlpm.function)))</definedName>
    <definedName name="Utils.MortSoaOrgAddress">"https://mort.soa.org/data/"</definedName>
    <definedName name="Utils.MultiSCAN">_xlfn.LAMBDA(_xlpm.initial_value_array,_xlpm.array,_xlpm.function, _xlfn.LET(_xlpm.prev_size, COLUMNS(_xlpm.initial_value_array), _xlpm.arr_size, ROWS(_xlpm.array), _xlpm.para_vector, _xlfn.HSTACK(_xlfn.CHOOSEROWS(_xlpm.initial_value_array, 1), _xlfn.CHOOSEROWS(_xlpm.array, 1)), _xlpm.result, Utils.Tuplizer(_xlpm.para_vector, _xlpm.function), _xlpm.holdover, _xlfn.TAKE(_xlpm.result, 1, _xlpm.prev_size), IF(_xlpm.arr_size - 1 = 0, _xlpm.result, _xlfn.VSTACK(_xlpm.result, Utils.MultiSCAN(_xlpm.holdover, _xlfn.DROP(_xlpm.array, 1), _xlpm.function)))))</definedName>
    <definedName name="Utils.NewtonRaphson">_xlfn.LAMBDA(_xlpm.guess,_xlpm.y,_xlpm.dy,_xlpm.tolerance_, _xlfn.LET(_xlpm.xn, _xlpm.guess, _xlpm.tolerance, IF(_xlfn.ISOMITTED(_xlpm.tolerance_), 0.0001, _xlpm.tolerance_), _xlpm.xn_1, _xlpm.xn - _xlpm.y(_xlpm.xn) / _xlpm.dy(_xlpm.xn), IF(ABS(_xlpm.xn_1 - _xlpm.xn) &lt; _xlpm.tolerance, _xlpm.xn, Utils.NewtonRaphson(_xlpm.xn_1, _xlpm.y, _xlpm.dy, _xlpm.tolerance))))</definedName>
    <definedName name="Utils.Tuplizer">_xlfn.LAMBDA(_xlpm.array,_xlpm.function, _xlfn.LET(_xlpm.f, _xlpm.function, _xlpm.v, _xlfn.CHOOSEROWS(_xlpm.array, 1), _xlfn.SWITCH(COLUMNS(_xlpm.array), 1, _xlpm.f(Utils.CC(_xlpm.v, 1)), 2, _xlpm.f(Utils.CC(_xlpm.v, 1), Utils.CC(_xlpm.v, 2)), 3, _xlpm.f(Utils.CC(_xlpm.v, 1), Utils.CC(_xlpm.v, 2), Utils.CC(_xlpm.v, 3)), 4, _xlpm.f(Utils.CC(_xlpm.v, 1), Utils.CC(_xlpm.v, 2), Utils.CC(_xlpm.v, 3), Utils.CC(_xlpm.v, 4)), 5, _xlpm.f(Utils.CC(_xlpm.v, 1), Utils.CC(_xlpm.v, 2), Utils.CC(_xlpm.v, 3), Utils.CC(_xlpm.v, 4), Utils.CC(_xlpm.v, 5)), 6, _xlpm.f(Utils.CC(_xlpm.v, 1), Utils.CC(_xlpm.v, 2), Utils.CC(_xlpm.v, 3), Utils.CC(_xlpm.v, 4), Utils.CC(_xlpm.v, 5), Utils.CC(_xlpm.v, 6)), 7, _xlpm.f(Utils.CC(_xlpm.v, 1), Utils.CC(_xlpm.v, 2), Utils.CC(_xlpm.v, 3), Utils.CC(_xlpm.v, 4), Utils.CC(_xlpm.v, 5), Utils.CC(_xlpm.v, 6), Utils.CC(_xlpm.v, 7)), 8, _xlpm.f(Utils.CC(_xlpm.v, 1), Utils.CC(_xlpm.v, 2), Utils.CC(_xlpm.v, 3), Utils.CC(_xlpm.v, 4), Utils.CC(_xlpm.v, 5), Utils.CC(_xlpm.v, 6), Utils.CC(_xlpm.v, 7), Utils.CC(_xlpm.v, 8)), 9, _xlpm.f(Utils.CC(_xlpm.v, 1), Utils.CC(_xlpm.v, 2), Utils.CC(_xlpm.v, 3), Utils.CC(_xlpm.v, 4), Utils.CC(_xlpm.v, 5), Utils.CC(_xlpm.v, 6), Utils.CC(_xlpm.v, 7), Utils.CC(_xlpm.v, 8), Utils.CC(_xlpm.v, 9)), 10, _xlpm.f(Utils.CC(_xlpm.v, 1), Utils.CC(_xlpm.v, 2), Utils.CC(_xlpm.v, 3), Utils.CC(_xlpm.v, 4), Utils.CC(_xlpm.v, 5), Utils.CC(_xlpm.v, 6), Utils.CC(_xlpm.v, 7), Utils.CC(_xlpm.v, 8), Utils.CC(_xlpm.v, 9), Utils.CC(_xlpm.v, 10)), 11, _xlpm.f(Utils.CC(_xlpm.v, 1), Utils.CC(_xlpm.v, 2), Utils.CC(_xlpm.v, 3), Utils.CC(_xlpm.v, 4), Utils.CC(_xlpm.v, 5), Utils.CC(_xlpm.v, 6), Utils.CC(_xlpm.v, 7), Utils.CC(_xlpm.v, 8), Utils.CC(_xlpm.v, 9), Utils.CC(_xlpm.v, 10), Utils.CC(_xlpm.v, 11)), 12, _xlpm.f(Utils.CC(_xlpm.v, 1), Utils.CC(_xlpm.v, 2), Utils.CC(_xlpm.v, 3), Utils.CC(_xlpm.v, 4), Utils.CC(_xlpm.v, 5), Utils.CC(_xlpm.v, 6), Utils.CC(_xlpm.v, 7), Utils.CC(_xlpm.v, 8), Utils.CC(_xlpm.v, 9), Utils.CC(_xlpm.v, 10), Utils.CC(_xlpm.v, 11), Utils.CC(_xlpm.v, 12)), 13,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13)), 14,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14)), 15,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14), Utils.CC(_xlpm.v, 15)), _xlpm.f())))</definedName>
    <definedName name="VA.IncomeCredit" localSheetId="6">_xlfn.LAMBDA(_xlpm.payPeriod,_xlpm.prevIncomeCreditBase,_xlpm.isActivated,_xlpm.isAnniversary, _xlfn.LET(_xlpm.picb, IF(_xlpm.payPeriod &gt; 0, _xlpm.prevIncomeCreditBase, 0), _xlpm.isPreSysWdOnAnniversary, AND(NOT(_xlpm.isActivated), _xlpm.isAnniversary), IF(_xlpm.isPreSysWdOnAnniversary, _xlpm.picb * 'Calc D - Classic No Offset'!IncCredRate, 0)))</definedName>
    <definedName name="VA.IncomeCredit">_xlfn.LAMBDA(_xlpm.payPeriod,_xlpm.prevIncomeCreditBase,_xlpm.isActivated,_xlpm.isAnniversary, _xlfn.LET(_xlpm.picb, IF(_xlpm.payPeriod &gt; 0, _xlpm.prevIncomeCreditBase, 0), _xlpm.isPreSysWdOnAnniversary, AND(NOT(_xlpm.isActivated), _xlpm.isAnniversary), IF(_xlpm.isPreSysWdOnAnniversary, _xlpm.picb * IncCredRate, 0)))</definedName>
    <definedName name="VA.IncomeCreditBase">_xlfn.LAMBDA(_xlpm.isActivated,_xlpm.isAnniversary,_xlpm.hasIncomeCredit,_xlpm.anniversaryCv,_xlpm.purchasePayments,_xlpm.wdPenaltyMult,_xlpm.prevIncomeCreditBase, IF(NOT(_xlpm.isActivated), IF(_xlpm.hasIncomeCredit, _xlpm.prevIncomeCreditBase, IF(_xlpm.isAnniversary, MAX(_xlpm.prevIncomeCreditBase, _xlpm.anniversaryCv + _xlpm.purchasePayments), _xlpm.prevIncomeCreditBase + _xlpm.purchasePayments)) * _xlpm.wdPenaltyMult, 0))</definedName>
    <definedName name="VA.IsActivated">_xlfn.LAMBDA(_xlpm.payPeriod,_xlpm.activationPeriod, _xlpm.payPeriod &gt;= _xlpm.activationPeriod)</definedName>
    <definedName name="VA.IsAnniversary">_xlfn.LAMBDA(_xlpm.payPeriod, _xlpm.payPeriod - INT(_xlpm.payPeriod) = 0)</definedName>
    <definedName name="VA.MawStack" localSheetId="6">_xlfn.LAMBDA(_xlpm.prevCv,_xlpm.prevIB,_xlpm.prevICB,_xlpm.prevMawa,_xlpm.payPeriod,_xlpm.wdTaken,_xlpm.cv,_xlpm.isAnniversary,_xlpm.isActivated,_xlpm.purchasePayments,_xlpm.mawdRate, _xlfn.LET(_xlpm.noWd, 1, _xlpm.anniversaryCv, IF(OR(NOT(_xlpm.isAnniversary), _xlpm.payPeriod = 0), 0, _xlpm.cv), _xlpm.wdPenaltyMult, [0]!VA.WithdrawalPenalty(_xlpm.isActivated, _xlpm.wdTaken, _xlpm.prevCv, _xlpm.cv, _xlpm.prevMawa), _xlpm.initialCurrIB, IF(_xlpm.isAnniversary, MAX(_xlpm.prevIB, _xlpm.anniversaryCv + _xlpm.purchasePayments), _xlpm.prevIB + _xlpm.purchasePayments) * _xlpm.wdPenaltyMult, _xlpm.delta, _xlpm.initialCurrIB - _xlpm.prevIB, _xlpm.incomeCredit, 'Calc D - Classic No Offset'!VA.IncomeCredit(_xlpm.payPeriod, _xlpm.prevICB, _xlpm.isActivated, _xlpm.isAnniversary), _xlpm.adjustment, IF(AND(_xlpm.isAnniversary, NOT(_xlpm.isActivated)), MAX(0, _xlpm.incomeCredit - _xlpm.delta), 0), _xlpm.hasIncomeCredit, _xlpm.adjustment &gt; 0, _xlpm.incomeCreditBase, [0]!VA.IncomeCreditBase(_xlpm.isActivated, _xlpm.isAnniversary, _xlpm.hasIncomeCredit, _xlpm.anniversaryCv, _xlpm.purchasePayments, _xlpm.wdPenaltyMult, _xlpm.prevICB), _xlpm.incomeBase, _xlpm.initialCurrIB + _xlpm.adjustment, _xlpm.mawa, IF(_xlpm.cv &gt; 0, _xlpm.incomeBase * _xlpm.mawdRate, 0), _xlfn.HSTACK(_xlpm.cv, _xlpm.incomeBase, _xlpm.incomeCreditBase, _xlpm.mawa, _xlpm.wdPenaltyMult, _xlpm.adjustment, _xlpm.incomeCredit)))</definedName>
    <definedName name="VA.MawStack">_xlfn.LAMBDA(_xlpm.prevCv,_xlpm.prevIB,_xlpm.prevICB,_xlpm.prevMawa,_xlpm.payPeriod,_xlpm.wdTaken,_xlpm.cv,_xlpm.isAnniversary,_xlpm.isActivated,_xlpm.purchasePayments,_xlpm.mawdRate, _xlfn.LET(_xlpm.noWd, 1, _xlpm.anniversaryCv, IF(OR(NOT(_xlpm.isAnniversary), _xlpm.payPeriod = 0), 0, _xlpm.cv), _xlpm.wdPenaltyMult, VA.WithdrawalPenalty(_xlpm.isActivated, _xlpm.wdTaken, _xlpm.prevCv, _xlpm.cv, _xlpm.prevMawa), _xlpm.initialCurrIB, IF(_xlpm.isAnniversary, MAX(_xlpm.prevIB, _xlpm.anniversaryCv + _xlpm.purchasePayments), _xlpm.prevIB + _xlpm.purchasePayments) * _xlpm.wdPenaltyMult, _xlpm.delta, _xlpm.initialCurrIB - _xlpm.prevIB, _xlpm.incomeCredit, VA.IncomeCredit(_xlpm.payPeriod, _xlpm.prevICB, _xlpm.isActivated, _xlpm.isAnniversary), _xlpm.adjustment, IF(AND(_xlpm.isAnniversary, NOT(_xlpm.isActivated)), MAX(0, _xlpm.incomeCredit - _xlpm.delta), 0), _xlpm.hasIncomeCredit, _xlpm.adjustment &gt; 0, _xlpm.incomeCreditBase, VA.IncomeCreditBase(_xlpm.isActivated, _xlpm.isAnniversary, _xlpm.hasIncomeCredit, _xlpm.anniversaryCv, _xlpm.purchasePayments, _xlpm.wdPenaltyMult, _xlpm.prevICB), _xlpm.incomeBase, _xlpm.initialCurrIB + _xlpm.adjustment, _xlpm.mawa, IF(_xlpm.cv &gt; 0, _xlpm.incomeBase * _xlpm.mawdRate, 0), _xlfn.HSTACK(_xlpm.cv, _xlpm.incomeBase, _xlpm.incomeCreditBase, _xlpm.mawa, _xlpm.wdPenaltyMult, _xlpm.adjustment, _xlpm.incomeCredit)))</definedName>
    <definedName name="VA.ProtectedIncomePayment">_xlfn.LAMBDA(_xlpm.cv,_xlpm.incomeBase,_xlpm.pip_rate, IF(_xlpm.cv = 0, _xlpm.pip_rate * _xlpm.incomeBase, 0))</definedName>
    <definedName name="VA.Simple">_xlfn.LAMBDA(_xlpm.time,_xlpm.rate, (1 + _xlpm.rate * INT(_xlpm.time)))</definedName>
    <definedName name="VA.WithdrawalPenalty">_xlfn.LAMBDA(_xlpm.isActivated,_xlpm.wdTaken,_xlpm.pCv,_xlpm.cv,_xlpm.pMaw, _xlfn.LET(_xlpm.noWd, 1, _xlpm.preActivationWd, 1 - MAX(0, _xlpm.wdTaken - _xlpm.pMaw) / (_xlpm.pCv - _xlpm.pMaw), _xlpm.postActivationWd, 1 - _xlpm.wdTaken / _xlpm.cv, IF(_xlpm.wdTaken &lt;&gt; 0, IF(_xlpm.isActivated, _xlpm.preActivationWd, _xlpm.postActivationWd), _xlpm.noWd)))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" i="21" l="1" a="1"/>
  <c r="G9" i="21" s="1"/>
  <c r="D31" i="24"/>
  <c r="C31" i="24"/>
  <c r="H31" i="24" s="1"/>
  <c r="B31" i="24"/>
  <c r="D30" i="24"/>
  <c r="Q30" i="24" s="1"/>
  <c r="C30" i="24"/>
  <c r="H30" i="24" s="1"/>
  <c r="B30" i="24"/>
  <c r="D29" i="24"/>
  <c r="Q29" i="24" s="1"/>
  <c r="C29" i="24"/>
  <c r="H29" i="24" s="1"/>
  <c r="B29" i="24"/>
  <c r="D28" i="24"/>
  <c r="Q28" i="24" s="1"/>
  <c r="C28" i="24"/>
  <c r="H28" i="24" s="1"/>
  <c r="B28" i="24"/>
  <c r="D27" i="24"/>
  <c r="Q27" i="24" s="1"/>
  <c r="C27" i="24"/>
  <c r="H27" i="24" s="1"/>
  <c r="B27" i="24"/>
  <c r="D26" i="24"/>
  <c r="Q26" i="24" s="1"/>
  <c r="C26" i="24"/>
  <c r="H26" i="24" s="1"/>
  <c r="B26" i="24"/>
  <c r="D25" i="24"/>
  <c r="Q25" i="24" s="1"/>
  <c r="C25" i="24"/>
  <c r="H25" i="24" s="1"/>
  <c r="B25" i="24"/>
  <c r="D24" i="24"/>
  <c r="Q24" i="24" s="1"/>
  <c r="C24" i="24"/>
  <c r="H24" i="24" s="1"/>
  <c r="B24" i="24"/>
  <c r="D23" i="24"/>
  <c r="Q23" i="24" s="1"/>
  <c r="C23" i="24"/>
  <c r="H23" i="24" s="1"/>
  <c r="B23" i="24"/>
  <c r="D22" i="24"/>
  <c r="Q22" i="24" s="1"/>
  <c r="C22" i="24"/>
  <c r="B22" i="24"/>
  <c r="D21" i="24"/>
  <c r="Q21" i="24" s="1"/>
  <c r="C21" i="24"/>
  <c r="H21" i="24" s="1"/>
  <c r="B21" i="24"/>
  <c r="D20" i="24"/>
  <c r="C20" i="24"/>
  <c r="B20" i="24"/>
  <c r="D19" i="24"/>
  <c r="Q19" i="24" s="1"/>
  <c r="C19" i="24"/>
  <c r="H19" i="24" s="1"/>
  <c r="B19" i="24"/>
  <c r="D18" i="24"/>
  <c r="C18" i="24"/>
  <c r="B18" i="24"/>
  <c r="D17" i="24"/>
  <c r="Q17" i="24" s="1"/>
  <c r="C17" i="24"/>
  <c r="H17" i="24" s="1"/>
  <c r="B17" i="24"/>
  <c r="D16" i="24"/>
  <c r="Q16" i="24" s="1"/>
  <c r="C16" i="24"/>
  <c r="B16" i="24"/>
  <c r="D15" i="24"/>
  <c r="Q15" i="24" s="1"/>
  <c r="C15" i="24"/>
  <c r="H15" i="24" s="1"/>
  <c r="B15" i="24"/>
  <c r="Q14" i="24"/>
  <c r="D14" i="24"/>
  <c r="C14" i="24"/>
  <c r="H14" i="24" s="1"/>
  <c r="B14" i="24"/>
  <c r="D13" i="24"/>
  <c r="Q13" i="24" s="1"/>
  <c r="C13" i="24"/>
  <c r="H13" i="24" s="1"/>
  <c r="B13" i="24"/>
  <c r="D12" i="24"/>
  <c r="Q12" i="24" s="1"/>
  <c r="C12" i="24"/>
  <c r="H12" i="24" s="1"/>
  <c r="B12" i="24"/>
  <c r="D11" i="24"/>
  <c r="Q11" i="24" s="1"/>
  <c r="C11" i="24"/>
  <c r="H11" i="24" s="1"/>
  <c r="B11" i="24"/>
  <c r="T10" i="24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D10" i="24"/>
  <c r="Q10" i="24" s="1"/>
  <c r="C10" i="24"/>
  <c r="H10" i="24" s="1"/>
  <c r="B10" i="24"/>
  <c r="A10" i="24"/>
  <c r="A11" i="24" s="1"/>
  <c r="I9" i="24"/>
  <c r="F9" i="24"/>
  <c r="E9" i="24"/>
  <c r="D9" i="24"/>
  <c r="Q9" i="24" s="1"/>
  <c r="C9" i="24"/>
  <c r="H9" i="24" s="1"/>
  <c r="B9" i="24"/>
  <c r="J9" i="24" s="1"/>
  <c r="O9" i="24" s="1"/>
  <c r="F10" i="24" l="1"/>
  <c r="L9" i="24"/>
  <c r="S9" i="24" s="1"/>
  <c r="E11" i="24"/>
  <c r="A12" i="24"/>
  <c r="F11" i="24"/>
  <c r="P9" i="24"/>
  <c r="Q20" i="24"/>
  <c r="Q18" i="24"/>
  <c r="P31" i="24"/>
  <c r="E10" i="24"/>
  <c r="J10" i="24" s="1"/>
  <c r="K10" i="24" s="1"/>
  <c r="G8" i="21" a="1"/>
  <c r="G8" i="21" s="1"/>
  <c r="D9" i="21" a="1"/>
  <c r="D9" i="21" s="1"/>
  <c r="C9" i="21" a="1"/>
  <c r="C9" i="21" s="1"/>
  <c r="B9" i="21" a="1"/>
  <c r="B9" i="21" s="1"/>
  <c r="P10" i="2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Q22" i="18" a="1"/>
  <c r="Q22" i="18" s="1"/>
  <c r="Q16" i="18" a="1"/>
  <c r="Q16" i="18" s="1"/>
  <c r="Q12" i="18" a="1"/>
  <c r="Q12" i="18" s="1"/>
  <c r="D9" i="18" a="1"/>
  <c r="D9" i="18" s="1"/>
  <c r="Q9" i="18" s="1" a="1"/>
  <c r="Q9" i="18" s="1"/>
  <c r="C9" i="18" a="1"/>
  <c r="C9" i="18" s="1"/>
  <c r="C9" i="19" s="1" a="1"/>
  <c r="C9" i="19" s="1"/>
  <c r="B9" i="18" a="1"/>
  <c r="B9" i="18" s="1"/>
  <c r="B9" i="19" s="1" a="1"/>
  <c r="B9" i="19" s="1"/>
  <c r="T10" i="18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P31" i="18" l="1" a="1"/>
  <c r="P31" i="18" s="1"/>
  <c r="N10" i="24"/>
  <c r="I10" i="24" s="1"/>
  <c r="L10" i="24" s="1"/>
  <c r="M11" i="24" s="1"/>
  <c r="M10" i="24"/>
  <c r="A13" i="24"/>
  <c r="F12" i="24"/>
  <c r="E12" i="24"/>
  <c r="G11" i="24"/>
  <c r="G10" i="24"/>
  <c r="H27" i="18" a="1"/>
  <c r="H27" i="18" s="1"/>
  <c r="H31" i="18" a="1"/>
  <c r="H31" i="18" s="1"/>
  <c r="H12" i="18" a="1"/>
  <c r="H12" i="18" s="1"/>
  <c r="H9" i="18" a="1"/>
  <c r="H9" i="18" s="1"/>
  <c r="Q13" i="18" a="1"/>
  <c r="Q13" i="18" s="1"/>
  <c r="Q17" i="18" a="1"/>
  <c r="Q17" i="18" s="1"/>
  <c r="H28" i="18" a="1"/>
  <c r="H28" i="18" s="1"/>
  <c r="H14" i="18" a="1"/>
  <c r="H14" i="18" s="1"/>
  <c r="Q25" i="18" a="1"/>
  <c r="Q25" i="18" s="1"/>
  <c r="Q20" i="18" a="1"/>
  <c r="Q20" i="18" s="1"/>
  <c r="H21" i="18" a="1"/>
  <c r="H21" i="18" s="1"/>
  <c r="H26" i="18" a="1"/>
  <c r="H26" i="18" s="1"/>
  <c r="Q30" i="18" a="1"/>
  <c r="Q30" i="18" s="1"/>
  <c r="Q10" i="18" a="1"/>
  <c r="Q10" i="18" s="1"/>
  <c r="Q14" i="18" a="1"/>
  <c r="Q14" i="18" s="1"/>
  <c r="Q18" i="18" a="1"/>
  <c r="Q18" i="18" s="1"/>
  <c r="H24" i="18" a="1"/>
  <c r="H24" i="18" s="1"/>
  <c r="Q28" i="18" a="1"/>
  <c r="Q28" i="18" s="1"/>
  <c r="H10" i="18" a="1"/>
  <c r="H10" i="18" s="1"/>
  <c r="Q23" i="18" a="1"/>
  <c r="Q23" i="18" s="1"/>
  <c r="H15" i="18" a="1"/>
  <c r="H15" i="18" s="1"/>
  <c r="H29" i="18" a="1"/>
  <c r="H29" i="18" s="1"/>
  <c r="H11" i="18" a="1"/>
  <c r="H11" i="18" s="1"/>
  <c r="H19" i="18" a="1"/>
  <c r="H19" i="18" s="1"/>
  <c r="Q11" i="18" a="1"/>
  <c r="Q11" i="18" s="1"/>
  <c r="Q15" i="18" a="1"/>
  <c r="Q15" i="18" s="1"/>
  <c r="Q21" i="18" a="1"/>
  <c r="Q21" i="18" s="1"/>
  <c r="Q26" i="18" a="1"/>
  <c r="Q26" i="18" s="1"/>
  <c r="Q24" i="18" a="1"/>
  <c r="Q24" i="18" s="1"/>
  <c r="Q19" i="18" a="1"/>
  <c r="Q19" i="18" s="1"/>
  <c r="H25" i="18" a="1"/>
  <c r="H25" i="18" s="1"/>
  <c r="Q29" i="18" a="1"/>
  <c r="Q29" i="18" s="1"/>
  <c r="H30" i="18" a="1"/>
  <c r="H30" i="18" s="1"/>
  <c r="H13" i="18" a="1"/>
  <c r="H13" i="18" s="1"/>
  <c r="H17" i="18" a="1"/>
  <c r="H17" i="18" s="1"/>
  <c r="H23" i="18" a="1"/>
  <c r="H23" i="18" s="1"/>
  <c r="Q27" i="18" a="1"/>
  <c r="Q27" i="18" s="1"/>
  <c r="D9" i="19" a="1"/>
  <c r="D9" i="19" s="1"/>
  <c r="H9" i="19" s="1" a="1"/>
  <c r="H9" i="19" s="1"/>
  <c r="J9" i="19" a="1"/>
  <c r="J9" i="19" s="1"/>
  <c r="K9" i="19" s="1" a="1"/>
  <c r="K9" i="19" s="1"/>
  <c r="B1" i="18"/>
  <c r="O10" i="24" l="1"/>
  <c r="P10" i="24" s="1"/>
  <c r="S10" i="24" s="1"/>
  <c r="M12" i="24"/>
  <c r="G12" i="24"/>
  <c r="N12" i="24"/>
  <c r="I12" i="24" s="1"/>
  <c r="F13" i="24"/>
  <c r="A14" i="24"/>
  <c r="E13" i="24"/>
  <c r="A9" i="18" a="1"/>
  <c r="A9" i="18" s="1"/>
  <c r="A9" i="21" a="1"/>
  <c r="A9" i="21" s="1"/>
  <c r="K15" i="19" a="1"/>
  <c r="K15" i="19" s="1"/>
  <c r="K26" i="19" a="1"/>
  <c r="K26" i="19" s="1"/>
  <c r="K31" i="19" a="1"/>
  <c r="K31" i="19" s="1"/>
  <c r="K25" i="19" a="1"/>
  <c r="K25" i="19" s="1"/>
  <c r="K30" i="19" a="1"/>
  <c r="K30" i="19" s="1"/>
  <c r="K24" i="19" a="1"/>
  <c r="K24" i="19" s="1"/>
  <c r="K13" i="19" a="1"/>
  <c r="K13" i="19" s="1"/>
  <c r="K18" i="19" a="1"/>
  <c r="K18" i="19" s="1"/>
  <c r="K12" i="19" a="1"/>
  <c r="K12" i="19" s="1"/>
  <c r="K23" i="19" a="1"/>
  <c r="K23" i="19" s="1"/>
  <c r="K29" i="19" a="1"/>
  <c r="K29" i="19" s="1"/>
  <c r="K17" i="19" a="1"/>
  <c r="K17" i="19" s="1"/>
  <c r="K11" i="19" a="1"/>
  <c r="K11" i="19" s="1"/>
  <c r="K28" i="19" a="1"/>
  <c r="K28" i="19" s="1"/>
  <c r="K22" i="19" a="1"/>
  <c r="K22" i="19" s="1"/>
  <c r="K14" i="19" a="1"/>
  <c r="K14" i="19" s="1"/>
  <c r="K16" i="19" a="1"/>
  <c r="K16" i="19" s="1"/>
  <c r="K10" i="19" a="1"/>
  <c r="K10" i="19" s="1"/>
  <c r="K19" i="19" a="1"/>
  <c r="K19" i="19" s="1"/>
  <c r="K27" i="19" a="1"/>
  <c r="K27" i="19" s="1"/>
  <c r="K21" i="19" a="1"/>
  <c r="K21" i="19" s="1"/>
  <c r="K20" i="19" a="1"/>
  <c r="K20" i="19" s="1"/>
  <c r="J11" i="24" l="1"/>
  <c r="K11" i="24" s="1"/>
  <c r="N11" i="24" s="1"/>
  <c r="I11" i="24" s="1"/>
  <c r="L11" i="24" s="1"/>
  <c r="L12" i="24" s="1"/>
  <c r="M13" i="24" s="1"/>
  <c r="G13" i="24"/>
  <c r="F14" i="24"/>
  <c r="E14" i="24"/>
  <c r="A15" i="24"/>
  <c r="F9" i="21" a="1"/>
  <c r="F9" i="21" s="1"/>
  <c r="E9" i="21" a="1"/>
  <c r="E9" i="21" s="1"/>
  <c r="A9" i="19" a="1"/>
  <c r="A9" i="19" s="1"/>
  <c r="F9" i="19" s="1" a="1"/>
  <c r="F9" i="19" s="1"/>
  <c r="F9" i="18" a="1"/>
  <c r="E9" i="18" a="1"/>
  <c r="E9" i="18" s="1"/>
  <c r="M14" i="24" l="1"/>
  <c r="O11" i="24"/>
  <c r="J12" i="24" s="1"/>
  <c r="K12" i="24" s="1"/>
  <c r="N14" i="24"/>
  <c r="I14" i="24" s="1"/>
  <c r="E15" i="24"/>
  <c r="A16" i="24"/>
  <c r="F15" i="24"/>
  <c r="G14" i="24"/>
  <c r="G9" i="18" a="1"/>
  <c r="G9" i="18" s="1"/>
  <c r="J9" i="18" s="1" a="1"/>
  <c r="J9" i="18" s="1"/>
  <c r="F9" i="18"/>
  <c r="L30" i="18" a="1"/>
  <c r="L30" i="18" s="1"/>
  <c r="N27" i="18" a="1"/>
  <c r="N27" i="18" s="1"/>
  <c r="I27" i="18" s="1" a="1"/>
  <c r="I27" i="18" s="1"/>
  <c r="N22" i="18" a="1"/>
  <c r="N22" i="18" s="1"/>
  <c r="I22" i="18" s="1" a="1"/>
  <c r="I22" i="18" s="1"/>
  <c r="N16" i="18" a="1"/>
  <c r="N16" i="18" s="1"/>
  <c r="I16" i="18" s="1" a="1"/>
  <c r="I16" i="18" s="1"/>
  <c r="N12" i="18" a="1"/>
  <c r="N12" i="18" s="1"/>
  <c r="I12" i="18" s="1" a="1"/>
  <c r="I12" i="18" s="1"/>
  <c r="N19" i="18" a="1"/>
  <c r="N19" i="18" s="1"/>
  <c r="I19" i="18" s="1" a="1"/>
  <c r="I19" i="18" s="1"/>
  <c r="N24" i="18" a="1"/>
  <c r="N24" i="18" s="1"/>
  <c r="I24" i="18" s="1" a="1"/>
  <c r="I24" i="18" s="1"/>
  <c r="N29" i="18" a="1"/>
  <c r="N29" i="18" s="1"/>
  <c r="I29" i="18" s="1" a="1"/>
  <c r="I29" i="18" s="1"/>
  <c r="L27" i="18" a="1"/>
  <c r="L27" i="18" s="1"/>
  <c r="L22" i="18" a="1"/>
  <c r="L22" i="18" s="1"/>
  <c r="N31" i="18" a="1"/>
  <c r="N31" i="18" s="1"/>
  <c r="I31" i="18" s="1" a="1"/>
  <c r="I31" i="18" s="1"/>
  <c r="L29" i="18" a="1"/>
  <c r="L29" i="18" s="1"/>
  <c r="L19" i="18" a="1"/>
  <c r="L19" i="18" s="1"/>
  <c r="N26" i="18" a="1"/>
  <c r="N26" i="18" s="1"/>
  <c r="I26" i="18" s="1" a="1"/>
  <c r="I26" i="18" s="1"/>
  <c r="N21" i="18" a="1"/>
  <c r="N21" i="18" s="1"/>
  <c r="I21" i="18" s="1" a="1"/>
  <c r="I21" i="18" s="1"/>
  <c r="L26" i="18" a="1"/>
  <c r="L26" i="18" s="1"/>
  <c r="N18" i="18" a="1"/>
  <c r="N18" i="18" s="1"/>
  <c r="I18" i="18" s="1" a="1"/>
  <c r="I18" i="18" s="1"/>
  <c r="L24" i="18" a="1"/>
  <c r="L24" i="18" s="1"/>
  <c r="L21" i="18" a="1"/>
  <c r="L21" i="18" s="1"/>
  <c r="N14" i="18" a="1"/>
  <c r="N14" i="18" s="1"/>
  <c r="I14" i="18" s="1" a="1"/>
  <c r="I14" i="18" s="1"/>
  <c r="L31" i="18" a="1"/>
  <c r="L31" i="18" s="1"/>
  <c r="N28" i="18" a="1"/>
  <c r="N28" i="18" s="1"/>
  <c r="I28" i="18" s="1" a="1"/>
  <c r="I28" i="18" s="1"/>
  <c r="N10" i="18" a="1"/>
  <c r="N10" i="18" s="1"/>
  <c r="I10" i="18" s="1" a="1"/>
  <c r="I10" i="18" s="1"/>
  <c r="N23" i="18" a="1"/>
  <c r="N23" i="18" s="1"/>
  <c r="I23" i="18" s="1" a="1"/>
  <c r="I23" i="18" s="1"/>
  <c r="N30" i="18" a="1"/>
  <c r="N30" i="18" s="1"/>
  <c r="I30" i="18" s="1" a="1"/>
  <c r="I30" i="18" s="1"/>
  <c r="L28" i="18" a="1"/>
  <c r="L28" i="18" s="1"/>
  <c r="L18" i="18" a="1"/>
  <c r="L18" i="18" s="1"/>
  <c r="L20" i="18" a="1"/>
  <c r="L20" i="18" s="1"/>
  <c r="H16" i="18" a="1"/>
  <c r="H16" i="18" s="1"/>
  <c r="N25" i="18" a="1"/>
  <c r="N25" i="18" s="1"/>
  <c r="I25" i="18" s="1" a="1"/>
  <c r="I25" i="18" s="1"/>
  <c r="L23" i="18" a="1"/>
  <c r="L23" i="18" s="1"/>
  <c r="N20" i="18" a="1"/>
  <c r="N20" i="18" s="1"/>
  <c r="I20" i="18" s="1" a="1"/>
  <c r="I20" i="18" s="1"/>
  <c r="L25" i="18" a="1"/>
  <c r="L25" i="18" s="1"/>
  <c r="M25" i="18" a="1"/>
  <c r="M25" i="18" s="1"/>
  <c r="M18" i="18" a="1"/>
  <c r="M18" i="18" s="1"/>
  <c r="M20" i="18" a="1"/>
  <c r="M20" i="18" s="1"/>
  <c r="M14" i="18" a="1"/>
  <c r="M14" i="18" s="1"/>
  <c r="M27" i="18" a="1"/>
  <c r="M27" i="18" s="1"/>
  <c r="M10" i="18" a="1"/>
  <c r="M10" i="18" s="1"/>
  <c r="M28" i="18" a="1"/>
  <c r="M28" i="18" s="1"/>
  <c r="M12" i="18" a="1"/>
  <c r="M12" i="18" s="1"/>
  <c r="M23" i="18" a="1"/>
  <c r="M23" i="18" s="1"/>
  <c r="M22" i="18" a="1"/>
  <c r="M22" i="18" s="1"/>
  <c r="M29" i="18" a="1"/>
  <c r="M29" i="18" s="1"/>
  <c r="M30" i="18" a="1"/>
  <c r="M30" i="18" s="1"/>
  <c r="M16" i="18" a="1"/>
  <c r="M16" i="18" s="1"/>
  <c r="M24" i="18" a="1"/>
  <c r="M24" i="18" s="1"/>
  <c r="M31" i="18" a="1"/>
  <c r="M31" i="18" s="1"/>
  <c r="M21" i="18" a="1"/>
  <c r="M21" i="18" s="1"/>
  <c r="M19" i="18" a="1"/>
  <c r="M19" i="18" s="1"/>
  <c r="M26" i="18" a="1"/>
  <c r="M26" i="18" s="1"/>
  <c r="P11" i="24" l="1"/>
  <c r="S11" i="24" s="1"/>
  <c r="F16" i="24"/>
  <c r="A17" i="24"/>
  <c r="E16" i="24"/>
  <c r="G15" i="24"/>
  <c r="O12" i="24"/>
  <c r="J13" i="24" s="1"/>
  <c r="K13" i="24" s="1"/>
  <c r="M9" i="21" a="1"/>
  <c r="M9" i="21" s="1"/>
  <c r="K9" i="18" a="1"/>
  <c r="K9" i="18" s="1"/>
  <c r="M9" i="18" a="1"/>
  <c r="M9" i="18" s="1"/>
  <c r="M16" i="24" l="1"/>
  <c r="H16" i="24"/>
  <c r="A18" i="24"/>
  <c r="F17" i="24"/>
  <c r="E17" i="24"/>
  <c r="P12" i="24"/>
  <c r="S12" i="24" s="1"/>
  <c r="N16" i="24"/>
  <c r="I16" i="24" s="1"/>
  <c r="G16" i="24"/>
  <c r="N9" i="18" a="1"/>
  <c r="N9" i="18" s="1"/>
  <c r="O9" i="18" s="1" a="1"/>
  <c r="O9" i="18" s="1"/>
  <c r="E18" i="24" l="1"/>
  <c r="A19" i="24"/>
  <c r="F18" i="24"/>
  <c r="G17" i="24"/>
  <c r="N13" i="24"/>
  <c r="I13" i="24" s="1"/>
  <c r="O9" i="21"/>
  <c r="O24" i="21"/>
  <c r="O10" i="21"/>
  <c r="O12" i="21"/>
  <c r="O11" i="21"/>
  <c r="O21" i="21"/>
  <c r="O19" i="21"/>
  <c r="O18" i="21"/>
  <c r="O16" i="21"/>
  <c r="O30" i="21"/>
  <c r="O23" i="21"/>
  <c r="O31" i="21"/>
  <c r="O26" i="21"/>
  <c r="O13" i="21"/>
  <c r="O22" i="21"/>
  <c r="O14" i="21"/>
  <c r="O29" i="21"/>
  <c r="O28" i="21"/>
  <c r="O27" i="21"/>
  <c r="O25" i="21"/>
  <c r="O15" i="21"/>
  <c r="O17" i="21"/>
  <c r="O20" i="21"/>
  <c r="I9" i="18" a="1"/>
  <c r="I9" i="18" s="1"/>
  <c r="L9" i="18" s="1" a="1"/>
  <c r="L9" i="18" s="1"/>
  <c r="L10" i="18" s="1" a="1"/>
  <c r="L10" i="18" s="1"/>
  <c r="M11" i="18" s="1" a="1"/>
  <c r="M11" i="18" s="1"/>
  <c r="P9" i="18" a="1"/>
  <c r="P9" i="18" s="1"/>
  <c r="J10" i="18" a="1"/>
  <c r="J10" i="18" s="1"/>
  <c r="M18" i="24" l="1"/>
  <c r="L18" i="24"/>
  <c r="L13" i="24"/>
  <c r="L14" i="24" s="1"/>
  <c r="M15" i="24" s="1"/>
  <c r="O13" i="24"/>
  <c r="J14" i="24" s="1"/>
  <c r="K14" i="24" s="1"/>
  <c r="N18" i="24"/>
  <c r="I18" i="24" s="1"/>
  <c r="F19" i="24"/>
  <c r="E19" i="24"/>
  <c r="A20" i="24"/>
  <c r="G18" i="24"/>
  <c r="S9" i="18"/>
  <c r="K10" i="18" a="1"/>
  <c r="K10" i="18" s="1"/>
  <c r="O10" i="18" a="1"/>
  <c r="O10" i="18" s="1"/>
  <c r="L19" i="24" l="1"/>
  <c r="M19" i="24"/>
  <c r="N19" i="24"/>
  <c r="I19" i="24" s="1"/>
  <c r="A21" i="24"/>
  <c r="F20" i="24"/>
  <c r="E20" i="24"/>
  <c r="G19" i="24"/>
  <c r="P13" i="24"/>
  <c r="S13" i="24" s="1"/>
  <c r="P10" i="18" a="1"/>
  <c r="P10" i="18" s="1"/>
  <c r="S10" i="18" s="1"/>
  <c r="J11" i="18" a="1"/>
  <c r="J11" i="18" s="1"/>
  <c r="M20" i="24" l="1"/>
  <c r="L20" i="24"/>
  <c r="O14" i="24"/>
  <c r="J15" i="24" s="1"/>
  <c r="K15" i="24" s="1"/>
  <c r="N20" i="24"/>
  <c r="I20" i="24" s="1"/>
  <c r="G20" i="24"/>
  <c r="E21" i="24"/>
  <c r="A22" i="24"/>
  <c r="F21" i="24"/>
  <c r="K11" i="18" a="1"/>
  <c r="K11" i="18" s="1"/>
  <c r="N11" i="18" s="1" a="1"/>
  <c r="N11" i="18" s="1"/>
  <c r="I11" i="18" s="1" a="1"/>
  <c r="I11" i="18" s="1"/>
  <c r="L11" i="18" s="1" a="1"/>
  <c r="L11" i="18" s="1"/>
  <c r="L12" i="18" s="1" a="1"/>
  <c r="L12" i="18" s="1"/>
  <c r="M13" i="18" s="1" a="1"/>
  <c r="M13" i="18" s="1"/>
  <c r="M21" i="24" l="1"/>
  <c r="L21" i="24"/>
  <c r="P14" i="24"/>
  <c r="S14" i="24" s="1"/>
  <c r="N21" i="24"/>
  <c r="I21" i="24" s="1"/>
  <c r="G21" i="24"/>
  <c r="A23" i="24"/>
  <c r="F22" i="24"/>
  <c r="E22" i="24"/>
  <c r="O11" i="18" a="1"/>
  <c r="O11" i="18" s="1"/>
  <c r="L22" i="24" l="1"/>
  <c r="M22" i="24"/>
  <c r="G22" i="24"/>
  <c r="N22" i="24"/>
  <c r="I22" i="24" s="1"/>
  <c r="F23" i="24"/>
  <c r="E23" i="24"/>
  <c r="A24" i="24"/>
  <c r="N15" i="24"/>
  <c r="I15" i="24" s="1"/>
  <c r="P11" i="18" a="1"/>
  <c r="P11" i="18" s="1"/>
  <c r="S11" i="18" s="1"/>
  <c r="J12" i="18" a="1"/>
  <c r="J12" i="18" s="1"/>
  <c r="L23" i="24" l="1"/>
  <c r="M23" i="24"/>
  <c r="L15" i="24"/>
  <c r="L16" i="24" s="1"/>
  <c r="M17" i="24" s="1"/>
  <c r="A25" i="24"/>
  <c r="F24" i="24"/>
  <c r="E24" i="24"/>
  <c r="G23" i="24"/>
  <c r="N23" i="24"/>
  <c r="I23" i="24" s="1"/>
  <c r="O15" i="24"/>
  <c r="J16" i="24" s="1"/>
  <c r="K16" i="24" s="1"/>
  <c r="K12" i="18" a="1"/>
  <c r="K12" i="18" s="1"/>
  <c r="O12" i="18" a="1"/>
  <c r="O12" i="18" s="1"/>
  <c r="M24" i="24" l="1"/>
  <c r="L24" i="24"/>
  <c r="E25" i="24"/>
  <c r="A26" i="24"/>
  <c r="F25" i="24"/>
  <c r="G24" i="24"/>
  <c r="P15" i="24"/>
  <c r="S15" i="24" s="1"/>
  <c r="N24" i="24"/>
  <c r="I24" i="24" s="1"/>
  <c r="P12" i="18" a="1"/>
  <c r="P12" i="18" s="1"/>
  <c r="S12" i="18" s="1"/>
  <c r="J13" i="18" a="1"/>
  <c r="J13" i="18" s="1"/>
  <c r="L25" i="24" l="1"/>
  <c r="M25" i="24"/>
  <c r="F26" i="24"/>
  <c r="E26" i="24"/>
  <c r="A27" i="24"/>
  <c r="O16" i="24"/>
  <c r="J17" i="24" s="1"/>
  <c r="K17" i="24" s="1"/>
  <c r="N25" i="24"/>
  <c r="I25" i="24" s="1"/>
  <c r="G25" i="24"/>
  <c r="K13" i="18" a="1"/>
  <c r="K13" i="18" s="1"/>
  <c r="N13" i="18" s="1" a="1"/>
  <c r="N13" i="18" s="1"/>
  <c r="I13" i="18" s="1" a="1"/>
  <c r="I13" i="18" s="1"/>
  <c r="L13" i="18" s="1" a="1"/>
  <c r="L13" i="18" s="1"/>
  <c r="L14" i="18" s="1" a="1"/>
  <c r="L14" i="18" s="1"/>
  <c r="M15" i="18" s="1" a="1"/>
  <c r="M15" i="18" s="1"/>
  <c r="L26" i="24" l="1"/>
  <c r="M26" i="24"/>
  <c r="G26" i="24"/>
  <c r="A28" i="24"/>
  <c r="F27" i="24"/>
  <c r="E27" i="24"/>
  <c r="P16" i="24"/>
  <c r="S16" i="24" s="1"/>
  <c r="N26" i="24"/>
  <c r="I26" i="24" s="1"/>
  <c r="O13" i="18" a="1"/>
  <c r="O13" i="18" s="1"/>
  <c r="M27" i="24" l="1"/>
  <c r="L27" i="24"/>
  <c r="N17" i="24"/>
  <c r="I17" i="24" s="1"/>
  <c r="L17" i="24" s="1"/>
  <c r="G27" i="24"/>
  <c r="N27" i="24"/>
  <c r="I27" i="24" s="1"/>
  <c r="F28" i="24"/>
  <c r="A29" i="24"/>
  <c r="E28" i="24"/>
  <c r="P13" i="18" a="1"/>
  <c r="P13" i="18" s="1"/>
  <c r="S13" i="18" s="1"/>
  <c r="J14" i="18" a="1"/>
  <c r="J14" i="18" s="1"/>
  <c r="L28" i="24" l="1"/>
  <c r="M28" i="24"/>
  <c r="A30" i="24"/>
  <c r="F29" i="24"/>
  <c r="E29" i="24"/>
  <c r="G28" i="24"/>
  <c r="N28" i="24"/>
  <c r="I28" i="24" s="1"/>
  <c r="O17" i="24"/>
  <c r="O14" i="18" a="1"/>
  <c r="O14" i="18" s="1"/>
  <c r="K14" i="18" a="1"/>
  <c r="K14" i="18" s="1"/>
  <c r="M29" i="24" l="1"/>
  <c r="L29" i="24"/>
  <c r="N29" i="24"/>
  <c r="I29" i="24" s="1"/>
  <c r="P17" i="24"/>
  <c r="G29" i="24"/>
  <c r="E30" i="24"/>
  <c r="F30" i="24"/>
  <c r="A31" i="24"/>
  <c r="P14" i="18" a="1"/>
  <c r="P14" i="18" s="1"/>
  <c r="S14" i="18" s="1"/>
  <c r="J15" i="18" a="1"/>
  <c r="J15" i="18" s="1"/>
  <c r="M30" i="24" l="1"/>
  <c r="L30" i="24"/>
  <c r="H18" i="24"/>
  <c r="N30" i="24"/>
  <c r="I30" i="24" s="1"/>
  <c r="S17" i="24"/>
  <c r="F31" i="24"/>
  <c r="E31" i="24"/>
  <c r="G30" i="24"/>
  <c r="K15" i="18" a="1"/>
  <c r="K15" i="18" s="1"/>
  <c r="N15" i="18" s="1" a="1"/>
  <c r="N15" i="18" s="1"/>
  <c r="I15" i="18" s="1" a="1"/>
  <c r="I15" i="18" s="1"/>
  <c r="L15" i="18" s="1" a="1"/>
  <c r="L15" i="18" s="1"/>
  <c r="L16" i="18" s="1" a="1"/>
  <c r="L16" i="18" s="1"/>
  <c r="M17" i="18" s="1" a="1"/>
  <c r="M17" i="18" s="1"/>
  <c r="M31" i="24" l="1"/>
  <c r="L31" i="24"/>
  <c r="J18" i="24"/>
  <c r="K18" i="24" s="1"/>
  <c r="G31" i="24"/>
  <c r="N31" i="24"/>
  <c r="I31" i="24" s="1"/>
  <c r="O15" i="18" a="1"/>
  <c r="O15" i="18" s="1"/>
  <c r="O18" i="24" l="1"/>
  <c r="P15" i="18" a="1"/>
  <c r="P15" i="18" s="1"/>
  <c r="S15" i="18" s="1"/>
  <c r="J16" i="18" a="1"/>
  <c r="J16" i="18" s="1"/>
  <c r="P18" i="24" l="1"/>
  <c r="S18" i="24" s="1"/>
  <c r="J19" i="24"/>
  <c r="O16" i="18" a="1"/>
  <c r="O16" i="18" s="1"/>
  <c r="K16" i="18" a="1"/>
  <c r="K16" i="18" s="1"/>
  <c r="O19" i="24" l="1"/>
  <c r="P19" i="24" s="1"/>
  <c r="H20" i="24" s="1"/>
  <c r="J20" i="24" s="1"/>
  <c r="K20" i="24" s="1"/>
  <c r="K19" i="24"/>
  <c r="P16" i="18" a="1"/>
  <c r="P16" i="18" s="1"/>
  <c r="S16" i="18" s="1"/>
  <c r="J17" i="18" a="1"/>
  <c r="J17" i="18" s="1"/>
  <c r="S19" i="24" l="1"/>
  <c r="O20" i="24"/>
  <c r="K17" i="18" a="1"/>
  <c r="K17" i="18" s="1"/>
  <c r="N17" i="18" s="1" a="1"/>
  <c r="N17" i="18" s="1"/>
  <c r="I17" i="18" s="1" a="1"/>
  <c r="I17" i="18" s="1"/>
  <c r="L17" i="18" s="1" a="1"/>
  <c r="L17" i="18" s="1"/>
  <c r="P20" i="24" l="1"/>
  <c r="S20" i="24" s="1"/>
  <c r="J21" i="24"/>
  <c r="O17" i="18" a="1"/>
  <c r="O17" i="18" s="1"/>
  <c r="O21" i="24" l="1"/>
  <c r="P21" i="24" s="1"/>
  <c r="K21" i="24"/>
  <c r="P17" i="18" a="1"/>
  <c r="P17" i="18" s="1"/>
  <c r="H18" i="18" s="1" a="1"/>
  <c r="H18" i="18" s="1"/>
  <c r="J18" i="18" s="1" a="1"/>
  <c r="J18" i="18" s="1"/>
  <c r="H22" i="24" l="1"/>
  <c r="J22" i="24" s="1"/>
  <c r="K22" i="24" s="1"/>
  <c r="S21" i="24"/>
  <c r="K18" i="18" a="1"/>
  <c r="K18" i="18" s="1"/>
  <c r="O18" i="18" a="1"/>
  <c r="O18" i="18" s="1"/>
  <c r="S17" i="18"/>
  <c r="O22" i="24" l="1"/>
  <c r="J23" i="24" s="1"/>
  <c r="K23" i="24" s="1"/>
  <c r="P18" i="18" a="1"/>
  <c r="P18" i="18" s="1"/>
  <c r="S18" i="18" s="1"/>
  <c r="J19" i="18" a="1"/>
  <c r="J19" i="18" s="1"/>
  <c r="P22" i="24" l="1"/>
  <c r="S22" i="24" s="1"/>
  <c r="O23" i="24"/>
  <c r="J24" i="24" s="1"/>
  <c r="K24" i="24" s="1"/>
  <c r="K19" i="18" a="1"/>
  <c r="K19" i="18" s="1"/>
  <c r="O19" i="18" a="1"/>
  <c r="O19" i="18" s="1"/>
  <c r="P23" i="24" l="1"/>
  <c r="S23" i="24" s="1"/>
  <c r="P19" i="18" a="1"/>
  <c r="P19" i="18" s="1"/>
  <c r="H20" i="18" s="1" a="1"/>
  <c r="H20" i="18" s="1"/>
  <c r="J20" i="18" s="1" a="1"/>
  <c r="J20" i="18" s="1"/>
  <c r="O24" i="24" l="1"/>
  <c r="J25" i="24" s="1"/>
  <c r="K25" i="24" s="1"/>
  <c r="K20" i="18" a="1"/>
  <c r="K20" i="18" s="1"/>
  <c r="O20" i="18" a="1"/>
  <c r="O20" i="18" s="1"/>
  <c r="S19" i="18"/>
  <c r="P24" i="24" l="1"/>
  <c r="S24" i="24" s="1"/>
  <c r="P20" i="18" a="1"/>
  <c r="P20" i="18" s="1"/>
  <c r="S20" i="18" s="1"/>
  <c r="J21" i="18" a="1"/>
  <c r="J21" i="18" s="1"/>
  <c r="O25" i="24" l="1"/>
  <c r="J26" i="24" s="1"/>
  <c r="K26" i="24" s="1"/>
  <c r="O21" i="18" a="1"/>
  <c r="O21" i="18" s="1"/>
  <c r="K21" i="18" a="1"/>
  <c r="K21" i="18" s="1"/>
  <c r="P25" i="24" l="1"/>
  <c r="S25" i="24" s="1"/>
  <c r="P21" i="18" a="1"/>
  <c r="P21" i="18" s="1"/>
  <c r="H22" i="18" s="1" a="1"/>
  <c r="H22" i="18" s="1"/>
  <c r="J22" i="18" s="1" a="1"/>
  <c r="J22" i="18" s="1"/>
  <c r="O26" i="24" l="1"/>
  <c r="J27" i="24" s="1"/>
  <c r="K27" i="24" s="1"/>
  <c r="K22" i="18" a="1"/>
  <c r="K22" i="18" s="1"/>
  <c r="O22" i="18" a="1"/>
  <c r="O22" i="18" s="1"/>
  <c r="S21" i="18"/>
  <c r="P26" i="24" l="1"/>
  <c r="S26" i="24" s="1"/>
  <c r="P22" i="18" a="1"/>
  <c r="P22" i="18" s="1"/>
  <c r="S22" i="18" s="1"/>
  <c r="J23" i="18" a="1"/>
  <c r="J23" i="18" s="1"/>
  <c r="O27" i="24" l="1"/>
  <c r="J28" i="24" s="1"/>
  <c r="K28" i="24" s="1"/>
  <c r="K23" i="18" a="1"/>
  <c r="K23" i="18" s="1"/>
  <c r="O23" i="18" a="1"/>
  <c r="O23" i="18" s="1"/>
  <c r="P27" i="24" l="1"/>
  <c r="S27" i="24" s="1"/>
  <c r="P23" i="18" a="1"/>
  <c r="P23" i="18" s="1"/>
  <c r="S23" i="18" s="1"/>
  <c r="J24" i="18" a="1"/>
  <c r="J24" i="18" s="1"/>
  <c r="O28" i="24" l="1"/>
  <c r="J29" i="24" s="1"/>
  <c r="K29" i="24" s="1"/>
  <c r="O24" i="18" a="1"/>
  <c r="O24" i="18" s="1"/>
  <c r="K24" i="18" a="1"/>
  <c r="K24" i="18" s="1"/>
  <c r="P28" i="24" l="1"/>
  <c r="S28" i="24" s="1"/>
  <c r="P24" i="18" a="1"/>
  <c r="P24" i="18" s="1"/>
  <c r="S24" i="18" s="1"/>
  <c r="J25" i="18" a="1"/>
  <c r="J25" i="18" s="1"/>
  <c r="O29" i="24" l="1"/>
  <c r="J30" i="24" s="1"/>
  <c r="K30" i="24" s="1"/>
  <c r="K25" i="18" a="1"/>
  <c r="K25" i="18" s="1"/>
  <c r="O25" i="18" a="1"/>
  <c r="O25" i="18" s="1"/>
  <c r="P29" i="24" l="1"/>
  <c r="S29" i="24" s="1"/>
  <c r="P25" i="18" a="1"/>
  <c r="P25" i="18" s="1"/>
  <c r="S25" i="18" s="1"/>
  <c r="J26" i="18" a="1"/>
  <c r="J26" i="18" s="1"/>
  <c r="O30" i="24" l="1"/>
  <c r="J31" i="24" s="1"/>
  <c r="K31" i="24" s="1"/>
  <c r="K26" i="18" a="1"/>
  <c r="K26" i="18" s="1"/>
  <c r="O26" i="18" a="1"/>
  <c r="O26" i="18" s="1"/>
  <c r="P30" i="24" l="1"/>
  <c r="S30" i="24" s="1"/>
  <c r="P26" i="18" a="1"/>
  <c r="P26" i="18" s="1"/>
  <c r="S26" i="18" s="1"/>
  <c r="J27" i="18" a="1"/>
  <c r="J27" i="18" s="1"/>
  <c r="O31" i="24" l="1"/>
  <c r="O27" i="18" a="1"/>
  <c r="O27" i="18" s="1"/>
  <c r="K27" i="18" a="1"/>
  <c r="K27" i="18" s="1"/>
  <c r="Q31" i="24" l="1"/>
  <c r="S31" i="24" s="1"/>
  <c r="S6" i="24" s="1"/>
  <c r="P27" i="18" a="1"/>
  <c r="P27" i="18" s="1"/>
  <c r="S27" i="18" s="1"/>
  <c r="J28" i="18" a="1"/>
  <c r="J28" i="18" s="1"/>
  <c r="K28" i="18" l="1" a="1"/>
  <c r="K28" i="18" s="1"/>
  <c r="O28" i="18" a="1"/>
  <c r="O28" i="18" s="1"/>
  <c r="P28" i="18" l="1" a="1"/>
  <c r="P28" i="18" s="1"/>
  <c r="S28" i="18" s="1"/>
  <c r="J29" i="18" a="1"/>
  <c r="J29" i="18" s="1"/>
  <c r="K29" i="18" l="1" a="1"/>
  <c r="K29" i="18" s="1"/>
  <c r="O29" i="18" a="1"/>
  <c r="O29" i="18" s="1"/>
  <c r="P29" i="18" l="1" a="1"/>
  <c r="P29" i="18" s="1"/>
  <c r="S29" i="18" s="1"/>
  <c r="J30" i="18" a="1"/>
  <c r="J30" i="18" s="1"/>
  <c r="O30" i="18" l="1" a="1"/>
  <c r="O30" i="18" s="1"/>
  <c r="K30" i="18" a="1"/>
  <c r="K30" i="18" s="1"/>
  <c r="I10" i="13"/>
  <c r="I9" i="13"/>
  <c r="F9" i="13"/>
  <c r="E9" i="13"/>
  <c r="D31" i="13"/>
  <c r="P31" i="13" s="1"/>
  <c r="C31" i="13"/>
  <c r="H31" i="13" s="1"/>
  <c r="B31" i="13"/>
  <c r="D30" i="13"/>
  <c r="Q30" i="13" s="1"/>
  <c r="C30" i="13"/>
  <c r="H30" i="13" s="1"/>
  <c r="B30" i="13"/>
  <c r="D29" i="13"/>
  <c r="Q29" i="13" s="1"/>
  <c r="C29" i="13"/>
  <c r="H29" i="13" s="1"/>
  <c r="B29" i="13"/>
  <c r="D28" i="13"/>
  <c r="Q28" i="13" s="1"/>
  <c r="C28" i="13"/>
  <c r="H28" i="13" s="1"/>
  <c r="B28" i="13"/>
  <c r="D27" i="13"/>
  <c r="Q27" i="13" s="1"/>
  <c r="C27" i="13"/>
  <c r="H27" i="13" s="1"/>
  <c r="B27" i="13"/>
  <c r="D26" i="13"/>
  <c r="Q26" i="13" s="1"/>
  <c r="C26" i="13"/>
  <c r="H26" i="13" s="1"/>
  <c r="B26" i="13"/>
  <c r="D25" i="13"/>
  <c r="Q25" i="13" s="1"/>
  <c r="C25" i="13"/>
  <c r="H25" i="13" s="1"/>
  <c r="B25" i="13"/>
  <c r="D24" i="13"/>
  <c r="Q24" i="13" s="1"/>
  <c r="C24" i="13"/>
  <c r="H24" i="13" s="1"/>
  <c r="B24" i="13"/>
  <c r="D23" i="13"/>
  <c r="Q23" i="13" s="1"/>
  <c r="C23" i="13"/>
  <c r="H23" i="13" s="1"/>
  <c r="B23" i="13"/>
  <c r="D22" i="13"/>
  <c r="Q22" i="13" s="1"/>
  <c r="C22" i="13"/>
  <c r="B22" i="13"/>
  <c r="D21" i="13"/>
  <c r="Q21" i="13" s="1"/>
  <c r="C21" i="13"/>
  <c r="H21" i="13" s="1"/>
  <c r="B21" i="13"/>
  <c r="D20" i="13"/>
  <c r="Q20" i="13" s="1"/>
  <c r="C20" i="13"/>
  <c r="B20" i="13"/>
  <c r="D19" i="13"/>
  <c r="Q19" i="13" s="1"/>
  <c r="C19" i="13"/>
  <c r="H19" i="13" s="1"/>
  <c r="B19" i="13"/>
  <c r="D18" i="13"/>
  <c r="Q18" i="13" s="1"/>
  <c r="C18" i="13"/>
  <c r="B18" i="13"/>
  <c r="D17" i="13"/>
  <c r="Q17" i="13" s="1"/>
  <c r="C17" i="13"/>
  <c r="H17" i="13" s="1"/>
  <c r="B17" i="13"/>
  <c r="D16" i="13"/>
  <c r="Q16" i="13" s="1"/>
  <c r="C16" i="13"/>
  <c r="B16" i="13"/>
  <c r="D15" i="13"/>
  <c r="Q15" i="13" s="1"/>
  <c r="C15" i="13"/>
  <c r="H15" i="13" s="1"/>
  <c r="B15" i="13"/>
  <c r="D14" i="13"/>
  <c r="Q14" i="13" s="1"/>
  <c r="C14" i="13"/>
  <c r="H14" i="13" s="1"/>
  <c r="B14" i="13"/>
  <c r="D13" i="13"/>
  <c r="Q13" i="13" s="1"/>
  <c r="C13" i="13"/>
  <c r="H13" i="13" s="1"/>
  <c r="B13" i="13"/>
  <c r="D12" i="13"/>
  <c r="Q12" i="13" s="1"/>
  <c r="C12" i="13"/>
  <c r="H12" i="13" s="1"/>
  <c r="B12" i="13"/>
  <c r="D11" i="13"/>
  <c r="Q11" i="13" s="1"/>
  <c r="C11" i="13"/>
  <c r="H11" i="13" s="1"/>
  <c r="B11" i="13"/>
  <c r="D10" i="13"/>
  <c r="Q10" i="13" s="1"/>
  <c r="C10" i="13"/>
  <c r="H10" i="13" s="1"/>
  <c r="B10" i="13"/>
  <c r="D9" i="13"/>
  <c r="Q9" i="13" s="1"/>
  <c r="C9" i="13"/>
  <c r="H9" i="13" s="1"/>
  <c r="B9" i="13"/>
  <c r="L9" i="13" s="1"/>
  <c r="P30" i="18" l="1" a="1"/>
  <c r="P30" i="18" s="1"/>
  <c r="S30" i="18" s="1"/>
  <c r="J31" i="18" a="1"/>
  <c r="J31" i="18" s="1"/>
  <c r="J9" i="13"/>
  <c r="O9" i="13" s="1"/>
  <c r="P9" i="13" s="1"/>
  <c r="T10" i="13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K31" i="18" l="1" a="1"/>
  <c r="K31" i="18" s="1"/>
  <c r="O31" i="18" a="1"/>
  <c r="O31" i="18" s="1"/>
  <c r="Q31" i="18" s="1" a="1"/>
  <c r="Q31" i="18" s="1"/>
  <c r="S31" i="18" s="1"/>
  <c r="A10" i="13"/>
  <c r="F10" i="13" l="1"/>
  <c r="E10" i="13"/>
  <c r="A11" i="13"/>
  <c r="S9" i="13"/>
  <c r="F11" i="13" l="1"/>
  <c r="E11" i="13"/>
  <c r="G10" i="13"/>
  <c r="J10" i="13"/>
  <c r="O10" i="13" s="1"/>
  <c r="P10" i="13" s="1"/>
  <c r="L10" i="13"/>
  <c r="A12" i="13"/>
  <c r="M11" i="13" l="1"/>
  <c r="F12" i="13"/>
  <c r="E12" i="13"/>
  <c r="G11" i="13"/>
  <c r="J11" i="13"/>
  <c r="A13" i="13"/>
  <c r="S10" i="13"/>
  <c r="K11" i="13" l="1"/>
  <c r="N11" i="13" s="1"/>
  <c r="I11" i="13" s="1"/>
  <c r="L11" i="13" s="1"/>
  <c r="L12" i="13" s="1"/>
  <c r="F13" i="13"/>
  <c r="E13" i="13"/>
  <c r="N12" i="13"/>
  <c r="I12" i="13" s="1"/>
  <c r="M12" i="13"/>
  <c r="G12" i="13"/>
  <c r="A14" i="13"/>
  <c r="M13" i="13" l="1"/>
  <c r="F14" i="13"/>
  <c r="E14" i="13"/>
  <c r="G14" i="13" s="1"/>
  <c r="G13" i="13"/>
  <c r="O11" i="13"/>
  <c r="A15" i="13"/>
  <c r="P11" i="13" l="1"/>
  <c r="J12" i="13"/>
  <c r="F15" i="13"/>
  <c r="E15" i="13"/>
  <c r="G15" i="13" s="1"/>
  <c r="N14" i="13"/>
  <c r="I14" i="13" s="1"/>
  <c r="M14" i="13"/>
  <c r="A16" i="13"/>
  <c r="E16" i="13" l="1"/>
  <c r="G16" i="13" s="1"/>
  <c r="F16" i="13"/>
  <c r="K12" i="13"/>
  <c r="O12" i="13"/>
  <c r="A17" i="13"/>
  <c r="P12" i="13" l="1"/>
  <c r="J13" i="13"/>
  <c r="F17" i="13"/>
  <c r="E17" i="13"/>
  <c r="G17" i="13" s="1"/>
  <c r="N16" i="13"/>
  <c r="I16" i="13" s="1"/>
  <c r="H16" i="13"/>
  <c r="M16" i="13"/>
  <c r="A18" i="13"/>
  <c r="F18" i="13" l="1"/>
  <c r="E18" i="13"/>
  <c r="G18" i="13" s="1"/>
  <c r="K13" i="13"/>
  <c r="N13" i="13" s="1"/>
  <c r="I13" i="13" s="1"/>
  <c r="L13" i="13" s="1"/>
  <c r="L14" i="13" s="1"/>
  <c r="M15" i="13" s="1"/>
  <c r="A19" i="13"/>
  <c r="O13" i="13" l="1"/>
  <c r="F19" i="13"/>
  <c r="E19" i="13"/>
  <c r="G19" i="13" s="1"/>
  <c r="M18" i="13"/>
  <c r="L18" i="13"/>
  <c r="N18" i="13"/>
  <c r="I18" i="13" s="1"/>
  <c r="A20" i="13"/>
  <c r="J14" i="13" l="1"/>
  <c r="P13" i="13"/>
  <c r="F20" i="13"/>
  <c r="E20" i="13"/>
  <c r="G20" i="13" s="1"/>
  <c r="N19" i="13"/>
  <c r="I19" i="13" s="1"/>
  <c r="M19" i="13"/>
  <c r="L19" i="13"/>
  <c r="A21" i="13"/>
  <c r="F21" i="13" l="1"/>
  <c r="E21" i="13"/>
  <c r="G21" i="13" s="1"/>
  <c r="N20" i="13"/>
  <c r="I20" i="13" s="1"/>
  <c r="L20" i="13"/>
  <c r="M20" i="13"/>
  <c r="K14" i="13"/>
  <c r="O14" i="13"/>
  <c r="A22" i="13"/>
  <c r="F22" i="13" l="1"/>
  <c r="E22" i="13"/>
  <c r="J15" i="13"/>
  <c r="P14" i="13"/>
  <c r="N21" i="13"/>
  <c r="I21" i="13" s="1"/>
  <c r="L21" i="13"/>
  <c r="M21" i="13"/>
  <c r="A23" i="13"/>
  <c r="F23" i="13" l="1"/>
  <c r="E23" i="13"/>
  <c r="G23" i="13" s="1"/>
  <c r="N22" i="13"/>
  <c r="I22" i="13" s="1"/>
  <c r="L22" i="13"/>
  <c r="K15" i="13"/>
  <c r="N15" i="13" s="1"/>
  <c r="I15" i="13" s="1"/>
  <c r="L15" i="13" s="1"/>
  <c r="L16" i="13" s="1"/>
  <c r="M17" i="13" s="1"/>
  <c r="M22" i="13"/>
  <c r="G22" i="13"/>
  <c r="A24" i="13"/>
  <c r="O15" i="13" l="1"/>
  <c r="F24" i="13"/>
  <c r="E24" i="13"/>
  <c r="G24" i="13" s="1"/>
  <c r="N23" i="13"/>
  <c r="I23" i="13" s="1"/>
  <c r="M23" i="13"/>
  <c r="L23" i="13"/>
  <c r="A25" i="13"/>
  <c r="F25" i="13" l="1"/>
  <c r="E25" i="13"/>
  <c r="G25" i="13" s="1"/>
  <c r="N24" i="13"/>
  <c r="I24" i="13" s="1"/>
  <c r="M24" i="13"/>
  <c r="L24" i="13"/>
  <c r="J16" i="13"/>
  <c r="P15" i="13"/>
  <c r="A26" i="13"/>
  <c r="F26" i="13" l="1"/>
  <c r="E26" i="13"/>
  <c r="G26" i="13" s="1"/>
  <c r="K16" i="13"/>
  <c r="O16" i="13"/>
  <c r="N25" i="13"/>
  <c r="I25" i="13" s="1"/>
  <c r="M25" i="13"/>
  <c r="L25" i="13"/>
  <c r="A27" i="13"/>
  <c r="F27" i="13" l="1"/>
  <c r="E27" i="13"/>
  <c r="G27" i="13" s="1"/>
  <c r="J17" i="13"/>
  <c r="P16" i="13"/>
  <c r="N26" i="13"/>
  <c r="I26" i="13" s="1"/>
  <c r="L26" i="13"/>
  <c r="M26" i="13"/>
  <c r="A28" i="13"/>
  <c r="F28" i="13" l="1"/>
  <c r="E28" i="13"/>
  <c r="G28" i="13" s="1"/>
  <c r="K17" i="13"/>
  <c r="N17" i="13" s="1"/>
  <c r="I17" i="13" s="1"/>
  <c r="L17" i="13" s="1"/>
  <c r="N27" i="13"/>
  <c r="I27" i="13" s="1"/>
  <c r="L27" i="13"/>
  <c r="M27" i="13"/>
  <c r="A29" i="13"/>
  <c r="S11" i="13"/>
  <c r="F29" i="13" l="1"/>
  <c r="E29" i="13"/>
  <c r="G29" i="13" s="1"/>
  <c r="O17" i="13"/>
  <c r="P17" i="13" s="1"/>
  <c r="H18" i="13" s="1"/>
  <c r="J18" i="13" s="1"/>
  <c r="N28" i="13"/>
  <c r="I28" i="13" s="1"/>
  <c r="L28" i="13"/>
  <c r="M28" i="13"/>
  <c r="A30" i="13"/>
  <c r="F30" i="13" l="1"/>
  <c r="E30" i="13"/>
  <c r="G30" i="13" s="1"/>
  <c r="O18" i="13"/>
  <c r="K18" i="13"/>
  <c r="M29" i="13"/>
  <c r="N29" i="13"/>
  <c r="I29" i="13" s="1"/>
  <c r="L29" i="13"/>
  <c r="A31" i="13"/>
  <c r="S12" i="13"/>
  <c r="J19" i="13" l="1"/>
  <c r="P18" i="13"/>
  <c r="F31" i="13"/>
  <c r="E31" i="13"/>
  <c r="G31" i="13" s="1"/>
  <c r="N30" i="13"/>
  <c r="I30" i="13" s="1"/>
  <c r="L30" i="13"/>
  <c r="M30" i="13"/>
  <c r="S13" i="13"/>
  <c r="N31" i="13" l="1"/>
  <c r="I31" i="13" s="1"/>
  <c r="M31" i="13"/>
  <c r="L31" i="13"/>
  <c r="K19" i="13"/>
  <c r="O19" i="13"/>
  <c r="P19" i="13" s="1"/>
  <c r="H20" i="13" s="1"/>
  <c r="J20" i="13" s="1"/>
  <c r="S14" i="13"/>
  <c r="K20" i="13" l="1"/>
  <c r="O20" i="13"/>
  <c r="S15" i="13"/>
  <c r="J21" i="13" l="1"/>
  <c r="P20" i="13"/>
  <c r="S16" i="13"/>
  <c r="K21" i="13" l="1"/>
  <c r="O21" i="13"/>
  <c r="P21" i="13" s="1"/>
  <c r="H22" i="13" s="1"/>
  <c r="J22" i="13" s="1"/>
  <c r="S17" i="13"/>
  <c r="O22" i="13" l="1"/>
  <c r="K22" i="13"/>
  <c r="S18" i="13"/>
  <c r="P22" i="13" l="1"/>
  <c r="J23" i="13"/>
  <c r="S19" i="13"/>
  <c r="K23" i="13" l="1"/>
  <c r="O23" i="13"/>
  <c r="S20" i="13"/>
  <c r="P23" i="13" l="1"/>
  <c r="J24" i="13"/>
  <c r="S21" i="13"/>
  <c r="K24" i="13" l="1"/>
  <c r="O24" i="13"/>
  <c r="S22" i="13"/>
  <c r="P24" i="13" l="1"/>
  <c r="J25" i="13"/>
  <c r="S23" i="13"/>
  <c r="O25" i="13" l="1"/>
  <c r="K25" i="13"/>
  <c r="S24" i="13"/>
  <c r="P25" i="13" l="1"/>
  <c r="S25" i="13" s="1"/>
  <c r="J26" i="13"/>
  <c r="K26" i="13" l="1"/>
  <c r="O26" i="13"/>
  <c r="J27" i="13" l="1"/>
  <c r="P26" i="13"/>
  <c r="S26" i="13" s="1"/>
  <c r="O27" i="13" l="1"/>
  <c r="K27" i="13"/>
  <c r="P27" i="13" l="1"/>
  <c r="S27" i="13" s="1"/>
  <c r="J28" i="13"/>
  <c r="O28" i="13" l="1"/>
  <c r="K28" i="13"/>
  <c r="P28" i="13" l="1"/>
  <c r="S28" i="13" s="1"/>
  <c r="J29" i="13"/>
  <c r="O29" i="13" l="1"/>
  <c r="K29" i="13"/>
  <c r="J30" i="13" l="1"/>
  <c r="P29" i="13"/>
  <c r="S29" i="13" s="1"/>
  <c r="K30" i="13" l="1"/>
  <c r="O30" i="13"/>
  <c r="P30" i="13" l="1"/>
  <c r="S30" i="13" s="1"/>
  <c r="J31" i="13"/>
  <c r="O31" i="13" l="1"/>
  <c r="K31" i="13"/>
  <c r="Q31" i="13" l="1"/>
  <c r="S31" i="13" s="1"/>
  <c r="S6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tc={6871662F-5720-44A0-ADCC-68A45DEE2216}</author>
  </authors>
  <commentList>
    <comment ref="B4" authorId="0" shapeId="0" xr:uid="{6871662F-5720-44A0-ADCC-68A45DEE2216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Doesn't due anything yet!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tc={6EEE4D46-07C8-418A-95D2-52D46B4E74C8}</author>
  </authors>
  <commentList>
    <comment ref="B4" authorId="0" shapeId="0" xr:uid="{6EEE4D46-07C8-418A-95D2-52D46B4E74C8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Doesn't due anything yet!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<sst xmlns="http://schemas.openxmlformats.org/spreadsheetml/2006/main" count="141" uniqueCount="40">
  <si>
    <t>Income Base</t>
  </si>
  <si>
    <t>Income Credit</t>
  </si>
  <si>
    <t xml:space="preserve"> contract issue date</t>
  </si>
  <si>
    <t>Maximum Annual Withdrawal Amount upon Activation</t>
  </si>
  <si>
    <t xml:space="preserve">Income Credit Base  </t>
  </si>
  <si>
    <t xml:space="preserve">Income Credit    </t>
  </si>
  <si>
    <t xml:space="preserve">Withdrawal Taken  </t>
  </si>
  <si>
    <t xml:space="preserve">Assumed Contract Value </t>
  </si>
  <si>
    <t xml:space="preserve">Anniversary Value  </t>
  </si>
  <si>
    <t xml:space="preserve">Income Base  </t>
  </si>
  <si>
    <t>Protected Income Payment</t>
  </si>
  <si>
    <t>Pay Period</t>
  </si>
  <si>
    <t>Purchase Payments</t>
  </si>
  <si>
    <t>Is Anniversary</t>
  </si>
  <si>
    <t>Is Activated</t>
  </si>
  <si>
    <t>Activation Time</t>
  </si>
  <si>
    <t>Has Income Credit</t>
  </si>
  <si>
    <t>Income Base Raw</t>
  </si>
  <si>
    <t>Income Credit Base</t>
  </si>
  <si>
    <t>Check</t>
  </si>
  <si>
    <t>Income Base Raw Delta</t>
  </si>
  <si>
    <t>Income Base Adjustment</t>
  </si>
  <si>
    <t xml:space="preserve"> Benefit Effective Date </t>
  </si>
  <si>
    <t xml:space="preserve"> Income Credit Percentage </t>
  </si>
  <si>
    <t xml:space="preserve"> Covered Person </t>
  </si>
  <si>
    <t xml:space="preserve"> Maximum Annual Withdrawal Percentage </t>
  </si>
  <si>
    <t>Withdrawal Taken</t>
  </si>
  <si>
    <t>Anniversary Value</t>
  </si>
  <si>
    <t>Withdrawal Penalty</t>
  </si>
  <si>
    <t>Periods</t>
  </si>
  <si>
    <t>Assumed Contract Value</t>
  </si>
  <si>
    <t>Simple Scan</t>
  </si>
  <si>
    <t>Complex Scan Mutiple Previous</t>
  </si>
  <si>
    <t>Combo Scan</t>
  </si>
  <si>
    <t>The contents for the calculations</t>
  </si>
  <si>
    <t>The entire prospectus</t>
  </si>
  <si>
    <t>Example Functions</t>
  </si>
  <si>
    <t>https://www.thespreadsheetguru.com/dynamic-array-function-list/</t>
  </si>
  <si>
    <t>INCOME BASE</t>
  </si>
  <si>
    <t>INCOME CREDIT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</si>
</sst>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_);_(* \(#,##0.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181717"/>
      <name val="Times New Roman"/>
      <family val="1"/>
    </font>
    <font>
      <b/>
      <sz val="10"/>
      <color rgb="FF181717"/>
      <name val="Times New Roman"/>
      <family val="1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theme="0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medium">
        <color theme="0"/>
      </top>
      <bottom/>
      <diagonal/>
    </border>
    <border>
      <left/>
      <right style="thin">
        <color theme="9" tint="0.39997558519241921"/>
      </right>
      <top style="medium">
        <color theme="0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/>
    <xf numFmtId="0" fontId="5" fillId="0" borderId="0" xfId="0" applyFont="1" applyProtection="1">
      <protection locked="0"/>
    </xf>
    <xf numFmtId="10" fontId="0" fillId="0" borderId="0" xfId="0" applyNumberFormat="1" applyProtection="1">
      <protection locked="0"/>
    </xf>
    <xf numFmtId="0" fontId="0" fillId="0" borderId="0" xfId="0" applyProtection="1">
      <protection locked="0"/>
    </xf>
    <xf numFmtId="9" fontId="0" fillId="0" borderId="0" xfId="2" applyFont="1" applyProtection="1">
      <protection locked="0"/>
    </xf>
    <xf numFmtId="0" fontId="2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 indent="5"/>
      <protection locked="0"/>
    </xf>
    <xf numFmtId="8" fontId="0" fillId="0" borderId="0" xfId="0" applyNumberFormat="1" applyProtection="1">
      <protection locked="0"/>
    </xf>
    <xf numFmtId="43" fontId="0" fillId="0" borderId="0" xfId="0" applyNumberFormat="1" applyProtection="1">
      <protection locked="0"/>
    </xf>
    <xf numFmtId="0" fontId="6" fillId="0" borderId="0" xfId="0" applyFont="1" applyAlignment="1" applyProtection="1">
      <alignment wrapText="1"/>
      <protection locked="0"/>
    </xf>
    <xf numFmtId="0" fontId="2" fillId="2" borderId="7" xfId="0" applyFont="1" applyFill="1" applyBorder="1" applyProtection="1">
      <protection locked="0"/>
    </xf>
    <xf numFmtId="0" fontId="2" fillId="2" borderId="5" xfId="0" applyFont="1" applyFill="1" applyBorder="1" applyAlignment="1" applyProtection="1">
      <alignment wrapText="1"/>
      <protection locked="0"/>
    </xf>
    <xf numFmtId="0" fontId="2" fillId="2" borderId="6" xfId="0" applyFont="1" applyFill="1" applyBorder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43" fontId="0" fillId="0" borderId="0" xfId="1" applyFont="1" applyFill="1" applyBorder="1" applyProtection="1">
      <protection locked="0"/>
    </xf>
    <xf numFmtId="0" fontId="0" fillId="3" borderId="8" xfId="0" applyFill="1" applyBorder="1" applyProtection="1">
      <protection locked="0"/>
    </xf>
    <xf numFmtId="164" fontId="3" fillId="3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Border="1" applyAlignment="1" applyProtection="1">
      <alignment horizontal="right" vertical="center" wrapText="1"/>
      <protection locked="0"/>
    </xf>
    <xf numFmtId="164" fontId="3" fillId="0" borderId="1" xfId="1" applyNumberFormat="1" applyFont="1" applyBorder="1" applyAlignment="1" applyProtection="1">
      <alignment horizontal="center" vertical="center" wrapText="1"/>
      <protection locked="0"/>
    </xf>
    <xf numFmtId="164" fontId="0" fillId="0" borderId="2" xfId="1" applyNumberFormat="1" applyFont="1" applyBorder="1" applyProtection="1">
      <protection locked="0"/>
    </xf>
    <xf numFmtId="43" fontId="0" fillId="0" borderId="0" xfId="1" applyFont="1" applyBorder="1" applyProtection="1">
      <protection locked="0"/>
    </xf>
    <xf numFmtId="164" fontId="0" fillId="0" borderId="0" xfId="1" applyNumberFormat="1" applyFont="1" applyProtection="1">
      <protection locked="0"/>
    </xf>
    <xf numFmtId="164" fontId="0" fillId="0" borderId="1" xfId="1" applyNumberFormat="1" applyFont="1" applyBorder="1" applyAlignment="1" applyProtection="1">
      <alignment horizontal="right"/>
      <protection locked="0"/>
    </xf>
    <xf numFmtId="164" fontId="0" fillId="0" borderId="1" xfId="1" applyNumberFormat="1" applyFont="1" applyBorder="1" applyProtection="1">
      <protection locked="0"/>
    </xf>
    <xf numFmtId="164" fontId="0" fillId="0" borderId="0" xfId="0" applyNumberFormat="1" applyProtection="1">
      <protection locked="0"/>
    </xf>
    <xf numFmtId="0" fontId="0" fillId="3" borderId="9" xfId="0" applyFill="1" applyBorder="1" applyProtection="1">
      <protection locked="0"/>
    </xf>
    <xf numFmtId="164" fontId="3" fillId="3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Alignment="1" applyProtection="1">
      <alignment horizontal="right"/>
      <protection locked="0"/>
    </xf>
    <xf numFmtId="164" fontId="3" fillId="0" borderId="4" xfId="1" applyNumberFormat="1" applyFont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Protection="1">
      <protection locked="0"/>
    </xf>
    <xf numFmtId="164" fontId="3" fillId="0" borderId="3" xfId="1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Protection="1">
      <protection locked="0"/>
    </xf>
    <xf numFmtId="0" fontId="7" fillId="6" borderId="12" xfId="0" applyFont="1" applyFill="1" applyBorder="1"/>
    <xf numFmtId="0" fontId="7" fillId="4" borderId="12" xfId="0" applyFont="1" applyFill="1" applyBorder="1" applyAlignment="1">
      <alignment wrapText="1"/>
    </xf>
    <xf numFmtId="0" fontId="7" fillId="6" borderId="12" xfId="0" applyFont="1" applyFill="1" applyBorder="1" applyAlignment="1">
      <alignment wrapText="1"/>
    </xf>
    <xf numFmtId="0" fontId="7" fillId="6" borderId="14" xfId="0" applyFont="1" applyFill="1" applyBorder="1" applyAlignment="1">
      <alignment wrapText="1"/>
    </xf>
    <xf numFmtId="166" fontId="0" fillId="7" borderId="12" xfId="0" applyNumberFormat="1" applyFill="1" applyBorder="1"/>
    <xf numFmtId="164" fontId="0" fillId="4" borderId="12" xfId="0" applyNumberFormat="1" applyFill="1" applyBorder="1"/>
    <xf numFmtId="0" fontId="0" fillId="7" borderId="12" xfId="0" applyFill="1" applyBorder="1"/>
    <xf numFmtId="164" fontId="0" fillId="7" borderId="12" xfId="0" applyNumberFormat="1" applyFill="1" applyBorder="1"/>
    <xf numFmtId="165" fontId="0" fillId="7" borderId="12" xfId="0" applyNumberFormat="1" applyFill="1" applyBorder="1"/>
    <xf numFmtId="164" fontId="0" fillId="5" borderId="12" xfId="0" applyNumberFormat="1" applyFill="1" applyBorder="1"/>
    <xf numFmtId="164" fontId="0" fillId="7" borderId="12" xfId="1" applyNumberFormat="1" applyFont="1" applyFill="1" applyBorder="1"/>
    <xf numFmtId="43" fontId="0" fillId="7" borderId="14" xfId="1" applyFont="1" applyFill="1" applyBorder="1"/>
    <xf numFmtId="166" fontId="0" fillId="0" borderId="12" xfId="0" applyNumberFormat="1" applyBorder="1"/>
    <xf numFmtId="0" fontId="0" fillId="0" borderId="12" xfId="0" applyBorder="1"/>
    <xf numFmtId="164" fontId="0" fillId="0" borderId="12" xfId="0" applyNumberFormat="1" applyBorder="1"/>
    <xf numFmtId="165" fontId="0" fillId="0" borderId="12" xfId="0" applyNumberFormat="1" applyBorder="1"/>
    <xf numFmtId="164" fontId="0" fillId="0" borderId="12" xfId="1" applyNumberFormat="1" applyFont="1" applyBorder="1"/>
    <xf numFmtId="43" fontId="0" fillId="0" borderId="14" xfId="1" applyFont="1" applyBorder="1"/>
    <xf numFmtId="166" fontId="0" fillId="7" borderId="11" xfId="0" applyNumberFormat="1" applyFill="1" applyBorder="1"/>
    <xf numFmtId="164" fontId="0" fillId="4" borderId="11" xfId="0" applyNumberFormat="1" applyFill="1" applyBorder="1"/>
    <xf numFmtId="0" fontId="0" fillId="7" borderId="11" xfId="0" applyFill="1" applyBorder="1"/>
    <xf numFmtId="164" fontId="0" fillId="7" borderId="11" xfId="0" applyNumberFormat="1" applyFill="1" applyBorder="1"/>
    <xf numFmtId="165" fontId="0" fillId="7" borderId="11" xfId="0" applyNumberFormat="1" applyFill="1" applyBorder="1"/>
    <xf numFmtId="164" fontId="0" fillId="7" borderId="11" xfId="1" applyNumberFormat="1" applyFont="1" applyFill="1" applyBorder="1"/>
    <xf numFmtId="43" fontId="0" fillId="7" borderId="2" xfId="1" applyFont="1" applyFill="1" applyBorder="1"/>
    <xf numFmtId="0" fontId="7" fillId="9" borderId="12" xfId="0" applyFont="1" applyFill="1" applyBorder="1"/>
    <xf numFmtId="0" fontId="7" fillId="9" borderId="12" xfId="0" applyFont="1" applyFill="1" applyBorder="1" applyAlignment="1">
      <alignment wrapText="1"/>
    </xf>
    <xf numFmtId="0" fontId="7" fillId="9" borderId="14" xfId="0" applyFont="1" applyFill="1" applyBorder="1" applyAlignment="1">
      <alignment wrapText="1"/>
    </xf>
    <xf numFmtId="166" fontId="0" fillId="8" borderId="12" xfId="0" applyNumberFormat="1" applyFill="1" applyBorder="1"/>
    <xf numFmtId="0" fontId="0" fillId="8" borderId="12" xfId="0" applyFill="1" applyBorder="1"/>
    <xf numFmtId="164" fontId="0" fillId="8" borderId="12" xfId="0" applyNumberFormat="1" applyFill="1" applyBorder="1"/>
    <xf numFmtId="165" fontId="0" fillId="8" borderId="12" xfId="0" applyNumberFormat="1" applyFill="1" applyBorder="1"/>
    <xf numFmtId="164" fontId="0" fillId="8" borderId="12" xfId="1" applyNumberFormat="1" applyFont="1" applyFill="1" applyBorder="1"/>
    <xf numFmtId="43" fontId="0" fillId="8" borderId="14" xfId="1" applyFont="1" applyFill="1" applyBorder="1"/>
    <xf numFmtId="166" fontId="0" fillId="8" borderId="11" xfId="0" applyNumberFormat="1" applyFill="1" applyBorder="1"/>
    <xf numFmtId="0" fontId="0" fillId="8" borderId="11" xfId="0" applyFill="1" applyBorder="1"/>
    <xf numFmtId="164" fontId="0" fillId="8" borderId="11" xfId="0" applyNumberFormat="1" applyFill="1" applyBorder="1"/>
    <xf numFmtId="165" fontId="0" fillId="8" borderId="11" xfId="0" applyNumberFormat="1" applyFill="1" applyBorder="1"/>
    <xf numFmtId="164" fontId="0" fillId="8" borderId="11" xfId="1" applyNumberFormat="1" applyFont="1" applyFill="1" applyBorder="1"/>
    <xf numFmtId="43" fontId="0" fillId="8" borderId="2" xfId="1" applyFont="1" applyFill="1" applyBorder="1"/>
    <xf numFmtId="0" fontId="2" fillId="0" borderId="10" xfId="0" applyFont="1" applyBorder="1" applyProtection="1">
      <protection locked="0"/>
    </xf>
    <xf numFmtId="0" fontId="2" fillId="0" borderId="16" xfId="0" applyFont="1" applyBorder="1" applyAlignment="1" applyProtection="1">
      <alignment wrapText="1"/>
      <protection locked="0"/>
    </xf>
    <xf numFmtId="0" fontId="2" fillId="0" borderId="13" xfId="0" applyFont="1" applyBorder="1" applyAlignment="1" applyProtection="1">
      <alignment wrapText="1"/>
      <protection locked="0"/>
    </xf>
    <xf numFmtId="0" fontId="0" fillId="0" borderId="8" xfId="0" applyBorder="1" applyProtection="1">
      <protection locked="0"/>
    </xf>
    <xf numFmtId="164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Fill="1" applyBorder="1" applyAlignment="1" applyProtection="1">
      <alignment horizontal="right" vertical="center" wrapText="1"/>
      <protection locked="0"/>
    </xf>
    <xf numFmtId="164" fontId="0" fillId="0" borderId="11" xfId="1" applyNumberFormat="1" applyFont="1" applyFill="1" applyBorder="1" applyProtection="1">
      <protection locked="0"/>
    </xf>
    <xf numFmtId="164" fontId="0" fillId="0" borderId="1" xfId="1" applyNumberFormat="1" applyFont="1" applyFill="1" applyBorder="1" applyAlignment="1" applyProtection="1">
      <alignment horizontal="right"/>
      <protection locked="0"/>
    </xf>
    <xf numFmtId="164" fontId="0" fillId="0" borderId="1" xfId="1" applyNumberFormat="1" applyFont="1" applyFill="1" applyBorder="1" applyProtection="1">
      <protection locked="0"/>
    </xf>
    <xf numFmtId="0" fontId="0" fillId="0" borderId="9" xfId="0" applyBorder="1" applyProtection="1">
      <protection locked="0"/>
    </xf>
    <xf numFmtId="164" fontId="3" fillId="0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Fill="1" applyBorder="1" applyAlignment="1" applyProtection="1">
      <alignment horizontal="right"/>
      <protection locked="0"/>
    </xf>
    <xf numFmtId="164" fontId="0" fillId="0" borderId="4" xfId="1" applyNumberFormat="1" applyFont="1" applyFill="1" applyBorder="1" applyProtection="1">
      <protection locked="0"/>
    </xf>
    <xf numFmtId="164" fontId="3" fillId="0" borderId="15" xfId="1" applyNumberFormat="1" applyFont="1" applyFill="1" applyBorder="1" applyAlignment="1" applyProtection="1">
      <alignment horizontal="center" vertical="center" wrapText="1"/>
      <protection locked="0"/>
    </xf>
    <xf numFmtId="0" fontId="9" fillId="11" borderId="0" xfId="0" applyFont="1" applyFill="1" applyAlignment="1">
      <alignment wrapText="1"/>
    </xf>
    <xf numFmtId="164" fontId="0" fillId="0" borderId="0" xfId="0" applyNumberFormat="1"/>
    <xf numFmtId="164" fontId="0" fillId="0" borderId="0" xfId="1" applyNumberFormat="1" applyFont="1" applyAlignment="1">
      <alignment wrapText="1"/>
    </xf>
    <xf numFmtId="164" fontId="0" fillId="0" borderId="0" xfId="1" applyNumberFormat="1" applyFont="1"/>
    <xf numFmtId="0" fontId="9" fillId="12" borderId="21" xfId="0" applyFont="1" applyFill="1" applyBorder="1" applyAlignment="1">
      <alignment wrapText="1"/>
    </xf>
    <xf numFmtId="0" fontId="9" fillId="12" borderId="22" xfId="0" applyFont="1" applyFill="1" applyBorder="1" applyAlignment="1">
      <alignment wrapText="1"/>
    </xf>
    <xf numFmtId="0" fontId="9" fillId="12" borderId="23" xfId="0" applyFont="1" applyFill="1" applyBorder="1" applyAlignment="1">
      <alignment wrapText="1"/>
    </xf>
    <xf numFmtId="0" fontId="6" fillId="13" borderId="17" xfId="0" applyFont="1" applyFill="1" applyBorder="1"/>
    <xf numFmtId="0" fontId="6" fillId="0" borderId="22" xfId="0" applyFont="1" applyBorder="1"/>
    <xf numFmtId="0" fontId="6" fillId="13" borderId="22" xfId="0" applyFont="1" applyFill="1" applyBorder="1"/>
    <xf numFmtId="0" fontId="6" fillId="13" borderId="19" xfId="0" applyFont="1" applyFill="1" applyBorder="1"/>
    <xf numFmtId="43" fontId="6" fillId="13" borderId="17" xfId="1" applyFont="1" applyFill="1" applyBorder="1"/>
    <xf numFmtId="43" fontId="6" fillId="0" borderId="22" xfId="1" applyFont="1" applyBorder="1"/>
    <xf numFmtId="43" fontId="6" fillId="13" borderId="22" xfId="1" applyFont="1" applyFill="1" applyBorder="1"/>
    <xf numFmtId="43" fontId="6" fillId="13" borderId="19" xfId="1" applyFont="1" applyFill="1" applyBorder="1"/>
    <xf numFmtId="9" fontId="6" fillId="13" borderId="17" xfId="2" applyFont="1" applyFill="1" applyBorder="1"/>
    <xf numFmtId="9" fontId="6" fillId="0" borderId="22" xfId="2" applyFont="1" applyBorder="1"/>
    <xf numFmtId="9" fontId="6" fillId="13" borderId="22" xfId="2" applyFont="1" applyFill="1" applyBorder="1"/>
    <xf numFmtId="9" fontId="6" fillId="13" borderId="19" xfId="2" applyFont="1" applyFill="1" applyBorder="1"/>
    <xf numFmtId="43" fontId="6" fillId="13" borderId="25" xfId="1" applyFont="1" applyFill="1" applyBorder="1"/>
    <xf numFmtId="43" fontId="6" fillId="0" borderId="23" xfId="1" applyFont="1" applyBorder="1"/>
    <xf numFmtId="43" fontId="6" fillId="13" borderId="23" xfId="1" applyFont="1" applyFill="1" applyBorder="1"/>
    <xf numFmtId="43" fontId="6" fillId="13" borderId="20" xfId="1" applyFont="1" applyFill="1" applyBorder="1"/>
    <xf numFmtId="0" fontId="10" fillId="0" borderId="0" xfId="3"/>
    <xf numFmtId="0" fontId="6" fillId="14" borderId="24" xfId="0" applyFont="1" applyFill="1" applyBorder="1"/>
    <xf numFmtId="164" fontId="6" fillId="14" borderId="17" xfId="1" applyNumberFormat="1" applyFont="1" applyFill="1" applyBorder="1"/>
    <xf numFmtId="0" fontId="6" fillId="15" borderId="21" xfId="0" applyFont="1" applyFill="1" applyBorder="1"/>
    <xf numFmtId="164" fontId="6" fillId="15" borderId="22" xfId="1" applyNumberFormat="1" applyFont="1" applyFill="1" applyBorder="1"/>
    <xf numFmtId="0" fontId="6" fillId="14" borderId="21" xfId="0" applyFont="1" applyFill="1" applyBorder="1"/>
    <xf numFmtId="164" fontId="6" fillId="14" borderId="22" xfId="1" applyNumberFormat="1" applyFont="1" applyFill="1" applyBorder="1"/>
    <xf numFmtId="0" fontId="6" fillId="14" borderId="18" xfId="0" applyFont="1" applyFill="1" applyBorder="1"/>
    <xf numFmtId="164" fontId="6" fillId="14" borderId="19" xfId="1" applyNumberFormat="1" applyFont="1" applyFill="1" applyBorder="1"/>
    <xf numFmtId="0" fontId="8" fillId="10" borderId="0" xfId="0" applyFont="1" applyFill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3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85725</xdr:rowOff>
        </xdr:from>
        <xdr:to>
          <xdr:col>3</xdr:col>
          <xdr:colOff>38100</xdr:colOff>
          <xdr:row>5</xdr:row>
          <xdr:rowOff>28575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114300</xdr:rowOff>
        </xdr:from>
        <xdr:to>
          <xdr:col>5</xdr:col>
          <xdr:colOff>342900</xdr:colOff>
          <xdr:row>10</xdr:row>
          <xdr:rowOff>57150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581025</xdr:colOff>
          <xdr:row>1</xdr:row>
          <xdr:rowOff>57150</xdr:rowOff>
        </xdr:from>
        <xdr:to>
          <xdr:col>18</xdr:col>
          <xdr:colOff>114300</xdr:colOff>
          <xdr:row>46</xdr:row>
          <xdr:rowOff>180975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523875</xdr:colOff>
          <xdr:row>1</xdr:row>
          <xdr:rowOff>66675</xdr:rowOff>
        </xdr:from>
        <xdr:to>
          <xdr:col>11</xdr:col>
          <xdr:colOff>371475</xdr:colOff>
          <xdr:row>17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</xdr:row>
          <xdr:rowOff>85725</xdr:rowOff>
        </xdr:from>
        <xdr:to>
          <xdr:col>11</xdr:col>
          <xdr:colOff>342900</xdr:colOff>
          <xdr:row>46</xdr:row>
          <xdr:rowOff>47625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48</xdr:row>
          <xdr:rowOff>142875</xdr:rowOff>
        </xdr:from>
        <xdr:to>
          <xdr:col>11</xdr:col>
          <xdr:colOff>247650</xdr:colOff>
          <xdr:row>59</xdr:row>
          <xdr:rowOff>47625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63</xdr:row>
          <xdr:rowOff>161925</xdr:rowOff>
        </xdr:from>
        <xdr:to>
          <xdr:col>11</xdr:col>
          <xdr:colOff>295275</xdr:colOff>
          <xdr:row>75</xdr:row>
          <xdr:rowOff>142875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542925</xdr:colOff>
          <xdr:row>79</xdr:row>
          <xdr:rowOff>161925</xdr:rowOff>
        </xdr:from>
        <xdr:to>
          <xdr:col>11</xdr:col>
          <xdr:colOff>390525</xdr:colOff>
          <xdr:row>91</xdr:row>
          <xdr:rowOff>76200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94</xdr:row>
          <xdr:rowOff>142875</xdr:rowOff>
        </xdr:from>
        <xdr:to>
          <xdr:col>11</xdr:col>
          <xdr:colOff>428625</xdr:colOff>
          <xdr:row>112</xdr:row>
          <xdr:rowOff>38100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116</xdr:row>
          <xdr:rowOff>28575</xdr:rowOff>
        </xdr:from>
        <xdr:to>
          <xdr:col>11</xdr:col>
          <xdr:colOff>438150</xdr:colOff>
          <xdr:row>124</xdr:row>
          <xdr:rowOff>85725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17</xdr:col>
          <xdr:colOff>57150</xdr:colOff>
          <xdr:row>36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552450</xdr:colOff>
          <xdr:row>1</xdr:row>
          <xdr:rowOff>0</xdr:rowOff>
        </xdr:from>
        <xdr:to>
          <xdr:col>15</xdr:col>
          <xdr:colOff>476250</xdr:colOff>
          <xdr:row>36</xdr:row>
          <xdr:rowOff>85725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9132/Google%20Drive/ExcelAnswerKeys/ExcelRedo/Tweak/Week1/TheModelW1withAdditionalIn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y"/>
      <sheetName val="Homework"/>
      <sheetName val="How It Works"/>
      <sheetName val="Orders of Operation"/>
    </sheetNames>
    <sheetDataSet>
      <sheetData sheetId="0"/>
      <sheetData sheetId="1">
        <row r="2">
          <cell r="B2">
            <v>100000</v>
          </cell>
        </row>
        <row r="21">
          <cell r="B21">
            <v>60000</v>
          </cell>
        </row>
        <row r="22">
          <cell r="B22" t="str">
            <v>—</v>
          </cell>
        </row>
      </sheetData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on Robidoux" id="{CE22FB12-5CCA-4111-B696-2ED7F8CC36C9}" userId="c06de2f38d2dffe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7343F5-F24C-4EBE-AAE5-72658BB74EE7}" name="Answers" displayName="Answers" ref="T8:AC31" totalsRowShown="0" headerRowDxfId="29" dataDxfId="28" tableBorderDxfId="27">
  <autoFilter ref="T8:AC31" xr:uid="{217343F5-F24C-4EBE-AAE5-72658BB74EE7}"/>
  <tableColumns count="10">
    <tableColumn id="1" xr3:uid="{10F9B649-C3AD-4AA2-BF57-4C7F9846EE17}" name="Pay Period" dataDxfId="26">
      <calculatedColumnFormula>T8+0.5</calculatedColumnFormula>
    </tableColumn>
    <tableColumn id="2" xr3:uid="{3C7D1160-BE5B-4B23-B610-B8DDD79E4E7A}" name="Purchase Payments" dataDxfId="25" dataCellStyle="Comma"/>
    <tableColumn id="3" xr3:uid="{1CF7749A-3DEE-4723-A5CF-2DB92A9A0FAF}" name="Withdrawal Taken" dataDxfId="24" dataCellStyle="Comma"/>
    <tableColumn id="4" xr3:uid="{95694F48-81AA-4CF8-8720-5F1532D9A41D}" name="Assumed Contract Value" dataDxfId="23" dataCellStyle="Comma"/>
    <tableColumn id="5" xr3:uid="{8B24BFD8-F722-4D30-90DD-A9B858B33B59}" name="Anniversary Value  " dataDxfId="22" dataCellStyle="Comma"/>
    <tableColumn id="6" xr3:uid="{F44D1032-55FD-40DA-B499-9ABD0381C30B}" name="Income Base  " dataDxfId="21" dataCellStyle="Comma"/>
    <tableColumn id="7" xr3:uid="{4246D2B9-5753-4F94-B9BB-12D0A1AA3D28}" name="Income Credit Base  " dataDxfId="20" dataCellStyle="Comma"/>
    <tableColumn id="8" xr3:uid="{76705E5C-657E-4DC4-A957-7B4AD123343B}" name="Income Credit    " dataDxfId="19" dataCellStyle="Comma"/>
    <tableColumn id="9" xr3:uid="{003FDDBC-20E5-40C0-931B-D2DA960C32AD}" name="Maximum Annual Withdrawal Amount upon Activation" dataDxfId="18" dataCellStyle="Comma"/>
    <tableColumn id="10" xr3:uid="{86A1CDA6-C524-44A1-9126-205DEE5D5209}" name="Protected Income Payment" dataDxfId="17" dataCellStyle="Comm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E45DB3-6DD6-47B1-9B85-000639657A3D}" name="AnswersDyn" displayName="AnswersDyn" ref="P8:Y31" totalsRowShown="0" headerRowDxfId="16" dataDxfId="15" tableBorderDxfId="14">
  <autoFilter ref="P8:Y31" xr:uid="{15E45DB3-6DD6-47B1-9B85-000639657A3D}"/>
  <tableColumns count="10">
    <tableColumn id="1" xr3:uid="{690FEC9B-13F1-4A2C-867F-8D3471F75A5E}" name="Pay Period" dataDxfId="13">
      <calculatedColumnFormula>P8+0.5</calculatedColumnFormula>
    </tableColumn>
    <tableColumn id="2" xr3:uid="{66C84A13-2D26-4CEC-A1AF-4BE74FD77661}" name="Purchase Payments" dataDxfId="12" dataCellStyle="Comma"/>
    <tableColumn id="3" xr3:uid="{9D454537-D51D-496F-98D8-89BDE47A2D2A}" name="Withdrawal Taken" dataDxfId="11" dataCellStyle="Comma"/>
    <tableColumn id="4" xr3:uid="{4FB7F6C4-C1ED-4686-93BC-E677608B1D90}" name="Assumed Contract Value" dataDxfId="10" dataCellStyle="Comma"/>
    <tableColumn id="5" xr3:uid="{F9430713-325A-42B9-A09D-9427063F23D9}" name="Anniversary Value  " dataDxfId="9" dataCellStyle="Comma"/>
    <tableColumn id="6" xr3:uid="{12A63D7A-0898-4247-A318-494DBBD77CE0}" name="Income Base  " dataDxfId="8" dataCellStyle="Comma"/>
    <tableColumn id="7" xr3:uid="{7E40C474-2342-43C6-9E3C-D6F550F22E04}" name="Income Credit Base  " dataDxfId="7" dataCellStyle="Comma"/>
    <tableColumn id="8" xr3:uid="{34813986-1724-4240-A14E-2ED5C77F6E2D}" name="Income Credit    " dataDxfId="6" dataCellStyle="Comma"/>
    <tableColumn id="9" xr3:uid="{3BF22B43-F0AC-4428-8D3A-7A54FFB54BAC}" name="Maximum Annual Withdrawal Amount upon Activation" dataDxfId="5" dataCellStyle="Comma"/>
    <tableColumn id="10" xr3:uid="{F2DCB507-DB16-40B3-8C2C-0911D541D8AC}" name="Protected Income Payment" dataDxfId="4" dataCellStyle="Comm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1-08-28T21:38:59.50" personId="{CE22FB12-5CCA-4111-B696-2ED7F8CC36C9}" id="{6871662F-5720-44A0-ADCC-68A45DEE2216}">
    <text>Doesn't due anything yet!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4" dT="2021-08-28T21:38:59.50" personId="{CE22FB12-5CCA-4111-B696-2ED7F8CC36C9}" id="{6EEE4D46-07C8-418A-95D2-52D46B4E74C8}">
    <text>Doesn't due anything yet!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E634F39-E27D-43F2-B713-DE483DB7D503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AB9D61B-AD4B-417F-97A6-AC978A12C92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13" Type="http://schemas.openxmlformats.org/officeDocument/2006/relationships/image" Target="../media/image8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5.emf"/><Relationship Id="rId12" Type="http://schemas.openxmlformats.org/officeDocument/2006/relationships/package" Target="../embeddings/Microsoft_Word_Document5.docx"/><Relationship Id="rId17" Type="http://schemas.openxmlformats.org/officeDocument/2006/relationships/image" Target="../media/image10.emf"/><Relationship Id="rId2" Type="http://schemas.openxmlformats.org/officeDocument/2006/relationships/drawing" Target="../drawings/drawing3.xml"/><Relationship Id="rId16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5" Type="http://schemas.openxmlformats.org/officeDocument/2006/relationships/image" Target="../media/image9.emf"/><Relationship Id="rId10" Type="http://schemas.openxmlformats.org/officeDocument/2006/relationships/package" Target="../embeddings/Microsoft_Word_Document4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6.emf"/><Relationship Id="rId14" Type="http://schemas.openxmlformats.org/officeDocument/2006/relationships/package" Target="../embeddings/Microsoft_Word_Document6.doc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1.emf"/><Relationship Id="rId4" Type="http://schemas.openxmlformats.org/officeDocument/2006/relationships/package" Target="../embeddings/Microsoft_Word_Document8.doc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2.emf"/><Relationship Id="rId4" Type="http://schemas.openxmlformats.org/officeDocument/2006/relationships/package" Target="../embeddings/Microsoft_Word_Document9.docx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thespreadsheetguru.com/dynamic-array-function-li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CFB1-3292-4CAC-951D-26FD2A90D904}">
  <sheetPr>
    <tabColor theme="7" tint="-0.249977111117893"/>
  </sheetPr>
  <dimension ref="B2:B7"/>
  <sheetViews>
    <sheetView workbookViewId="0">
      <selection activeCell="J3" sqref="J3"/>
    </sheetView>
  </sheetViews>
  <sheetFormatPr defaultRowHeight="15" x14ac:dyDescent="0.25"/>
  <sheetData>
    <row r="2" spans="2:2" x14ac:dyDescent="0.25">
      <c r="B2" t="s">
        <v>34</v>
      </c>
    </row>
    <row r="7" spans="2:2" x14ac:dyDescent="0.25">
      <c r="B7" t="s">
        <v>35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1</xdr:col>
                <xdr:colOff>0</xdr:colOff>
                <xdr:row>2</xdr:row>
                <xdr:rowOff>85725</xdr:rowOff>
              </from>
              <to>
                <xdr:col>3</xdr:col>
                <xdr:colOff>38100</xdr:colOff>
                <xdr:row>5</xdr:row>
                <xdr:rowOff>28575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progId="Packager Shell Object" shapeId="7170" r:id="rId6">
          <objectPr defaultSize="0" r:id="rId7">
            <anchor moveWithCells="1">
              <from>
                <xdr:col>1</xdr:col>
                <xdr:colOff>0</xdr:colOff>
                <xdr:row>7</xdr:row>
                <xdr:rowOff>114300</xdr:rowOff>
              </from>
              <to>
                <xdr:col>5</xdr:col>
                <xdr:colOff>342900</xdr:colOff>
                <xdr:row>10</xdr:row>
                <xdr:rowOff>57150</xdr:rowOff>
              </to>
            </anchor>
          </objectPr>
        </oleObject>
      </mc:Choice>
      <mc:Fallback>
        <oleObject progId="Packager Shell Object" shapeId="717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D753-9653-435B-8104-CA088A693CAA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581025</xdr:colOff>
                <xdr:row>1</xdr:row>
                <xdr:rowOff>57150</xdr:rowOff>
              </from>
              <to>
                <xdr:col>18</xdr:col>
                <xdr:colOff>114300</xdr:colOff>
                <xdr:row>46</xdr:row>
                <xdr:rowOff>180975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85A9-F32B-4415-9C9D-405BE410B776}">
  <sheetPr>
    <tabColor theme="7" tint="-0.249977111117893"/>
  </sheetPr>
  <dimension ref="A1"/>
  <sheetViews>
    <sheetView topLeftCell="A74" workbookViewId="0">
      <selection activeCell="M87" sqref="M87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3073" r:id="rId4">
          <objectPr defaultSize="0" r:id="rId5">
            <anchor moveWithCells="1">
              <from>
                <xdr:col>1</xdr:col>
                <xdr:colOff>523875</xdr:colOff>
                <xdr:row>1</xdr:row>
                <xdr:rowOff>66675</xdr:rowOff>
              </from>
              <to>
                <xdr:col>11</xdr:col>
                <xdr:colOff>371475</xdr:colOff>
                <xdr:row>17</xdr:row>
                <xdr:rowOff>171450</xdr:rowOff>
              </to>
            </anchor>
          </objectPr>
        </oleObject>
      </mc:Choice>
      <mc:Fallback>
        <oleObject progId="Word.Document.12" shapeId="3073" r:id="rId4"/>
      </mc:Fallback>
    </mc:AlternateContent>
    <mc:AlternateContent xmlns:mc="http://schemas.openxmlformats.org/markup-compatibility/2006">
      <mc:Choice Requires="x14">
        <oleObject progId="Word.Document.12" shapeId="3074" r:id="rId6">
          <objectPr defaultSize="0" r:id="rId7">
            <anchor moveWithCells="1">
              <from>
                <xdr:col>1</xdr:col>
                <xdr:colOff>495300</xdr:colOff>
                <xdr:row>18</xdr:row>
                <xdr:rowOff>85725</xdr:rowOff>
              </from>
              <to>
                <xdr:col>11</xdr:col>
                <xdr:colOff>342900</xdr:colOff>
                <xdr:row>46</xdr:row>
                <xdr:rowOff>47625</xdr:rowOff>
              </to>
            </anchor>
          </objectPr>
        </oleObject>
      </mc:Choice>
      <mc:Fallback>
        <oleObject progId="Word.Document.12" shapeId="3074" r:id="rId6"/>
      </mc:Fallback>
    </mc:AlternateContent>
    <mc:AlternateContent xmlns:mc="http://schemas.openxmlformats.org/markup-compatibility/2006">
      <mc:Choice Requires="x14">
        <oleObject progId="Word.Document.12" shapeId="3075" r:id="rId8">
          <objectPr defaultSize="0" r:id="rId9">
            <anchor moveWithCells="1">
              <from>
                <xdr:col>1</xdr:col>
                <xdr:colOff>400050</xdr:colOff>
                <xdr:row>48</xdr:row>
                <xdr:rowOff>142875</xdr:rowOff>
              </from>
              <to>
                <xdr:col>11</xdr:col>
                <xdr:colOff>247650</xdr:colOff>
                <xdr:row>59</xdr:row>
                <xdr:rowOff>47625</xdr:rowOff>
              </to>
            </anchor>
          </objectPr>
        </oleObject>
      </mc:Choice>
      <mc:Fallback>
        <oleObject progId="Word.Document.12" shapeId="3075" r:id="rId8"/>
      </mc:Fallback>
    </mc:AlternateContent>
    <mc:AlternateContent xmlns:mc="http://schemas.openxmlformats.org/markup-compatibility/2006">
      <mc:Choice Requires="x14">
        <oleObject progId="Word.Document.12" shapeId="3076" r:id="rId10">
          <objectPr defaultSize="0" r:id="rId11">
            <anchor moveWithCells="1">
              <from>
                <xdr:col>1</xdr:col>
                <xdr:colOff>447675</xdr:colOff>
                <xdr:row>63</xdr:row>
                <xdr:rowOff>161925</xdr:rowOff>
              </from>
              <to>
                <xdr:col>11</xdr:col>
                <xdr:colOff>295275</xdr:colOff>
                <xdr:row>75</xdr:row>
                <xdr:rowOff>142875</xdr:rowOff>
              </to>
            </anchor>
          </objectPr>
        </oleObject>
      </mc:Choice>
      <mc:Fallback>
        <oleObject progId="Word.Document.12" shapeId="3076" r:id="rId10"/>
      </mc:Fallback>
    </mc:AlternateContent>
    <mc:AlternateContent xmlns:mc="http://schemas.openxmlformats.org/markup-compatibility/2006">
      <mc:Choice Requires="x14">
        <oleObject progId="Word.Document.12" shapeId="3077" r:id="rId12">
          <objectPr defaultSize="0" r:id="rId13">
            <anchor moveWithCells="1">
              <from>
                <xdr:col>1</xdr:col>
                <xdr:colOff>542925</xdr:colOff>
                <xdr:row>79</xdr:row>
                <xdr:rowOff>161925</xdr:rowOff>
              </from>
              <to>
                <xdr:col>11</xdr:col>
                <xdr:colOff>390525</xdr:colOff>
                <xdr:row>91</xdr:row>
                <xdr:rowOff>76200</xdr:rowOff>
              </to>
            </anchor>
          </objectPr>
        </oleObject>
      </mc:Choice>
      <mc:Fallback>
        <oleObject progId="Word.Document.12" shapeId="3077" r:id="rId12"/>
      </mc:Fallback>
    </mc:AlternateContent>
    <mc:AlternateContent xmlns:mc="http://schemas.openxmlformats.org/markup-compatibility/2006">
      <mc:Choice Requires="x14">
        <oleObject progId="Word.Document.12" shapeId="3078" r:id="rId14">
          <objectPr defaultSize="0" r:id="rId15">
            <anchor moveWithCells="1">
              <from>
                <xdr:col>1</xdr:col>
                <xdr:colOff>581025</xdr:colOff>
                <xdr:row>94</xdr:row>
                <xdr:rowOff>142875</xdr:rowOff>
              </from>
              <to>
                <xdr:col>11</xdr:col>
                <xdr:colOff>428625</xdr:colOff>
                <xdr:row>112</xdr:row>
                <xdr:rowOff>38100</xdr:rowOff>
              </to>
            </anchor>
          </objectPr>
        </oleObject>
      </mc:Choice>
      <mc:Fallback>
        <oleObject progId="Word.Document.12" shapeId="3078" r:id="rId14"/>
      </mc:Fallback>
    </mc:AlternateContent>
    <mc:AlternateContent xmlns:mc="http://schemas.openxmlformats.org/markup-compatibility/2006">
      <mc:Choice Requires="x14">
        <oleObject progId="Word.Document.12" shapeId="3079" r:id="rId16">
          <objectPr defaultSize="0" r:id="rId17">
            <anchor moveWithCells="1">
              <from>
                <xdr:col>1</xdr:col>
                <xdr:colOff>590550</xdr:colOff>
                <xdr:row>116</xdr:row>
                <xdr:rowOff>28575</xdr:rowOff>
              </from>
              <to>
                <xdr:col>11</xdr:col>
                <xdr:colOff>438150</xdr:colOff>
                <xdr:row>124</xdr:row>
                <xdr:rowOff>85725</xdr:rowOff>
              </to>
            </anchor>
          </objectPr>
        </oleObject>
      </mc:Choice>
      <mc:Fallback>
        <oleObject progId="Word.Document.12" shapeId="3079" r:id="rId1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B8903-2696-45A0-8641-80A7957A1900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4097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17</xdr:col>
                <xdr:colOff>57150</xdr:colOff>
                <xdr:row>36</xdr:row>
                <xdr:rowOff>133350</xdr:rowOff>
              </to>
            </anchor>
          </objectPr>
        </oleObject>
      </mc:Choice>
      <mc:Fallback>
        <oleObject progId="Word.Document.12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7F0B-C353-4EE7-8F61-14A71DEA600F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5121" r:id="rId4">
          <objectPr defaultSize="0" r:id="rId5">
            <anchor moveWithCells="1">
              <from>
                <xdr:col>0</xdr:col>
                <xdr:colOff>552450</xdr:colOff>
                <xdr:row>1</xdr:row>
                <xdr:rowOff>0</xdr:rowOff>
              </from>
              <to>
                <xdr:col>15</xdr:col>
                <xdr:colOff>476250</xdr:colOff>
                <xdr:row>36</xdr:row>
                <xdr:rowOff>85725</xdr:rowOff>
              </to>
            </anchor>
          </objectPr>
        </oleObject>
      </mc:Choice>
      <mc:Fallback>
        <oleObject progId="Word.Document.12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14F5-B572-4B40-A28E-1EE9F560A0DB}">
  <sheetPr>
    <tabColor theme="4" tint="0.59999389629810485"/>
  </sheetPr>
  <dimension ref="A1:AP31"/>
  <sheetViews>
    <sheetView topLeftCell="A2" workbookViewId="0">
      <pane xSplit="4" ySplit="7" topLeftCell="E9" activePane="bottomRight" state="frozen"/>
      <selection activeCell="A2" sqref="A2"/>
      <selection pane="topRight" activeCell="E2" sqref="E2"/>
      <selection pane="bottomLeft" activeCell="A8" sqref="A8"/>
      <selection pane="bottomRight" activeCell="D18" sqref="D18"/>
    </sheetView>
  </sheetViews>
  <sheetFormatPr defaultRowHeight="15" outlineLevelCol="1" x14ac:dyDescent="0.25"/>
  <cols>
    <col min="1" max="1" width="27" style="4" customWidth="1"/>
    <col min="2" max="2" width="20.28515625" style="4" customWidth="1"/>
    <col min="3" max="3" width="19.7109375" style="4" bestFit="1" customWidth="1"/>
    <col min="4" max="4" width="25.140625" style="4" customWidth="1"/>
    <col min="5" max="5" width="15.5703125" style="4" customWidth="1" outlineLevel="1"/>
    <col min="6" max="6" width="16.7109375" style="4" customWidth="1" outlineLevel="1"/>
    <col min="7" max="7" width="20.140625" style="4" customWidth="1"/>
    <col min="8" max="8" width="21.28515625" style="4" customWidth="1"/>
    <col min="9" max="9" width="19.140625" style="4" customWidth="1" outlineLevel="1"/>
    <col min="10" max="10" width="18.42578125" style="4" customWidth="1" outlineLevel="1"/>
    <col min="11" max="11" width="23.5703125" style="4" customWidth="1" outlineLevel="1"/>
    <col min="12" max="12" width="20.140625" style="4" customWidth="1"/>
    <col min="13" max="13" width="15.5703125" style="4" customWidth="1"/>
    <col min="14" max="14" width="25.140625" style="4" customWidth="1" outlineLevel="1"/>
    <col min="15" max="15" width="14.28515625" style="4" customWidth="1"/>
    <col min="16" max="16" width="24.42578125" style="4" customWidth="1"/>
    <col min="17" max="17" width="14.42578125" style="4" customWidth="1"/>
    <col min="18" max="18" width="27.140625" style="4" customWidth="1"/>
    <col min="19" max="19" width="12.28515625" style="4" bestFit="1" customWidth="1"/>
    <col min="20" max="20" width="10.5703125" style="4" bestFit="1" customWidth="1"/>
    <col min="21" max="23" width="10.5703125" style="4" customWidth="1"/>
    <col min="24" max="24" width="12" style="4" customWidth="1"/>
    <col min="25" max="25" width="10.5703125" style="4" customWidth="1"/>
    <col min="26" max="26" width="12" style="4" customWidth="1"/>
    <col min="27" max="29" width="10.5703125" style="4" customWidth="1"/>
    <col min="30" max="30" width="11.85546875" style="4" customWidth="1"/>
    <col min="31" max="31" width="11.5703125" style="4" bestFit="1" customWidth="1"/>
    <col min="32" max="37" width="10.5703125" style="4" customWidth="1"/>
    <col min="38" max="38" width="12.85546875" style="4" customWidth="1"/>
    <col min="39" max="40" width="11.5703125" style="4" bestFit="1" customWidth="1"/>
    <col min="41" max="41" width="10.5703125" style="4" bestFit="1" customWidth="1"/>
    <col min="42" max="42" width="13.7109375" style="4" customWidth="1"/>
    <col min="43" max="43" width="11.85546875" style="4" customWidth="1"/>
    <col min="44" max="16384" width="9.140625" style="4"/>
  </cols>
  <sheetData>
    <row r="1" spans="1:42" x14ac:dyDescent="0.25">
      <c r="A1" s="1" t="s">
        <v>22</v>
      </c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42" ht="18.75" x14ac:dyDescent="0.3">
      <c r="A2" s="6" t="s">
        <v>15</v>
      </c>
      <c r="B2" s="2">
        <v>4.5</v>
      </c>
      <c r="C2" s="7"/>
      <c r="D2" s="8"/>
    </row>
    <row r="3" spans="1:42" x14ac:dyDescent="0.25">
      <c r="A3" s="6" t="s">
        <v>23</v>
      </c>
      <c r="B3" s="3">
        <v>5.2499999999999998E-2</v>
      </c>
      <c r="C3" s="7"/>
      <c r="D3" s="8"/>
    </row>
    <row r="4" spans="1:42" x14ac:dyDescent="0.25">
      <c r="A4" s="6" t="s">
        <v>24</v>
      </c>
      <c r="B4" s="4">
        <v>65</v>
      </c>
      <c r="C4" s="7"/>
    </row>
    <row r="5" spans="1:42" ht="30" x14ac:dyDescent="0.25">
      <c r="A5" s="6" t="s">
        <v>25</v>
      </c>
      <c r="B5" s="3">
        <v>6.25E-2</v>
      </c>
      <c r="C5" s="7"/>
      <c r="D5" s="3"/>
    </row>
    <row r="6" spans="1:42" x14ac:dyDescent="0.25">
      <c r="A6" s="6" t="s">
        <v>10</v>
      </c>
      <c r="B6" s="5">
        <v>0.04</v>
      </c>
      <c r="S6" s="9">
        <f ca="1">SUM(S9:S31)</f>
        <v>0</v>
      </c>
    </row>
    <row r="7" spans="1:42" ht="15.75" thickBot="1" x14ac:dyDescent="0.3">
      <c r="A7" s="6"/>
      <c r="B7" s="6"/>
      <c r="C7" s="6"/>
      <c r="D7" s="6"/>
      <c r="E7" s="32"/>
      <c r="F7" s="32"/>
      <c r="G7" s="32"/>
      <c r="I7" s="32"/>
      <c r="K7" s="32"/>
      <c r="M7" s="32"/>
      <c r="N7" s="32"/>
      <c r="O7" s="32"/>
      <c r="P7" s="32"/>
      <c r="Q7" s="32"/>
      <c r="S7" s="9"/>
    </row>
    <row r="8" spans="1:42" ht="71.25" customHeight="1" x14ac:dyDescent="0.25">
      <c r="A8" s="33" t="s">
        <v>11</v>
      </c>
      <c r="B8" s="34" t="s">
        <v>12</v>
      </c>
      <c r="C8" s="34" t="s">
        <v>26</v>
      </c>
      <c r="D8" s="34" t="s">
        <v>7</v>
      </c>
      <c r="E8" s="33" t="s">
        <v>13</v>
      </c>
      <c r="F8" s="33" t="s">
        <v>14</v>
      </c>
      <c r="G8" s="35" t="s">
        <v>27</v>
      </c>
      <c r="H8" s="35" t="s">
        <v>28</v>
      </c>
      <c r="I8" s="35" t="s">
        <v>16</v>
      </c>
      <c r="J8" s="35" t="s">
        <v>17</v>
      </c>
      <c r="K8" s="35" t="s">
        <v>20</v>
      </c>
      <c r="L8" s="35" t="s">
        <v>18</v>
      </c>
      <c r="M8" s="35" t="s">
        <v>1</v>
      </c>
      <c r="N8" s="35" t="s">
        <v>21</v>
      </c>
      <c r="O8" s="35" t="s">
        <v>0</v>
      </c>
      <c r="P8" s="35" t="s">
        <v>3</v>
      </c>
      <c r="Q8" s="36" t="s">
        <v>10</v>
      </c>
      <c r="R8" s="6"/>
      <c r="S8" s="10" t="s">
        <v>19</v>
      </c>
      <c r="T8" s="11" t="s">
        <v>11</v>
      </c>
      <c r="U8" s="12" t="s">
        <v>12</v>
      </c>
      <c r="V8" s="12" t="s">
        <v>6</v>
      </c>
      <c r="W8" s="12" t="s">
        <v>7</v>
      </c>
      <c r="X8" s="12" t="s">
        <v>8</v>
      </c>
      <c r="Y8" s="12" t="s">
        <v>9</v>
      </c>
      <c r="Z8" s="12" t="s">
        <v>4</v>
      </c>
      <c r="AA8" s="12" t="s">
        <v>5</v>
      </c>
      <c r="AB8" s="12" t="s">
        <v>3</v>
      </c>
      <c r="AC8" s="13" t="s">
        <v>10</v>
      </c>
      <c r="AD8" s="14"/>
      <c r="AE8" s="14"/>
      <c r="AF8" s="14"/>
      <c r="AG8" s="14"/>
      <c r="AH8" s="14"/>
      <c r="AI8" s="14"/>
      <c r="AK8" s="14"/>
      <c r="AL8" s="14"/>
      <c r="AM8" s="14"/>
      <c r="AN8" s="14"/>
      <c r="AO8" s="14"/>
      <c r="AP8" s="14"/>
    </row>
    <row r="9" spans="1:42" x14ac:dyDescent="0.25">
      <c r="A9" s="37">
        <v>0</v>
      </c>
      <c r="B9" s="38">
        <f>U9</f>
        <v>100000</v>
      </c>
      <c r="C9" s="38">
        <f t="shared" ref="C9:C31" si="0">V9</f>
        <v>0</v>
      </c>
      <c r="D9" s="38">
        <f t="shared" ref="D9:D31" si="1">W9</f>
        <v>100000</v>
      </c>
      <c r="E9" s="39" t="b">
        <f t="shared" ref="E9:E31" si="2">INT($A9)-$A9=0</f>
        <v>1</v>
      </c>
      <c r="F9" s="39" t="b">
        <f t="shared" ref="F9:F31" si="3">$A9&gt;=ActivationPeriod</f>
        <v>0</v>
      </c>
      <c r="G9" s="40">
        <v>0</v>
      </c>
      <c r="H9" s="41">
        <f t="shared" ref="H9:H19" ca="1" si="4">_xlfn.LET(_xlpm.prevMAWA,OFFSET($P9,-1,0),_xlpm.prevAv,OFFSET($D9,-1,0), IF($C9&lt;&gt;0,IF($F9,1-MAX(0,$C9-_xlpm.prevMAWA)/(_xlpm.prevAv-_xlpm.prevMAWA),1-$C9/$D9),1))</f>
        <v>1</v>
      </c>
      <c r="I9" s="41" t="b">
        <f t="shared" ref="I9:I31" si="5">$N9&gt;0</f>
        <v>0</v>
      </c>
      <c r="J9" s="40">
        <f>B9</f>
        <v>100000</v>
      </c>
      <c r="K9" s="42"/>
      <c r="L9" s="40">
        <f>B9</f>
        <v>100000</v>
      </c>
      <c r="M9" s="42"/>
      <c r="N9" s="40"/>
      <c r="O9" s="40">
        <f t="shared" ref="O9:O31" si="6">$J9+$N9</f>
        <v>100000</v>
      </c>
      <c r="P9" s="43">
        <f t="shared" ref="P9:P31" si="7">IF($D9&gt;0,$O9*MawRate,0)</f>
        <v>6250</v>
      </c>
      <c r="Q9" s="44">
        <f t="shared" ref="Q9:Q31" si="8">IF($D9=0,pipRate*$O9,0)</f>
        <v>0</v>
      </c>
      <c r="R9" s="15"/>
      <c r="S9" s="15">
        <f t="shared" ref="S9:S31" si="9">TRUNC(SUM(G9,O9,L9,M9,P9,Q9)-SUM(X9:AC9),0)</f>
        <v>0</v>
      </c>
      <c r="T9" s="16">
        <v>0</v>
      </c>
      <c r="U9" s="17">
        <v>100000</v>
      </c>
      <c r="V9" s="17">
        <v>0</v>
      </c>
      <c r="W9" s="17">
        <v>100000</v>
      </c>
      <c r="X9" s="18">
        <v>0</v>
      </c>
      <c r="Y9" s="19">
        <v>100000</v>
      </c>
      <c r="Z9" s="19">
        <v>100000</v>
      </c>
      <c r="AA9" s="19">
        <v>0</v>
      </c>
      <c r="AB9" s="19">
        <v>6250</v>
      </c>
      <c r="AC9" s="20">
        <v>0</v>
      </c>
      <c r="AD9" s="21"/>
      <c r="AE9" s="21"/>
      <c r="AF9" s="21"/>
      <c r="AG9" s="21"/>
      <c r="AH9" s="21"/>
      <c r="AI9" s="21"/>
      <c r="AK9" s="22"/>
      <c r="AL9" s="22"/>
      <c r="AM9" s="22"/>
      <c r="AN9" s="22"/>
      <c r="AO9" s="22"/>
      <c r="AP9" s="22"/>
    </row>
    <row r="10" spans="1:42" x14ac:dyDescent="0.25">
      <c r="A10" s="45">
        <f>A9+0.5</f>
        <v>0.5</v>
      </c>
      <c r="B10" s="38">
        <f t="shared" ref="B10:B31" si="10">U10</f>
        <v>60000</v>
      </c>
      <c r="C10" s="38">
        <f t="shared" si="0"/>
        <v>0</v>
      </c>
      <c r="D10" s="38">
        <f t="shared" si="1"/>
        <v>165000</v>
      </c>
      <c r="E10" s="46" t="b">
        <f t="shared" si="2"/>
        <v>0</v>
      </c>
      <c r="F10" s="46" t="b">
        <f t="shared" si="3"/>
        <v>0</v>
      </c>
      <c r="G10" s="47">
        <f t="shared" ref="G10:G31" si="11">IF($E10,$D10,0)</f>
        <v>0</v>
      </c>
      <c r="H10" s="48">
        <f t="shared" ca="1" si="4"/>
        <v>1</v>
      </c>
      <c r="I10" s="48" t="b">
        <f t="shared" si="5"/>
        <v>0</v>
      </c>
      <c r="J10" s="47">
        <f t="shared" ref="J10:J31" ca="1" si="12">_xlfn.LET(_xlpm.prevIB,OFFSET($O10,-1,0), IF($E10,MAX(_xlpm.prevIB,$G10+$B10),_xlpm.prevIB+$B10)*$H10)</f>
        <v>160000</v>
      </c>
      <c r="K10" s="42"/>
      <c r="L10" s="47">
        <f t="shared" ref="L10:L31" ca="1" si="13">_xlfn.LET(_xlpm.prevIB,OFFSET($L10,-1,0),IF(NOT($F10),IF($I10,_xlpm.prevIB,IF($E10,MAX(_xlpm.prevIB,$G10+$B10),_xlpm.prevIB+$B10))*$H10,0))</f>
        <v>160000</v>
      </c>
      <c r="M10" s="42"/>
      <c r="N10" s="47"/>
      <c r="O10" s="47">
        <f t="shared" ca="1" si="6"/>
        <v>160000</v>
      </c>
      <c r="P10" s="49">
        <f t="shared" ca="1" si="7"/>
        <v>10000</v>
      </c>
      <c r="Q10" s="50">
        <f t="shared" si="8"/>
        <v>0</v>
      </c>
      <c r="R10" s="15"/>
      <c r="S10" s="15">
        <f t="shared" ca="1" si="9"/>
        <v>0</v>
      </c>
      <c r="T10" s="16">
        <f>T9+0.5</f>
        <v>0.5</v>
      </c>
      <c r="U10" s="17">
        <v>60000</v>
      </c>
      <c r="V10" s="17">
        <v>0</v>
      </c>
      <c r="W10" s="17">
        <v>165000</v>
      </c>
      <c r="X10" s="18">
        <v>0</v>
      </c>
      <c r="Y10" s="19">
        <v>160000</v>
      </c>
      <c r="Z10" s="19">
        <v>160000</v>
      </c>
      <c r="AA10" s="19">
        <v>0</v>
      </c>
      <c r="AB10" s="19">
        <v>10000</v>
      </c>
      <c r="AC10" s="20">
        <v>0</v>
      </c>
      <c r="AD10" s="21"/>
      <c r="AE10" s="21"/>
      <c r="AF10" s="21"/>
      <c r="AG10" s="21"/>
      <c r="AH10" s="21"/>
      <c r="AI10" s="21"/>
      <c r="AK10" s="22"/>
      <c r="AL10" s="22"/>
      <c r="AM10" s="22"/>
      <c r="AN10" s="22"/>
      <c r="AO10" s="22"/>
      <c r="AP10" s="22"/>
    </row>
    <row r="11" spans="1:42" x14ac:dyDescent="0.25">
      <c r="A11" s="37">
        <f t="shared" ref="A11:A31" si="14">A10+0.5</f>
        <v>1</v>
      </c>
      <c r="B11" s="38">
        <f t="shared" si="10"/>
        <v>0</v>
      </c>
      <c r="C11" s="38">
        <f t="shared" si="0"/>
        <v>0</v>
      </c>
      <c r="D11" s="38">
        <f t="shared" si="1"/>
        <v>170000</v>
      </c>
      <c r="E11" s="39" t="b">
        <f t="shared" si="2"/>
        <v>1</v>
      </c>
      <c r="F11" s="39" t="b">
        <f t="shared" si="3"/>
        <v>0</v>
      </c>
      <c r="G11" s="40">
        <f t="shared" si="11"/>
        <v>170000</v>
      </c>
      <c r="H11" s="41">
        <f t="shared" ca="1" si="4"/>
        <v>1</v>
      </c>
      <c r="I11" s="41" t="b">
        <f t="shared" ca="1" si="5"/>
        <v>0</v>
      </c>
      <c r="J11" s="40">
        <f t="shared" ca="1" si="12"/>
        <v>170000</v>
      </c>
      <c r="K11" s="40">
        <f t="shared" ref="K11:K31" ca="1" si="15">$J11-OFFSET($J11,-1,0)</f>
        <v>10000</v>
      </c>
      <c r="L11" s="40">
        <f t="shared" ca="1" si="13"/>
        <v>170000</v>
      </c>
      <c r="M11" s="40">
        <f t="shared" ref="M11:M31" ca="1" si="16">IF(AND(NOT($F11), $E11),OFFSET($L11,-1,0)*IncCredRate,0)</f>
        <v>8400</v>
      </c>
      <c r="N11" s="40">
        <f t="shared" ref="N11:N31" ca="1" si="17">IF(AND($E11,NOT($F11)),MAX(0,$M11-$K11),0)</f>
        <v>0</v>
      </c>
      <c r="O11" s="40">
        <f t="shared" ca="1" si="6"/>
        <v>170000</v>
      </c>
      <c r="P11" s="43">
        <f t="shared" ca="1" si="7"/>
        <v>10625</v>
      </c>
      <c r="Q11" s="44">
        <f t="shared" si="8"/>
        <v>0</v>
      </c>
      <c r="R11" s="15"/>
      <c r="S11" s="15">
        <f t="shared" ca="1" si="9"/>
        <v>0</v>
      </c>
      <c r="T11" s="16">
        <f t="shared" ref="T11:T31" si="18">T10+0.5</f>
        <v>1</v>
      </c>
      <c r="U11" s="17">
        <v>0</v>
      </c>
      <c r="V11" s="17">
        <v>0</v>
      </c>
      <c r="W11" s="17">
        <v>170000</v>
      </c>
      <c r="X11" s="18">
        <v>170000</v>
      </c>
      <c r="Y11" s="19">
        <v>170000</v>
      </c>
      <c r="Z11" s="19">
        <v>170000</v>
      </c>
      <c r="AA11" s="19">
        <v>8400</v>
      </c>
      <c r="AB11" s="19">
        <v>10625</v>
      </c>
      <c r="AC11" s="20">
        <v>0</v>
      </c>
      <c r="AD11" s="21"/>
      <c r="AE11" s="21"/>
      <c r="AF11" s="21"/>
      <c r="AG11" s="21"/>
      <c r="AH11" s="21"/>
      <c r="AI11" s="21"/>
      <c r="AK11" s="22"/>
      <c r="AL11" s="22"/>
      <c r="AM11" s="22"/>
      <c r="AN11" s="22"/>
      <c r="AO11" s="22"/>
      <c r="AP11" s="22"/>
    </row>
    <row r="12" spans="1:42" x14ac:dyDescent="0.25">
      <c r="A12" s="45">
        <f t="shared" si="14"/>
        <v>1.5</v>
      </c>
      <c r="B12" s="38">
        <f t="shared" si="10"/>
        <v>90000</v>
      </c>
      <c r="C12" s="38">
        <f t="shared" si="0"/>
        <v>0</v>
      </c>
      <c r="D12" s="38">
        <f t="shared" si="1"/>
        <v>255000</v>
      </c>
      <c r="E12" s="46" t="b">
        <f t="shared" si="2"/>
        <v>0</v>
      </c>
      <c r="F12" s="46" t="b">
        <f t="shared" si="3"/>
        <v>0</v>
      </c>
      <c r="G12" s="47">
        <f t="shared" si="11"/>
        <v>0</v>
      </c>
      <c r="H12" s="48">
        <f t="shared" ca="1" si="4"/>
        <v>1</v>
      </c>
      <c r="I12" s="48" t="b">
        <f t="shared" si="5"/>
        <v>0</v>
      </c>
      <c r="J12" s="47">
        <f t="shared" ca="1" si="12"/>
        <v>260000</v>
      </c>
      <c r="K12" s="47">
        <f t="shared" ca="1" si="15"/>
        <v>90000</v>
      </c>
      <c r="L12" s="47">
        <f t="shared" ca="1" si="13"/>
        <v>260000</v>
      </c>
      <c r="M12" s="47">
        <f t="shared" ca="1" si="16"/>
        <v>0</v>
      </c>
      <c r="N12" s="47">
        <f t="shared" si="17"/>
        <v>0</v>
      </c>
      <c r="O12" s="47">
        <f t="shared" ca="1" si="6"/>
        <v>260000</v>
      </c>
      <c r="P12" s="49">
        <f t="shared" ca="1" si="7"/>
        <v>16250</v>
      </c>
      <c r="Q12" s="50">
        <f t="shared" si="8"/>
        <v>0</v>
      </c>
      <c r="R12" s="15"/>
      <c r="S12" s="15">
        <f t="shared" ca="1" si="9"/>
        <v>0</v>
      </c>
      <c r="T12" s="16">
        <f t="shared" si="18"/>
        <v>1.5</v>
      </c>
      <c r="U12" s="17">
        <v>90000</v>
      </c>
      <c r="V12" s="17">
        <v>0</v>
      </c>
      <c r="W12" s="17">
        <v>255000</v>
      </c>
      <c r="X12" s="18">
        <v>0</v>
      </c>
      <c r="Y12" s="19">
        <v>260000</v>
      </c>
      <c r="Z12" s="19">
        <v>260000</v>
      </c>
      <c r="AA12" s="19">
        <v>0</v>
      </c>
      <c r="AB12" s="19">
        <v>16250</v>
      </c>
      <c r="AC12" s="20">
        <v>0</v>
      </c>
      <c r="AD12" s="21"/>
      <c r="AE12" s="21"/>
      <c r="AF12" s="21"/>
      <c r="AG12" s="21"/>
      <c r="AH12" s="21"/>
      <c r="AI12" s="21"/>
      <c r="AK12" s="22"/>
      <c r="AL12" s="22"/>
      <c r="AM12" s="22"/>
      <c r="AN12" s="22"/>
      <c r="AO12" s="22"/>
      <c r="AP12" s="22"/>
    </row>
    <row r="13" spans="1:42" x14ac:dyDescent="0.25">
      <c r="A13" s="37">
        <f t="shared" si="14"/>
        <v>2</v>
      </c>
      <c r="B13" s="38">
        <f t="shared" si="10"/>
        <v>0</v>
      </c>
      <c r="C13" s="38">
        <f t="shared" si="0"/>
        <v>0</v>
      </c>
      <c r="D13" s="38">
        <f t="shared" si="1"/>
        <v>287000</v>
      </c>
      <c r="E13" s="39" t="b">
        <f t="shared" si="2"/>
        <v>1</v>
      </c>
      <c r="F13" s="39" t="b">
        <f t="shared" si="3"/>
        <v>0</v>
      </c>
      <c r="G13" s="40">
        <f t="shared" si="11"/>
        <v>287000</v>
      </c>
      <c r="H13" s="41">
        <f t="shared" ca="1" si="4"/>
        <v>1</v>
      </c>
      <c r="I13" s="41" t="b">
        <f t="shared" ca="1" si="5"/>
        <v>0</v>
      </c>
      <c r="J13" s="40">
        <f t="shared" ca="1" si="12"/>
        <v>287000</v>
      </c>
      <c r="K13" s="40">
        <f t="shared" ca="1" si="15"/>
        <v>27000</v>
      </c>
      <c r="L13" s="40">
        <f t="shared" ca="1" si="13"/>
        <v>287000</v>
      </c>
      <c r="M13" s="40">
        <f t="shared" ca="1" si="16"/>
        <v>13650</v>
      </c>
      <c r="N13" s="40">
        <f t="shared" ca="1" si="17"/>
        <v>0</v>
      </c>
      <c r="O13" s="40">
        <f t="shared" ca="1" si="6"/>
        <v>287000</v>
      </c>
      <c r="P13" s="43">
        <f t="shared" ca="1" si="7"/>
        <v>17937.5</v>
      </c>
      <c r="Q13" s="44">
        <f t="shared" si="8"/>
        <v>0</v>
      </c>
      <c r="R13" s="15"/>
      <c r="S13" s="15">
        <f t="shared" ca="1" si="9"/>
        <v>0</v>
      </c>
      <c r="T13" s="16">
        <f t="shared" si="18"/>
        <v>2</v>
      </c>
      <c r="U13" s="17">
        <v>0</v>
      </c>
      <c r="V13" s="17">
        <v>0</v>
      </c>
      <c r="W13" s="17">
        <v>287000</v>
      </c>
      <c r="X13" s="18">
        <v>287000</v>
      </c>
      <c r="Y13" s="19">
        <v>287000</v>
      </c>
      <c r="Z13" s="19">
        <v>287000</v>
      </c>
      <c r="AA13" s="19">
        <v>13650</v>
      </c>
      <c r="AB13" s="19">
        <v>17938</v>
      </c>
      <c r="AC13" s="20">
        <v>0</v>
      </c>
      <c r="AD13" s="21"/>
      <c r="AE13" s="21"/>
      <c r="AF13" s="21"/>
      <c r="AG13" s="21"/>
      <c r="AH13" s="21"/>
      <c r="AI13" s="21"/>
      <c r="AK13" s="22"/>
      <c r="AL13" s="22"/>
      <c r="AM13" s="22"/>
      <c r="AN13" s="22"/>
      <c r="AO13" s="22"/>
      <c r="AP13" s="22"/>
    </row>
    <row r="14" spans="1:42" x14ac:dyDescent="0.25">
      <c r="A14" s="45">
        <f t="shared" si="14"/>
        <v>2.5</v>
      </c>
      <c r="B14" s="38">
        <f t="shared" si="10"/>
        <v>0</v>
      </c>
      <c r="C14" s="38">
        <f t="shared" si="0"/>
        <v>0</v>
      </c>
      <c r="D14" s="38">
        <f t="shared" si="1"/>
        <v>287000</v>
      </c>
      <c r="E14" s="46" t="b">
        <f t="shared" si="2"/>
        <v>0</v>
      </c>
      <c r="F14" s="46" t="b">
        <f t="shared" si="3"/>
        <v>0</v>
      </c>
      <c r="G14" s="47">
        <f t="shared" si="11"/>
        <v>0</v>
      </c>
      <c r="H14" s="48">
        <f t="shared" ca="1" si="4"/>
        <v>1</v>
      </c>
      <c r="I14" s="48" t="b">
        <f t="shared" si="5"/>
        <v>0</v>
      </c>
      <c r="J14" s="47">
        <f t="shared" ca="1" si="12"/>
        <v>287000</v>
      </c>
      <c r="K14" s="47">
        <f t="shared" ca="1" si="15"/>
        <v>0</v>
      </c>
      <c r="L14" s="47">
        <f t="shared" ca="1" si="13"/>
        <v>287000</v>
      </c>
      <c r="M14" s="47">
        <f t="shared" ca="1" si="16"/>
        <v>0</v>
      </c>
      <c r="N14" s="47">
        <f t="shared" si="17"/>
        <v>0</v>
      </c>
      <c r="O14" s="47">
        <f t="shared" ca="1" si="6"/>
        <v>287000</v>
      </c>
      <c r="P14" s="49">
        <f t="shared" ca="1" si="7"/>
        <v>17937.5</v>
      </c>
      <c r="Q14" s="50">
        <f t="shared" si="8"/>
        <v>0</v>
      </c>
      <c r="R14" s="15"/>
      <c r="S14" s="15">
        <f t="shared" ca="1" si="9"/>
        <v>0</v>
      </c>
      <c r="T14" s="16">
        <f t="shared" si="18"/>
        <v>2.5</v>
      </c>
      <c r="U14" s="17">
        <v>0</v>
      </c>
      <c r="V14" s="17">
        <v>0</v>
      </c>
      <c r="W14" s="17">
        <v>287000</v>
      </c>
      <c r="X14" s="23">
        <v>0</v>
      </c>
      <c r="Y14" s="19">
        <v>287000</v>
      </c>
      <c r="Z14" s="19">
        <v>287000</v>
      </c>
      <c r="AA14" s="19">
        <v>0</v>
      </c>
      <c r="AB14" s="19">
        <v>17938</v>
      </c>
      <c r="AC14" s="20">
        <v>0</v>
      </c>
      <c r="AD14" s="21"/>
      <c r="AE14" s="21"/>
      <c r="AF14" s="21"/>
      <c r="AG14" s="21"/>
      <c r="AH14" s="21"/>
      <c r="AI14" s="21"/>
      <c r="AK14" s="22"/>
      <c r="AL14" s="22"/>
      <c r="AM14" s="22"/>
      <c r="AN14" s="22"/>
      <c r="AO14" s="22"/>
      <c r="AP14" s="22"/>
    </row>
    <row r="15" spans="1:42" x14ac:dyDescent="0.25">
      <c r="A15" s="37">
        <f t="shared" si="14"/>
        <v>3</v>
      </c>
      <c r="B15" s="38">
        <f t="shared" si="10"/>
        <v>0</v>
      </c>
      <c r="C15" s="38">
        <f t="shared" si="0"/>
        <v>0</v>
      </c>
      <c r="D15" s="38">
        <f t="shared" si="1"/>
        <v>300000</v>
      </c>
      <c r="E15" s="39" t="b">
        <f t="shared" si="2"/>
        <v>1</v>
      </c>
      <c r="F15" s="39" t="b">
        <f t="shared" si="3"/>
        <v>0</v>
      </c>
      <c r="G15" s="40">
        <f t="shared" si="11"/>
        <v>300000</v>
      </c>
      <c r="H15" s="41">
        <f t="shared" ca="1" si="4"/>
        <v>1</v>
      </c>
      <c r="I15" s="41" t="b">
        <f t="shared" ca="1" si="5"/>
        <v>1</v>
      </c>
      <c r="J15" s="40">
        <f t="shared" ca="1" si="12"/>
        <v>300000</v>
      </c>
      <c r="K15" s="40">
        <f t="shared" ca="1" si="15"/>
        <v>13000</v>
      </c>
      <c r="L15" s="40">
        <f t="shared" ca="1" si="13"/>
        <v>287000</v>
      </c>
      <c r="M15" s="40">
        <f t="shared" ca="1" si="16"/>
        <v>15067.5</v>
      </c>
      <c r="N15" s="40">
        <f t="shared" ca="1" si="17"/>
        <v>2067.5</v>
      </c>
      <c r="O15" s="40">
        <f t="shared" ca="1" si="6"/>
        <v>302067.5</v>
      </c>
      <c r="P15" s="43">
        <f t="shared" ca="1" si="7"/>
        <v>18879.21875</v>
      </c>
      <c r="Q15" s="44">
        <f t="shared" si="8"/>
        <v>0</v>
      </c>
      <c r="R15" s="15"/>
      <c r="S15" s="15">
        <f t="shared" ca="1" si="9"/>
        <v>0</v>
      </c>
      <c r="T15" s="16">
        <f t="shared" si="18"/>
        <v>3</v>
      </c>
      <c r="U15" s="17">
        <v>0</v>
      </c>
      <c r="V15" s="17">
        <v>0</v>
      </c>
      <c r="W15" s="17">
        <v>300000</v>
      </c>
      <c r="X15" s="18">
        <v>300000</v>
      </c>
      <c r="Y15" s="19">
        <v>302068</v>
      </c>
      <c r="Z15" s="19">
        <v>287000</v>
      </c>
      <c r="AA15" s="19">
        <v>15068</v>
      </c>
      <c r="AB15" s="19">
        <v>18879</v>
      </c>
      <c r="AC15" s="20">
        <v>0</v>
      </c>
      <c r="AD15" s="21"/>
      <c r="AE15" s="21"/>
      <c r="AF15" s="21"/>
      <c r="AG15" s="21"/>
      <c r="AH15" s="21"/>
      <c r="AI15" s="21"/>
      <c r="AK15" s="22"/>
      <c r="AL15" s="22"/>
      <c r="AM15" s="22"/>
      <c r="AN15" s="22"/>
      <c r="AO15" s="22"/>
      <c r="AP15" s="22"/>
    </row>
    <row r="16" spans="1:42" x14ac:dyDescent="0.25">
      <c r="A16" s="45">
        <f t="shared" si="14"/>
        <v>3.5</v>
      </c>
      <c r="B16" s="38">
        <f t="shared" si="10"/>
        <v>0</v>
      </c>
      <c r="C16" s="38">
        <f t="shared" si="0"/>
        <v>5000</v>
      </c>
      <c r="D16" s="38">
        <f t="shared" si="1"/>
        <v>305000</v>
      </c>
      <c r="E16" s="46" t="b">
        <f t="shared" si="2"/>
        <v>0</v>
      </c>
      <c r="F16" s="46" t="b">
        <f t="shared" si="3"/>
        <v>0</v>
      </c>
      <c r="G16" s="47">
        <f t="shared" si="11"/>
        <v>0</v>
      </c>
      <c r="H16" s="48">
        <f t="shared" ca="1" si="4"/>
        <v>0.98360655737704916</v>
      </c>
      <c r="I16" s="48" t="b">
        <f t="shared" si="5"/>
        <v>0</v>
      </c>
      <c r="J16" s="47">
        <f t="shared" ca="1" si="12"/>
        <v>297115.57377049181</v>
      </c>
      <c r="K16" s="47">
        <f t="shared" ca="1" si="15"/>
        <v>-2884.4262295081862</v>
      </c>
      <c r="L16" s="47">
        <f t="shared" ca="1" si="13"/>
        <v>282295.08196721313</v>
      </c>
      <c r="M16" s="47">
        <f t="shared" ca="1" si="16"/>
        <v>0</v>
      </c>
      <c r="N16" s="47">
        <f t="shared" si="17"/>
        <v>0</v>
      </c>
      <c r="O16" s="47">
        <f t="shared" ca="1" si="6"/>
        <v>297115.57377049181</v>
      </c>
      <c r="P16" s="49">
        <f t="shared" ca="1" si="7"/>
        <v>18569.723360655738</v>
      </c>
      <c r="Q16" s="50">
        <f t="shared" si="8"/>
        <v>0</v>
      </c>
      <c r="R16" s="15"/>
      <c r="S16" s="15">
        <f t="shared" ca="1" si="9"/>
        <v>0</v>
      </c>
      <c r="T16" s="16">
        <f t="shared" si="18"/>
        <v>3.5</v>
      </c>
      <c r="U16" s="17">
        <v>0</v>
      </c>
      <c r="V16" s="17">
        <v>5000</v>
      </c>
      <c r="W16" s="17">
        <v>305000</v>
      </c>
      <c r="X16" s="18">
        <v>0</v>
      </c>
      <c r="Y16" s="19">
        <v>297116</v>
      </c>
      <c r="Z16" s="19">
        <v>282295</v>
      </c>
      <c r="AA16" s="19">
        <v>0</v>
      </c>
      <c r="AB16" s="19">
        <v>18570</v>
      </c>
      <c r="AC16" s="20">
        <v>0</v>
      </c>
      <c r="AD16" s="21"/>
      <c r="AE16" s="21"/>
      <c r="AF16" s="21"/>
      <c r="AG16" s="21"/>
      <c r="AH16" s="21"/>
      <c r="AI16" s="21"/>
      <c r="AK16" s="22"/>
      <c r="AL16" s="22"/>
      <c r="AM16" s="22"/>
      <c r="AN16" s="22"/>
      <c r="AO16" s="22"/>
      <c r="AP16" s="22"/>
    </row>
    <row r="17" spans="1:42" x14ac:dyDescent="0.25">
      <c r="A17" s="37">
        <f t="shared" si="14"/>
        <v>4</v>
      </c>
      <c r="B17" s="38">
        <f t="shared" si="10"/>
        <v>0</v>
      </c>
      <c r="C17" s="38">
        <f t="shared" si="0"/>
        <v>0</v>
      </c>
      <c r="D17" s="38">
        <f t="shared" si="1"/>
        <v>312000</v>
      </c>
      <c r="E17" s="39" t="b">
        <f t="shared" si="2"/>
        <v>1</v>
      </c>
      <c r="F17" s="39" t="b">
        <f t="shared" si="3"/>
        <v>0</v>
      </c>
      <c r="G17" s="40">
        <f t="shared" si="11"/>
        <v>312000</v>
      </c>
      <c r="H17" s="41">
        <f t="shared" ca="1" si="4"/>
        <v>1</v>
      </c>
      <c r="I17" s="41" t="b">
        <f t="shared" ca="1" si="5"/>
        <v>0</v>
      </c>
      <c r="J17" s="40">
        <f t="shared" ca="1" si="12"/>
        <v>312000</v>
      </c>
      <c r="K17" s="40">
        <f t="shared" ca="1" si="15"/>
        <v>14884.426229508186</v>
      </c>
      <c r="L17" s="40">
        <f t="shared" ca="1" si="13"/>
        <v>312000</v>
      </c>
      <c r="M17" s="40">
        <f t="shared" ca="1" si="16"/>
        <v>14820.491803278688</v>
      </c>
      <c r="N17" s="40">
        <f t="shared" ca="1" si="17"/>
        <v>0</v>
      </c>
      <c r="O17" s="40">
        <f t="shared" ca="1" si="6"/>
        <v>312000</v>
      </c>
      <c r="P17" s="43">
        <f t="shared" ca="1" si="7"/>
        <v>19500</v>
      </c>
      <c r="Q17" s="44">
        <f t="shared" si="8"/>
        <v>0</v>
      </c>
      <c r="R17" s="15"/>
      <c r="S17" s="15">
        <f t="shared" ca="1" si="9"/>
        <v>0</v>
      </c>
      <c r="T17" s="16">
        <f t="shared" si="18"/>
        <v>4</v>
      </c>
      <c r="U17" s="17">
        <v>0</v>
      </c>
      <c r="V17" s="17">
        <v>0</v>
      </c>
      <c r="W17" s="17">
        <v>312000</v>
      </c>
      <c r="X17" s="18">
        <v>312000</v>
      </c>
      <c r="Y17" s="19">
        <v>312000</v>
      </c>
      <c r="Z17" s="19">
        <v>312000</v>
      </c>
      <c r="AA17" s="19">
        <v>14820</v>
      </c>
      <c r="AB17" s="19">
        <v>19500</v>
      </c>
      <c r="AC17" s="20">
        <v>0</v>
      </c>
      <c r="AD17" s="21"/>
      <c r="AE17" s="21"/>
      <c r="AF17" s="21"/>
      <c r="AG17" s="21"/>
      <c r="AH17" s="21"/>
      <c r="AI17" s="21"/>
      <c r="AK17" s="22"/>
      <c r="AL17" s="22"/>
      <c r="AM17" s="22"/>
      <c r="AN17" s="22"/>
      <c r="AO17" s="22"/>
      <c r="AP17" s="22"/>
    </row>
    <row r="18" spans="1:42" x14ac:dyDescent="0.25">
      <c r="A18" s="45">
        <f t="shared" si="14"/>
        <v>4.5</v>
      </c>
      <c r="B18" s="38">
        <f t="shared" si="10"/>
        <v>0</v>
      </c>
      <c r="C18" s="38">
        <f t="shared" si="0"/>
        <v>19500</v>
      </c>
      <c r="D18" s="38">
        <f t="shared" si="1"/>
        <v>302000</v>
      </c>
      <c r="E18" s="46" t="b">
        <f t="shared" si="2"/>
        <v>0</v>
      </c>
      <c r="F18" s="46" t="b">
        <f t="shared" si="3"/>
        <v>1</v>
      </c>
      <c r="G18" s="47">
        <f t="shared" si="11"/>
        <v>0</v>
      </c>
      <c r="H18" s="48">
        <f t="shared" ca="1" si="4"/>
        <v>1</v>
      </c>
      <c r="I18" s="48" t="b">
        <f t="shared" si="5"/>
        <v>0</v>
      </c>
      <c r="J18" s="47">
        <f t="shared" ca="1" si="12"/>
        <v>312000</v>
      </c>
      <c r="K18" s="47">
        <f t="shared" ca="1" si="15"/>
        <v>0</v>
      </c>
      <c r="L18" s="47">
        <f t="shared" ca="1" si="13"/>
        <v>0</v>
      </c>
      <c r="M18" s="47">
        <f t="shared" ca="1" si="16"/>
        <v>0</v>
      </c>
      <c r="N18" s="47">
        <f t="shared" si="17"/>
        <v>0</v>
      </c>
      <c r="O18" s="47">
        <f t="shared" ca="1" si="6"/>
        <v>312000</v>
      </c>
      <c r="P18" s="49">
        <f t="shared" ca="1" si="7"/>
        <v>19500</v>
      </c>
      <c r="Q18" s="50">
        <f t="shared" si="8"/>
        <v>0</v>
      </c>
      <c r="R18" s="15"/>
      <c r="S18" s="15">
        <f t="shared" ca="1" si="9"/>
        <v>0</v>
      </c>
      <c r="T18" s="16">
        <f t="shared" si="18"/>
        <v>4.5</v>
      </c>
      <c r="U18" s="17">
        <v>0</v>
      </c>
      <c r="V18" s="17">
        <v>19500</v>
      </c>
      <c r="W18" s="17">
        <v>302000</v>
      </c>
      <c r="X18" s="23">
        <v>0</v>
      </c>
      <c r="Y18" s="19">
        <v>312000</v>
      </c>
      <c r="Z18" s="24">
        <v>0</v>
      </c>
      <c r="AA18" s="24">
        <v>0</v>
      </c>
      <c r="AB18" s="19">
        <v>19500</v>
      </c>
      <c r="AC18" s="20">
        <v>0</v>
      </c>
      <c r="AD18" s="21"/>
      <c r="AE18" s="21"/>
      <c r="AF18" s="21"/>
      <c r="AG18" s="21"/>
      <c r="AH18" s="21"/>
      <c r="AI18" s="21"/>
      <c r="AK18" s="22"/>
      <c r="AL18" s="22"/>
      <c r="AM18" s="22"/>
      <c r="AN18" s="22"/>
      <c r="AO18" s="22"/>
      <c r="AP18" s="22"/>
    </row>
    <row r="19" spans="1:42" x14ac:dyDescent="0.25">
      <c r="A19" s="37">
        <f t="shared" si="14"/>
        <v>5</v>
      </c>
      <c r="B19" s="38">
        <f t="shared" si="10"/>
        <v>0</v>
      </c>
      <c r="C19" s="38">
        <f t="shared" si="0"/>
        <v>0</v>
      </c>
      <c r="D19" s="38">
        <f t="shared" si="1"/>
        <v>305000</v>
      </c>
      <c r="E19" s="39" t="b">
        <f t="shared" si="2"/>
        <v>1</v>
      </c>
      <c r="F19" s="39" t="b">
        <f t="shared" si="3"/>
        <v>1</v>
      </c>
      <c r="G19" s="40">
        <f t="shared" si="11"/>
        <v>305000</v>
      </c>
      <c r="H19" s="41">
        <f t="shared" ca="1" si="4"/>
        <v>1</v>
      </c>
      <c r="I19" s="41" t="b">
        <f t="shared" si="5"/>
        <v>0</v>
      </c>
      <c r="J19" s="40">
        <f t="shared" ca="1" si="12"/>
        <v>312000</v>
      </c>
      <c r="K19" s="40">
        <f t="shared" ca="1" si="15"/>
        <v>0</v>
      </c>
      <c r="L19" s="40">
        <f t="shared" ca="1" si="13"/>
        <v>0</v>
      </c>
      <c r="M19" s="40">
        <f t="shared" ca="1" si="16"/>
        <v>0</v>
      </c>
      <c r="N19" s="40">
        <f t="shared" si="17"/>
        <v>0</v>
      </c>
      <c r="O19" s="40">
        <f t="shared" ca="1" si="6"/>
        <v>312000</v>
      </c>
      <c r="P19" s="43">
        <f t="shared" ca="1" si="7"/>
        <v>19500</v>
      </c>
      <c r="Q19" s="44">
        <f t="shared" si="8"/>
        <v>0</v>
      </c>
      <c r="R19" s="15"/>
      <c r="S19" s="15">
        <f t="shared" ca="1" si="9"/>
        <v>0</v>
      </c>
      <c r="T19" s="16">
        <f t="shared" si="18"/>
        <v>5</v>
      </c>
      <c r="U19" s="17">
        <v>0</v>
      </c>
      <c r="V19" s="17">
        <v>0</v>
      </c>
      <c r="W19" s="17">
        <v>305000</v>
      </c>
      <c r="X19" s="18">
        <v>305000</v>
      </c>
      <c r="Y19" s="19">
        <v>312000</v>
      </c>
      <c r="Z19" s="24">
        <v>0</v>
      </c>
      <c r="AA19" s="24">
        <v>0</v>
      </c>
      <c r="AB19" s="19">
        <v>19500</v>
      </c>
      <c r="AC19" s="20">
        <v>0</v>
      </c>
      <c r="AD19" s="21"/>
      <c r="AE19" s="25"/>
      <c r="AF19" s="21"/>
      <c r="AG19" s="21"/>
      <c r="AH19" s="21"/>
      <c r="AI19" s="21"/>
      <c r="AK19" s="22"/>
      <c r="AL19" s="22"/>
      <c r="AM19" s="22"/>
      <c r="AN19" s="22"/>
      <c r="AO19" s="22"/>
      <c r="AP19" s="22"/>
    </row>
    <row r="20" spans="1:42" x14ac:dyDescent="0.25">
      <c r="A20" s="45">
        <f t="shared" si="14"/>
        <v>5.5</v>
      </c>
      <c r="B20" s="38">
        <f t="shared" si="10"/>
        <v>0</v>
      </c>
      <c r="C20" s="38">
        <f t="shared" si="0"/>
        <v>24960</v>
      </c>
      <c r="D20" s="38">
        <f t="shared" si="1"/>
        <v>280000</v>
      </c>
      <c r="E20" s="46" t="b">
        <f t="shared" si="2"/>
        <v>0</v>
      </c>
      <c r="F20" s="46" t="b">
        <f t="shared" si="3"/>
        <v>1</v>
      </c>
      <c r="G20" s="47">
        <f t="shared" si="11"/>
        <v>0</v>
      </c>
      <c r="H20" s="48">
        <f ca="1">1-_xlfn.LET(_xlpm.prevMAWA,OFFSET($P20,-1,0),_xlpm.prevAv,OFFSET($D20,-1,0), IF($C20&lt;&gt;0,IF($F20,MAX(0,$C20-_xlpm.prevMAWA)/(_xlpm.prevAv-_xlpm.prevMAWA),$C20/$D20),0))</f>
        <v>0.98087565674255695</v>
      </c>
      <c r="I20" s="48" t="b">
        <f t="shared" si="5"/>
        <v>0</v>
      </c>
      <c r="J20" s="47">
        <f t="shared" ca="1" si="12"/>
        <v>306033.20490367775</v>
      </c>
      <c r="K20" s="47">
        <f t="shared" ca="1" si="15"/>
        <v>-5966.7950963222538</v>
      </c>
      <c r="L20" s="47">
        <f t="shared" ca="1" si="13"/>
        <v>0</v>
      </c>
      <c r="M20" s="47">
        <f t="shared" ca="1" si="16"/>
        <v>0</v>
      </c>
      <c r="N20" s="47">
        <f t="shared" si="17"/>
        <v>0</v>
      </c>
      <c r="O20" s="47">
        <f t="shared" ca="1" si="6"/>
        <v>306033.20490367775</v>
      </c>
      <c r="P20" s="49">
        <f t="shared" ca="1" si="7"/>
        <v>19127.075306479859</v>
      </c>
      <c r="Q20" s="50">
        <f t="shared" si="8"/>
        <v>0</v>
      </c>
      <c r="R20" s="15"/>
      <c r="S20" s="15">
        <f t="shared" ca="1" si="9"/>
        <v>0</v>
      </c>
      <c r="T20" s="16">
        <f t="shared" si="18"/>
        <v>5.5</v>
      </c>
      <c r="U20" s="17">
        <v>0</v>
      </c>
      <c r="V20" s="17">
        <v>24960</v>
      </c>
      <c r="W20" s="17">
        <v>280000</v>
      </c>
      <c r="X20" s="18">
        <v>0</v>
      </c>
      <c r="Y20" s="19">
        <v>306033</v>
      </c>
      <c r="Z20" s="24">
        <v>0</v>
      </c>
      <c r="AA20" s="24">
        <v>0</v>
      </c>
      <c r="AB20" s="19">
        <v>19127</v>
      </c>
      <c r="AC20" s="20">
        <v>0</v>
      </c>
      <c r="AE20" s="21"/>
      <c r="AF20" s="21"/>
      <c r="AG20" s="21"/>
      <c r="AH20" s="21"/>
      <c r="AI20" s="21"/>
      <c r="AK20" s="22"/>
      <c r="AL20" s="22"/>
      <c r="AM20" s="22"/>
      <c r="AN20" s="22"/>
      <c r="AO20" s="22"/>
      <c r="AP20" s="22"/>
    </row>
    <row r="21" spans="1:42" x14ac:dyDescent="0.25">
      <c r="A21" s="37">
        <f t="shared" si="14"/>
        <v>6</v>
      </c>
      <c r="B21" s="38">
        <f t="shared" si="10"/>
        <v>0</v>
      </c>
      <c r="C21" s="38">
        <f t="shared" si="0"/>
        <v>0</v>
      </c>
      <c r="D21" s="38">
        <f t="shared" si="1"/>
        <v>290000</v>
      </c>
      <c r="E21" s="39" t="b">
        <f t="shared" si="2"/>
        <v>1</v>
      </c>
      <c r="F21" s="39" t="b">
        <f t="shared" si="3"/>
        <v>1</v>
      </c>
      <c r="G21" s="40">
        <f t="shared" si="11"/>
        <v>290000</v>
      </c>
      <c r="H21" s="41">
        <f t="shared" ref="H21:H31" ca="1" si="19">_xlfn.LET(_xlpm.prevMAWA,OFFSET($P21,-1,0),_xlpm.prevAv,OFFSET($D21,-1,0), IF($C21&lt;&gt;0,IF($F21,1-MAX(0,$C21-_xlpm.prevMAWA)/(_xlpm.prevAv-_xlpm.prevMAWA),1-$C21/$D21),1))</f>
        <v>1</v>
      </c>
      <c r="I21" s="41" t="b">
        <f t="shared" si="5"/>
        <v>0</v>
      </c>
      <c r="J21" s="40">
        <f t="shared" ca="1" si="12"/>
        <v>306033.20490367775</v>
      </c>
      <c r="K21" s="40">
        <f t="shared" ca="1" si="15"/>
        <v>0</v>
      </c>
      <c r="L21" s="40">
        <f t="shared" ca="1" si="13"/>
        <v>0</v>
      </c>
      <c r="M21" s="40">
        <f t="shared" ca="1" si="16"/>
        <v>0</v>
      </c>
      <c r="N21" s="40">
        <f t="shared" si="17"/>
        <v>0</v>
      </c>
      <c r="O21" s="40">
        <f t="shared" ca="1" si="6"/>
        <v>306033.20490367775</v>
      </c>
      <c r="P21" s="43">
        <f t="shared" ca="1" si="7"/>
        <v>19127.075306479859</v>
      </c>
      <c r="Q21" s="44">
        <f t="shared" si="8"/>
        <v>0</v>
      </c>
      <c r="R21" s="15"/>
      <c r="S21" s="15">
        <f t="shared" ca="1" si="9"/>
        <v>0</v>
      </c>
      <c r="T21" s="16">
        <f t="shared" si="18"/>
        <v>6</v>
      </c>
      <c r="U21" s="17">
        <v>0</v>
      </c>
      <c r="V21" s="17">
        <v>0</v>
      </c>
      <c r="W21" s="17">
        <v>290000</v>
      </c>
      <c r="X21" s="18">
        <v>290000</v>
      </c>
      <c r="Y21" s="19">
        <v>306033</v>
      </c>
      <c r="Z21" s="24">
        <v>0</v>
      </c>
      <c r="AA21" s="24">
        <v>0</v>
      </c>
      <c r="AB21" s="19">
        <v>19127</v>
      </c>
      <c r="AC21" s="20">
        <v>0</v>
      </c>
      <c r="AD21" s="21"/>
      <c r="AE21" s="21"/>
      <c r="AF21" s="21"/>
      <c r="AG21" s="21"/>
      <c r="AH21" s="21"/>
      <c r="AI21" s="21"/>
      <c r="AK21" s="22"/>
      <c r="AL21" s="22"/>
      <c r="AM21" s="22"/>
      <c r="AN21" s="22"/>
      <c r="AO21" s="22"/>
      <c r="AP21" s="22"/>
    </row>
    <row r="22" spans="1:42" x14ac:dyDescent="0.25">
      <c r="A22" s="45">
        <f t="shared" si="14"/>
        <v>6.5</v>
      </c>
      <c r="B22" s="38">
        <f t="shared" si="10"/>
        <v>0</v>
      </c>
      <c r="C22" s="38">
        <f t="shared" si="0"/>
        <v>24483</v>
      </c>
      <c r="D22" s="38">
        <f t="shared" si="1"/>
        <v>260000</v>
      </c>
      <c r="E22" s="46" t="b">
        <f t="shared" si="2"/>
        <v>0</v>
      </c>
      <c r="F22" s="46" t="b">
        <f t="shared" si="3"/>
        <v>1</v>
      </c>
      <c r="G22" s="47">
        <f t="shared" si="11"/>
        <v>0</v>
      </c>
      <c r="H22" s="48">
        <f t="shared" ca="1" si="19"/>
        <v>0.98022716851608516</v>
      </c>
      <c r="I22" s="48" t="b">
        <f t="shared" si="5"/>
        <v>0</v>
      </c>
      <c r="J22" s="47">
        <f t="shared" ca="1" si="12"/>
        <v>299982.06191463495</v>
      </c>
      <c r="K22" s="47">
        <f t="shared" ca="1" si="15"/>
        <v>-6051.1429890427971</v>
      </c>
      <c r="L22" s="47">
        <f t="shared" ca="1" si="13"/>
        <v>0</v>
      </c>
      <c r="M22" s="47">
        <f t="shared" ca="1" si="16"/>
        <v>0</v>
      </c>
      <c r="N22" s="47">
        <f t="shared" si="17"/>
        <v>0</v>
      </c>
      <c r="O22" s="47">
        <f t="shared" ca="1" si="6"/>
        <v>299982.06191463495</v>
      </c>
      <c r="P22" s="49">
        <f t="shared" ca="1" si="7"/>
        <v>18748.878869664684</v>
      </c>
      <c r="Q22" s="50">
        <f t="shared" si="8"/>
        <v>0</v>
      </c>
      <c r="R22" s="15"/>
      <c r="S22" s="15">
        <f t="shared" ca="1" si="9"/>
        <v>0</v>
      </c>
      <c r="T22" s="16">
        <f t="shared" si="18"/>
        <v>6.5</v>
      </c>
      <c r="U22" s="17">
        <v>0</v>
      </c>
      <c r="V22" s="17">
        <v>24483</v>
      </c>
      <c r="W22" s="17">
        <v>260000</v>
      </c>
      <c r="X22" s="18">
        <v>0</v>
      </c>
      <c r="Y22" s="19">
        <v>299982</v>
      </c>
      <c r="Z22" s="24">
        <v>0</v>
      </c>
      <c r="AA22" s="24">
        <v>0</v>
      </c>
      <c r="AB22" s="19">
        <v>18749</v>
      </c>
      <c r="AC22" s="20">
        <v>0</v>
      </c>
      <c r="AD22" s="21"/>
      <c r="AE22" s="21"/>
      <c r="AF22" s="21"/>
      <c r="AG22" s="21"/>
      <c r="AH22" s="21"/>
      <c r="AI22" s="21"/>
      <c r="AK22" s="22"/>
      <c r="AL22" s="22"/>
      <c r="AM22" s="22"/>
      <c r="AN22" s="22"/>
      <c r="AO22" s="22"/>
      <c r="AP22" s="22"/>
    </row>
    <row r="23" spans="1:42" x14ac:dyDescent="0.25">
      <c r="A23" s="37">
        <f t="shared" si="14"/>
        <v>7</v>
      </c>
      <c r="B23" s="38">
        <f t="shared" si="10"/>
        <v>0</v>
      </c>
      <c r="C23" s="38">
        <f t="shared" si="0"/>
        <v>0</v>
      </c>
      <c r="D23" s="38">
        <f t="shared" si="1"/>
        <v>230000</v>
      </c>
      <c r="E23" s="39" t="b">
        <f t="shared" si="2"/>
        <v>1</v>
      </c>
      <c r="F23" s="39" t="b">
        <f t="shared" si="3"/>
        <v>1</v>
      </c>
      <c r="G23" s="40">
        <f t="shared" si="11"/>
        <v>230000</v>
      </c>
      <c r="H23" s="41">
        <f t="shared" ca="1" si="19"/>
        <v>1</v>
      </c>
      <c r="I23" s="41" t="b">
        <f t="shared" si="5"/>
        <v>0</v>
      </c>
      <c r="J23" s="40">
        <f t="shared" ca="1" si="12"/>
        <v>299982.06191463495</v>
      </c>
      <c r="K23" s="40">
        <f t="shared" ca="1" si="15"/>
        <v>0</v>
      </c>
      <c r="L23" s="40">
        <f t="shared" ca="1" si="13"/>
        <v>0</v>
      </c>
      <c r="M23" s="40">
        <f t="shared" ca="1" si="16"/>
        <v>0</v>
      </c>
      <c r="N23" s="40">
        <f t="shared" si="17"/>
        <v>0</v>
      </c>
      <c r="O23" s="40">
        <f t="shared" ca="1" si="6"/>
        <v>299982.06191463495</v>
      </c>
      <c r="P23" s="43">
        <f t="shared" ca="1" si="7"/>
        <v>18748.878869664684</v>
      </c>
      <c r="Q23" s="44">
        <f t="shared" si="8"/>
        <v>0</v>
      </c>
      <c r="R23" s="15"/>
      <c r="S23" s="15">
        <f t="shared" ca="1" si="9"/>
        <v>0</v>
      </c>
      <c r="T23" s="16">
        <f t="shared" si="18"/>
        <v>7</v>
      </c>
      <c r="U23" s="17">
        <v>0</v>
      </c>
      <c r="V23" s="17">
        <v>0</v>
      </c>
      <c r="W23" s="17">
        <v>230000</v>
      </c>
      <c r="X23" s="18">
        <v>230000</v>
      </c>
      <c r="Y23" s="19">
        <v>299982</v>
      </c>
      <c r="Z23" s="24">
        <v>0</v>
      </c>
      <c r="AA23" s="24">
        <v>0</v>
      </c>
      <c r="AB23" s="19">
        <v>18749</v>
      </c>
      <c r="AC23" s="20">
        <v>0</v>
      </c>
      <c r="AD23" s="21"/>
      <c r="AE23" s="21"/>
      <c r="AF23" s="21"/>
      <c r="AG23" s="21"/>
      <c r="AH23" s="21"/>
      <c r="AI23" s="21"/>
      <c r="AK23" s="22"/>
      <c r="AL23" s="22"/>
      <c r="AM23" s="22"/>
      <c r="AN23" s="22"/>
      <c r="AO23" s="22"/>
      <c r="AP23" s="22"/>
    </row>
    <row r="24" spans="1:42" x14ac:dyDescent="0.25">
      <c r="A24" s="45">
        <f t="shared" si="14"/>
        <v>7.5</v>
      </c>
      <c r="B24" s="38">
        <f t="shared" si="10"/>
        <v>0</v>
      </c>
      <c r="C24" s="38">
        <f t="shared" si="0"/>
        <v>0</v>
      </c>
      <c r="D24" s="38">
        <f t="shared" si="1"/>
        <v>230000</v>
      </c>
      <c r="E24" s="46" t="b">
        <f t="shared" si="2"/>
        <v>0</v>
      </c>
      <c r="F24" s="46" t="b">
        <f t="shared" si="3"/>
        <v>1</v>
      </c>
      <c r="G24" s="47">
        <f t="shared" si="11"/>
        <v>0</v>
      </c>
      <c r="H24" s="48">
        <f t="shared" ca="1" si="19"/>
        <v>1</v>
      </c>
      <c r="I24" s="48" t="b">
        <f t="shared" si="5"/>
        <v>0</v>
      </c>
      <c r="J24" s="47">
        <f t="shared" ca="1" si="12"/>
        <v>299982.06191463495</v>
      </c>
      <c r="K24" s="47">
        <f t="shared" ca="1" si="15"/>
        <v>0</v>
      </c>
      <c r="L24" s="47">
        <f t="shared" ca="1" si="13"/>
        <v>0</v>
      </c>
      <c r="M24" s="47">
        <f t="shared" ca="1" si="16"/>
        <v>0</v>
      </c>
      <c r="N24" s="47">
        <f t="shared" si="17"/>
        <v>0</v>
      </c>
      <c r="O24" s="47">
        <f t="shared" ca="1" si="6"/>
        <v>299982.06191463495</v>
      </c>
      <c r="P24" s="49">
        <f t="shared" ca="1" si="7"/>
        <v>18748.878869664684</v>
      </c>
      <c r="Q24" s="50">
        <f t="shared" si="8"/>
        <v>0</v>
      </c>
      <c r="R24" s="15"/>
      <c r="S24" s="15">
        <f t="shared" ca="1" si="9"/>
        <v>0</v>
      </c>
      <c r="T24" s="16">
        <f t="shared" si="18"/>
        <v>7.5</v>
      </c>
      <c r="U24" s="17">
        <v>0</v>
      </c>
      <c r="V24" s="17">
        <v>0</v>
      </c>
      <c r="W24" s="17">
        <v>230000</v>
      </c>
      <c r="X24" s="23">
        <v>0</v>
      </c>
      <c r="Y24" s="19">
        <v>299982</v>
      </c>
      <c r="Z24" s="24">
        <v>0</v>
      </c>
      <c r="AA24" s="24">
        <v>0</v>
      </c>
      <c r="AB24" s="19">
        <v>18749</v>
      </c>
      <c r="AC24" s="20">
        <v>0</v>
      </c>
      <c r="AD24" s="21"/>
      <c r="AE24" s="21"/>
      <c r="AF24" s="21"/>
      <c r="AG24" s="21"/>
      <c r="AH24" s="21"/>
      <c r="AI24" s="21"/>
      <c r="AK24" s="22"/>
      <c r="AL24" s="22"/>
      <c r="AM24" s="22"/>
      <c r="AN24" s="22"/>
      <c r="AO24" s="22"/>
      <c r="AP24" s="22"/>
    </row>
    <row r="25" spans="1:42" x14ac:dyDescent="0.25">
      <c r="A25" s="37">
        <f t="shared" si="14"/>
        <v>8</v>
      </c>
      <c r="B25" s="38">
        <f t="shared" si="10"/>
        <v>0</v>
      </c>
      <c r="C25" s="38">
        <f t="shared" si="0"/>
        <v>0</v>
      </c>
      <c r="D25" s="38">
        <f t="shared" si="1"/>
        <v>150000</v>
      </c>
      <c r="E25" s="39" t="b">
        <f t="shared" si="2"/>
        <v>1</v>
      </c>
      <c r="F25" s="39" t="b">
        <f t="shared" si="3"/>
        <v>1</v>
      </c>
      <c r="G25" s="40">
        <f t="shared" si="11"/>
        <v>150000</v>
      </c>
      <c r="H25" s="41">
        <f t="shared" ca="1" si="19"/>
        <v>1</v>
      </c>
      <c r="I25" s="41" t="b">
        <f t="shared" si="5"/>
        <v>0</v>
      </c>
      <c r="J25" s="40">
        <f t="shared" ca="1" si="12"/>
        <v>299982.06191463495</v>
      </c>
      <c r="K25" s="40">
        <f t="shared" ca="1" si="15"/>
        <v>0</v>
      </c>
      <c r="L25" s="40">
        <f t="shared" ca="1" si="13"/>
        <v>0</v>
      </c>
      <c r="M25" s="40">
        <f t="shared" ca="1" si="16"/>
        <v>0</v>
      </c>
      <c r="N25" s="40">
        <f t="shared" si="17"/>
        <v>0</v>
      </c>
      <c r="O25" s="40">
        <f t="shared" ca="1" si="6"/>
        <v>299982.06191463495</v>
      </c>
      <c r="P25" s="43">
        <f t="shared" ca="1" si="7"/>
        <v>18748.878869664684</v>
      </c>
      <c r="Q25" s="44">
        <f t="shared" si="8"/>
        <v>0</v>
      </c>
      <c r="R25" s="15"/>
      <c r="S25" s="15">
        <f t="shared" ca="1" si="9"/>
        <v>0</v>
      </c>
      <c r="T25" s="16">
        <f t="shared" si="18"/>
        <v>8</v>
      </c>
      <c r="U25" s="17">
        <v>0</v>
      </c>
      <c r="V25" s="17">
        <v>0</v>
      </c>
      <c r="W25" s="17">
        <v>150000</v>
      </c>
      <c r="X25" s="18">
        <v>150000</v>
      </c>
      <c r="Y25" s="19">
        <v>299982</v>
      </c>
      <c r="Z25" s="24">
        <v>0</v>
      </c>
      <c r="AA25" s="24">
        <v>0</v>
      </c>
      <c r="AB25" s="19">
        <v>18749</v>
      </c>
      <c r="AC25" s="20">
        <v>0</v>
      </c>
      <c r="AD25" s="21"/>
      <c r="AE25" s="21"/>
      <c r="AF25" s="21"/>
      <c r="AG25" s="21"/>
      <c r="AH25" s="21"/>
      <c r="AI25" s="21"/>
      <c r="AK25" s="22"/>
      <c r="AL25" s="22"/>
      <c r="AM25" s="22"/>
      <c r="AN25" s="22"/>
      <c r="AO25" s="22"/>
      <c r="AP25" s="22"/>
    </row>
    <row r="26" spans="1:42" x14ac:dyDescent="0.25">
      <c r="A26" s="45">
        <f t="shared" si="14"/>
        <v>8.5</v>
      </c>
      <c r="B26" s="38">
        <f t="shared" si="10"/>
        <v>0</v>
      </c>
      <c r="C26" s="38">
        <f t="shared" si="0"/>
        <v>0</v>
      </c>
      <c r="D26" s="38">
        <f t="shared" si="1"/>
        <v>150000</v>
      </c>
      <c r="E26" s="46" t="b">
        <f t="shared" si="2"/>
        <v>0</v>
      </c>
      <c r="F26" s="46" t="b">
        <f t="shared" si="3"/>
        <v>1</v>
      </c>
      <c r="G26" s="47">
        <f t="shared" si="11"/>
        <v>0</v>
      </c>
      <c r="H26" s="48">
        <f t="shared" ca="1" si="19"/>
        <v>1</v>
      </c>
      <c r="I26" s="48" t="b">
        <f t="shared" si="5"/>
        <v>0</v>
      </c>
      <c r="J26" s="47">
        <f t="shared" ca="1" si="12"/>
        <v>299982.06191463495</v>
      </c>
      <c r="K26" s="47">
        <f t="shared" ca="1" si="15"/>
        <v>0</v>
      </c>
      <c r="L26" s="47">
        <f t="shared" ca="1" si="13"/>
        <v>0</v>
      </c>
      <c r="M26" s="47">
        <f t="shared" ca="1" si="16"/>
        <v>0</v>
      </c>
      <c r="N26" s="47">
        <f t="shared" si="17"/>
        <v>0</v>
      </c>
      <c r="O26" s="47">
        <f t="shared" ca="1" si="6"/>
        <v>299982.06191463495</v>
      </c>
      <c r="P26" s="49">
        <f t="shared" ca="1" si="7"/>
        <v>18748.878869664684</v>
      </c>
      <c r="Q26" s="50">
        <f t="shared" si="8"/>
        <v>0</v>
      </c>
      <c r="R26" s="15"/>
      <c r="S26" s="15">
        <f t="shared" ca="1" si="9"/>
        <v>0</v>
      </c>
      <c r="T26" s="16">
        <f t="shared" si="18"/>
        <v>8.5</v>
      </c>
      <c r="U26" s="17">
        <v>0</v>
      </c>
      <c r="V26" s="17">
        <v>0</v>
      </c>
      <c r="W26" s="17">
        <v>150000</v>
      </c>
      <c r="X26" s="23">
        <v>0</v>
      </c>
      <c r="Y26" s="19">
        <v>299982</v>
      </c>
      <c r="Z26" s="24">
        <v>0</v>
      </c>
      <c r="AA26" s="24">
        <v>0</v>
      </c>
      <c r="AB26" s="19">
        <v>18749</v>
      </c>
      <c r="AC26" s="20">
        <v>0</v>
      </c>
      <c r="AD26" s="21"/>
      <c r="AE26" s="21"/>
      <c r="AF26" s="21"/>
      <c r="AG26" s="21"/>
      <c r="AH26" s="21"/>
      <c r="AI26" s="21"/>
      <c r="AK26" s="22"/>
      <c r="AL26" s="22"/>
      <c r="AM26" s="22"/>
      <c r="AN26" s="22"/>
      <c r="AO26" s="22"/>
      <c r="AP26" s="22"/>
    </row>
    <row r="27" spans="1:42" x14ac:dyDescent="0.25">
      <c r="A27" s="37">
        <f t="shared" si="14"/>
        <v>9</v>
      </c>
      <c r="B27" s="38">
        <f t="shared" si="10"/>
        <v>0</v>
      </c>
      <c r="C27" s="38">
        <f t="shared" si="0"/>
        <v>0</v>
      </c>
      <c r="D27" s="38">
        <f t="shared" si="1"/>
        <v>100000</v>
      </c>
      <c r="E27" s="39" t="b">
        <f t="shared" si="2"/>
        <v>1</v>
      </c>
      <c r="F27" s="39" t="b">
        <f t="shared" si="3"/>
        <v>1</v>
      </c>
      <c r="G27" s="40">
        <f t="shared" si="11"/>
        <v>100000</v>
      </c>
      <c r="H27" s="41">
        <f t="shared" ca="1" si="19"/>
        <v>1</v>
      </c>
      <c r="I27" s="41" t="b">
        <f t="shared" si="5"/>
        <v>0</v>
      </c>
      <c r="J27" s="40">
        <f t="shared" ca="1" si="12"/>
        <v>299982.06191463495</v>
      </c>
      <c r="K27" s="40">
        <f t="shared" ca="1" si="15"/>
        <v>0</v>
      </c>
      <c r="L27" s="40">
        <f t="shared" ca="1" si="13"/>
        <v>0</v>
      </c>
      <c r="M27" s="40">
        <f t="shared" ca="1" si="16"/>
        <v>0</v>
      </c>
      <c r="N27" s="40">
        <f t="shared" si="17"/>
        <v>0</v>
      </c>
      <c r="O27" s="40">
        <f t="shared" ca="1" si="6"/>
        <v>299982.06191463495</v>
      </c>
      <c r="P27" s="43">
        <f t="shared" ca="1" si="7"/>
        <v>18748.878869664684</v>
      </c>
      <c r="Q27" s="44">
        <f t="shared" si="8"/>
        <v>0</v>
      </c>
      <c r="R27" s="15"/>
      <c r="S27" s="15">
        <f t="shared" ca="1" si="9"/>
        <v>0</v>
      </c>
      <c r="T27" s="16">
        <f t="shared" si="18"/>
        <v>9</v>
      </c>
      <c r="U27" s="17">
        <v>0</v>
      </c>
      <c r="V27" s="17">
        <v>0</v>
      </c>
      <c r="W27" s="17">
        <v>100000</v>
      </c>
      <c r="X27" s="18">
        <v>100000</v>
      </c>
      <c r="Y27" s="19">
        <v>299982</v>
      </c>
      <c r="Z27" s="24">
        <v>0</v>
      </c>
      <c r="AA27" s="24">
        <v>0</v>
      </c>
      <c r="AB27" s="19">
        <v>18749</v>
      </c>
      <c r="AC27" s="20">
        <v>0</v>
      </c>
      <c r="AD27" s="21"/>
      <c r="AE27" s="21"/>
      <c r="AF27" s="21"/>
      <c r="AG27" s="21"/>
      <c r="AH27" s="21"/>
      <c r="AI27" s="21"/>
      <c r="AK27" s="22"/>
      <c r="AL27" s="22"/>
      <c r="AM27" s="22"/>
      <c r="AN27" s="22"/>
      <c r="AO27" s="22"/>
      <c r="AP27" s="22"/>
    </row>
    <row r="28" spans="1:42" x14ac:dyDescent="0.25">
      <c r="A28" s="45">
        <f t="shared" si="14"/>
        <v>9.5</v>
      </c>
      <c r="B28" s="38">
        <f t="shared" si="10"/>
        <v>0</v>
      </c>
      <c r="C28" s="38">
        <f t="shared" si="0"/>
        <v>0</v>
      </c>
      <c r="D28" s="38">
        <f t="shared" si="1"/>
        <v>100000</v>
      </c>
      <c r="E28" s="46" t="b">
        <f t="shared" si="2"/>
        <v>0</v>
      </c>
      <c r="F28" s="46" t="b">
        <f t="shared" si="3"/>
        <v>1</v>
      </c>
      <c r="G28" s="47">
        <f t="shared" si="11"/>
        <v>0</v>
      </c>
      <c r="H28" s="48">
        <f t="shared" ca="1" si="19"/>
        <v>1</v>
      </c>
      <c r="I28" s="48" t="b">
        <f t="shared" si="5"/>
        <v>0</v>
      </c>
      <c r="J28" s="47">
        <f t="shared" ca="1" si="12"/>
        <v>299982.06191463495</v>
      </c>
      <c r="K28" s="47">
        <f t="shared" ca="1" si="15"/>
        <v>0</v>
      </c>
      <c r="L28" s="47">
        <f t="shared" ca="1" si="13"/>
        <v>0</v>
      </c>
      <c r="M28" s="47">
        <f t="shared" ca="1" si="16"/>
        <v>0</v>
      </c>
      <c r="N28" s="47">
        <f t="shared" si="17"/>
        <v>0</v>
      </c>
      <c r="O28" s="47">
        <f t="shared" ca="1" si="6"/>
        <v>299982.06191463495</v>
      </c>
      <c r="P28" s="49">
        <f t="shared" ca="1" si="7"/>
        <v>18748.878869664684</v>
      </c>
      <c r="Q28" s="50">
        <f t="shared" si="8"/>
        <v>0</v>
      </c>
      <c r="R28" s="15"/>
      <c r="S28" s="15">
        <f t="shared" ca="1" si="9"/>
        <v>0</v>
      </c>
      <c r="T28" s="16">
        <f t="shared" si="18"/>
        <v>9.5</v>
      </c>
      <c r="U28" s="17">
        <v>0</v>
      </c>
      <c r="V28" s="17">
        <v>0</v>
      </c>
      <c r="W28" s="17">
        <v>100000</v>
      </c>
      <c r="X28" s="23">
        <v>0</v>
      </c>
      <c r="Y28" s="19">
        <v>299982</v>
      </c>
      <c r="Z28" s="24">
        <v>0</v>
      </c>
      <c r="AA28" s="24">
        <v>0</v>
      </c>
      <c r="AB28" s="19">
        <v>18749</v>
      </c>
      <c r="AC28" s="20">
        <v>0</v>
      </c>
      <c r="AD28" s="21"/>
      <c r="AE28" s="21"/>
      <c r="AF28" s="21"/>
      <c r="AG28" s="21"/>
      <c r="AH28" s="21"/>
      <c r="AI28" s="21"/>
      <c r="AK28" s="22"/>
      <c r="AL28" s="22"/>
      <c r="AM28" s="22"/>
      <c r="AN28" s="22"/>
      <c r="AO28" s="22"/>
      <c r="AP28" s="22"/>
    </row>
    <row r="29" spans="1:42" x14ac:dyDescent="0.25">
      <c r="A29" s="37">
        <f t="shared" si="14"/>
        <v>10</v>
      </c>
      <c r="B29" s="38">
        <f t="shared" si="10"/>
        <v>0</v>
      </c>
      <c r="C29" s="38">
        <f t="shared" si="0"/>
        <v>0</v>
      </c>
      <c r="D29" s="38">
        <f t="shared" si="1"/>
        <v>50000</v>
      </c>
      <c r="E29" s="39" t="b">
        <f t="shared" si="2"/>
        <v>1</v>
      </c>
      <c r="F29" s="39" t="b">
        <f t="shared" si="3"/>
        <v>1</v>
      </c>
      <c r="G29" s="40">
        <f t="shared" si="11"/>
        <v>50000</v>
      </c>
      <c r="H29" s="41">
        <f t="shared" ca="1" si="19"/>
        <v>1</v>
      </c>
      <c r="I29" s="41" t="b">
        <f t="shared" si="5"/>
        <v>0</v>
      </c>
      <c r="J29" s="40">
        <f t="shared" ca="1" si="12"/>
        <v>299982.06191463495</v>
      </c>
      <c r="K29" s="40">
        <f t="shared" ca="1" si="15"/>
        <v>0</v>
      </c>
      <c r="L29" s="40">
        <f t="shared" ca="1" si="13"/>
        <v>0</v>
      </c>
      <c r="M29" s="40">
        <f t="shared" ca="1" si="16"/>
        <v>0</v>
      </c>
      <c r="N29" s="40">
        <f t="shared" si="17"/>
        <v>0</v>
      </c>
      <c r="O29" s="40">
        <f t="shared" ca="1" si="6"/>
        <v>299982.06191463495</v>
      </c>
      <c r="P29" s="43">
        <f t="shared" ca="1" si="7"/>
        <v>18748.878869664684</v>
      </c>
      <c r="Q29" s="44">
        <f t="shared" si="8"/>
        <v>0</v>
      </c>
      <c r="R29" s="15"/>
      <c r="S29" s="15">
        <f t="shared" ca="1" si="9"/>
        <v>0</v>
      </c>
      <c r="T29" s="16">
        <f t="shared" si="18"/>
        <v>10</v>
      </c>
      <c r="U29" s="17">
        <v>0</v>
      </c>
      <c r="V29" s="17">
        <v>0</v>
      </c>
      <c r="W29" s="17">
        <v>50000</v>
      </c>
      <c r="X29" s="18">
        <v>50000</v>
      </c>
      <c r="Y29" s="19">
        <v>299982</v>
      </c>
      <c r="Z29" s="24">
        <v>0</v>
      </c>
      <c r="AA29" s="24">
        <v>0</v>
      </c>
      <c r="AB29" s="19">
        <v>18749</v>
      </c>
      <c r="AC29" s="20">
        <v>0</v>
      </c>
      <c r="AD29" s="21"/>
      <c r="AE29" s="21"/>
      <c r="AF29" s="21"/>
      <c r="AG29" s="21"/>
      <c r="AH29" s="21"/>
      <c r="AI29" s="21"/>
      <c r="AK29" s="22"/>
      <c r="AL29" s="22"/>
      <c r="AM29" s="22"/>
      <c r="AN29" s="22"/>
      <c r="AO29" s="22"/>
      <c r="AP29" s="22"/>
    </row>
    <row r="30" spans="1:42" x14ac:dyDescent="0.25">
      <c r="A30" s="45">
        <f t="shared" si="14"/>
        <v>10.5</v>
      </c>
      <c r="B30" s="38">
        <f t="shared" si="10"/>
        <v>0</v>
      </c>
      <c r="C30" s="38">
        <f t="shared" si="0"/>
        <v>0</v>
      </c>
      <c r="D30" s="38">
        <f t="shared" si="1"/>
        <v>50000</v>
      </c>
      <c r="E30" s="46" t="b">
        <f t="shared" si="2"/>
        <v>0</v>
      </c>
      <c r="F30" s="46" t="b">
        <f t="shared" si="3"/>
        <v>1</v>
      </c>
      <c r="G30" s="47">
        <f t="shared" si="11"/>
        <v>0</v>
      </c>
      <c r="H30" s="48">
        <f t="shared" ca="1" si="19"/>
        <v>1</v>
      </c>
      <c r="I30" s="48" t="b">
        <f t="shared" si="5"/>
        <v>0</v>
      </c>
      <c r="J30" s="47">
        <f t="shared" ca="1" si="12"/>
        <v>299982.06191463495</v>
      </c>
      <c r="K30" s="47">
        <f t="shared" ca="1" si="15"/>
        <v>0</v>
      </c>
      <c r="L30" s="47">
        <f t="shared" ca="1" si="13"/>
        <v>0</v>
      </c>
      <c r="M30" s="47">
        <f t="shared" ca="1" si="16"/>
        <v>0</v>
      </c>
      <c r="N30" s="47">
        <f t="shared" si="17"/>
        <v>0</v>
      </c>
      <c r="O30" s="47">
        <f t="shared" ca="1" si="6"/>
        <v>299982.06191463495</v>
      </c>
      <c r="P30" s="49">
        <f t="shared" ca="1" si="7"/>
        <v>18748.878869664684</v>
      </c>
      <c r="Q30" s="50">
        <f t="shared" si="8"/>
        <v>0</v>
      </c>
      <c r="R30" s="15"/>
      <c r="S30" s="15">
        <f t="shared" ca="1" si="9"/>
        <v>0</v>
      </c>
      <c r="T30" s="16">
        <f t="shared" si="18"/>
        <v>10.5</v>
      </c>
      <c r="U30" s="17">
        <v>0</v>
      </c>
      <c r="V30" s="17">
        <v>0</v>
      </c>
      <c r="W30" s="17">
        <v>50000</v>
      </c>
      <c r="X30" s="23">
        <v>0</v>
      </c>
      <c r="Y30" s="19">
        <v>299982</v>
      </c>
      <c r="Z30" s="24">
        <v>0</v>
      </c>
      <c r="AA30" s="24">
        <v>0</v>
      </c>
      <c r="AB30" s="19">
        <v>18749</v>
      </c>
      <c r="AC30" s="20">
        <v>0</v>
      </c>
      <c r="AD30" s="21"/>
      <c r="AE30" s="21"/>
      <c r="AF30" s="21"/>
      <c r="AG30" s="21"/>
      <c r="AH30" s="21"/>
      <c r="AI30" s="21"/>
      <c r="AK30" s="22"/>
      <c r="AL30" s="22"/>
      <c r="AM30" s="22"/>
      <c r="AN30" s="22"/>
      <c r="AO30" s="22"/>
      <c r="AP30" s="22"/>
    </row>
    <row r="31" spans="1:42" ht="15.75" thickBot="1" x14ac:dyDescent="0.3">
      <c r="A31" s="51">
        <f t="shared" si="14"/>
        <v>11</v>
      </c>
      <c r="B31" s="52">
        <f t="shared" si="10"/>
        <v>0</v>
      </c>
      <c r="C31" s="52">
        <f t="shared" si="0"/>
        <v>0</v>
      </c>
      <c r="D31" s="52">
        <f t="shared" si="1"/>
        <v>0</v>
      </c>
      <c r="E31" s="53" t="b">
        <f t="shared" si="2"/>
        <v>1</v>
      </c>
      <c r="F31" s="53" t="b">
        <f t="shared" si="3"/>
        <v>1</v>
      </c>
      <c r="G31" s="54">
        <f t="shared" si="11"/>
        <v>0</v>
      </c>
      <c r="H31" s="55">
        <f t="shared" ca="1" si="19"/>
        <v>1</v>
      </c>
      <c r="I31" s="55" t="b">
        <f t="shared" si="5"/>
        <v>0</v>
      </c>
      <c r="J31" s="54">
        <f t="shared" ca="1" si="12"/>
        <v>299982.06191463495</v>
      </c>
      <c r="K31" s="54">
        <f t="shared" ca="1" si="15"/>
        <v>0</v>
      </c>
      <c r="L31" s="54">
        <f t="shared" ca="1" si="13"/>
        <v>0</v>
      </c>
      <c r="M31" s="54">
        <f t="shared" ca="1" si="16"/>
        <v>0</v>
      </c>
      <c r="N31" s="54">
        <f t="shared" si="17"/>
        <v>0</v>
      </c>
      <c r="O31" s="54">
        <f t="shared" ca="1" si="6"/>
        <v>299982.06191463495</v>
      </c>
      <c r="P31" s="56">
        <f t="shared" si="7"/>
        <v>0</v>
      </c>
      <c r="Q31" s="57">
        <f t="shared" ca="1" si="8"/>
        <v>11999.282476585398</v>
      </c>
      <c r="R31" s="15"/>
      <c r="S31" s="15">
        <f t="shared" ca="1" si="9"/>
        <v>0</v>
      </c>
      <c r="T31" s="26">
        <f t="shared" si="18"/>
        <v>11</v>
      </c>
      <c r="U31" s="27">
        <v>0</v>
      </c>
      <c r="V31" s="27">
        <v>0</v>
      </c>
      <c r="W31" s="17">
        <v>0</v>
      </c>
      <c r="X31" s="28">
        <v>0</v>
      </c>
      <c r="Y31" s="29">
        <v>299982</v>
      </c>
      <c r="Z31" s="30">
        <v>0</v>
      </c>
      <c r="AA31" s="30">
        <v>0</v>
      </c>
      <c r="AB31" s="29">
        <v>0</v>
      </c>
      <c r="AC31" s="31">
        <v>11999</v>
      </c>
      <c r="AD31" s="21"/>
      <c r="AE31" s="21"/>
      <c r="AF31" s="21"/>
      <c r="AG31" s="21"/>
      <c r="AH31" s="21"/>
      <c r="AI31" s="21"/>
      <c r="AK31" s="22"/>
      <c r="AL31" s="22"/>
      <c r="AM31" s="22"/>
      <c r="AN31" s="22"/>
      <c r="AO31" s="22"/>
      <c r="AP31" s="22"/>
    </row>
  </sheetData>
  <conditionalFormatting sqref="H9:H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3" priority="4" operator="not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001F-A7B1-4CCF-A88A-7ABB96B9F72E}">
  <sheetPr>
    <tabColor rgb="FFFF0000"/>
  </sheetPr>
  <dimension ref="A1:AP31"/>
  <sheetViews>
    <sheetView topLeftCell="A2" workbookViewId="0">
      <pane xSplit="4" ySplit="7" topLeftCell="E10" activePane="bottomRight" state="frozen"/>
      <selection activeCell="A2" sqref="A2"/>
      <selection pane="topRight" activeCell="E2" sqref="E2"/>
      <selection pane="bottomLeft" activeCell="A8" sqref="A8"/>
      <selection pane="bottomRight" activeCell="Q17" sqref="Q17"/>
    </sheetView>
  </sheetViews>
  <sheetFormatPr defaultRowHeight="15" outlineLevelCol="1" x14ac:dyDescent="0.25"/>
  <cols>
    <col min="1" max="1" width="27" style="4" customWidth="1"/>
    <col min="2" max="2" width="13" style="4" customWidth="1"/>
    <col min="3" max="3" width="10.7109375" style="4" customWidth="1"/>
    <col min="4" max="4" width="13.7109375" style="4" customWidth="1"/>
    <col min="5" max="5" width="13.140625" style="4" customWidth="1" outlineLevel="1"/>
    <col min="6" max="6" width="12" style="4" customWidth="1" outlineLevel="1"/>
    <col min="7" max="7" width="11.7109375" style="4" customWidth="1"/>
    <col min="8" max="8" width="12.5703125" style="4" customWidth="1"/>
    <col min="9" max="9" width="13.140625" style="4" customWidth="1" outlineLevel="1"/>
    <col min="10" max="10" width="12.5703125" style="4" customWidth="1" outlineLevel="1"/>
    <col min="11" max="11" width="11.85546875" style="4" customWidth="1" outlineLevel="1"/>
    <col min="12" max="12" width="10.42578125" style="4" customWidth="1"/>
    <col min="13" max="13" width="11.7109375" style="4" customWidth="1"/>
    <col min="14" max="14" width="11.7109375" style="4" customWidth="1" outlineLevel="1"/>
    <col min="15" max="15" width="10" style="4" customWidth="1"/>
    <col min="16" max="16" width="15.140625" style="4" customWidth="1"/>
    <col min="17" max="17" width="14.42578125" style="4" customWidth="1"/>
    <col min="18" max="18" width="27.140625" style="4" customWidth="1"/>
    <col min="19" max="19" width="12.28515625" style="4" bestFit="1" customWidth="1"/>
    <col min="20" max="20" width="10.5703125" style="4" bestFit="1" customWidth="1"/>
    <col min="21" max="23" width="10.5703125" style="4" customWidth="1"/>
    <col min="24" max="24" width="12" style="4" customWidth="1"/>
    <col min="25" max="25" width="10.5703125" style="4" customWidth="1"/>
    <col min="26" max="26" width="12" style="4" customWidth="1"/>
    <col min="27" max="29" width="10.5703125" style="4" customWidth="1"/>
    <col min="30" max="30" width="11.85546875" style="4" customWidth="1"/>
    <col min="31" max="31" width="11.5703125" style="4" bestFit="1" customWidth="1"/>
    <col min="32" max="37" width="10.5703125" style="4" customWidth="1"/>
    <col min="38" max="38" width="12.85546875" style="4" customWidth="1"/>
    <col min="39" max="40" width="11.5703125" style="4" bestFit="1" customWidth="1"/>
    <col min="41" max="41" width="10.5703125" style="4" bestFit="1" customWidth="1"/>
    <col min="42" max="42" width="13.7109375" style="4" customWidth="1"/>
    <col min="43" max="43" width="11.85546875" style="4" customWidth="1"/>
    <col min="44" max="16384" width="9.140625" style="4"/>
  </cols>
  <sheetData>
    <row r="1" spans="1:42" x14ac:dyDescent="0.25">
      <c r="A1" s="1" t="s">
        <v>22</v>
      </c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42" ht="18.75" x14ac:dyDescent="0.3">
      <c r="A2" s="6" t="s">
        <v>15</v>
      </c>
      <c r="B2" s="2">
        <v>4.5</v>
      </c>
      <c r="C2" s="7"/>
      <c r="D2" s="8"/>
    </row>
    <row r="3" spans="1:42" x14ac:dyDescent="0.25">
      <c r="A3" s="6" t="s">
        <v>23</v>
      </c>
      <c r="B3" s="3">
        <v>5.2499999999999998E-2</v>
      </c>
      <c r="C3" s="7"/>
      <c r="D3" s="8"/>
    </row>
    <row r="4" spans="1:42" x14ac:dyDescent="0.25">
      <c r="A4" s="6" t="s">
        <v>24</v>
      </c>
      <c r="B4" s="4">
        <v>65</v>
      </c>
      <c r="C4" s="7"/>
    </row>
    <row r="5" spans="1:42" ht="30" x14ac:dyDescent="0.25">
      <c r="A5" s="6" t="s">
        <v>25</v>
      </c>
      <c r="B5" s="3">
        <v>6.25E-2</v>
      </c>
      <c r="C5" s="7"/>
      <c r="D5" s="3"/>
    </row>
    <row r="6" spans="1:42" x14ac:dyDescent="0.25">
      <c r="A6" s="6" t="s">
        <v>10</v>
      </c>
      <c r="B6" s="5">
        <v>0.04</v>
      </c>
      <c r="S6" s="9">
        <f>SUM(S9:S31)</f>
        <v>0</v>
      </c>
    </row>
    <row r="7" spans="1:42" ht="15.75" thickBot="1" x14ac:dyDescent="0.3">
      <c r="A7" s="6"/>
      <c r="B7" s="6"/>
      <c r="C7" s="6"/>
      <c r="D7" s="6"/>
      <c r="E7" s="32"/>
      <c r="F7" s="32"/>
      <c r="G7" s="32"/>
      <c r="I7" s="32"/>
      <c r="K7" s="32"/>
      <c r="M7" s="32"/>
      <c r="N7" s="32"/>
      <c r="O7" s="32"/>
      <c r="P7" s="32"/>
      <c r="Q7" s="32"/>
      <c r="S7" s="9"/>
    </row>
    <row r="8" spans="1:42" ht="71.25" customHeight="1" x14ac:dyDescent="0.25">
      <c r="A8" s="33" t="s">
        <v>11</v>
      </c>
      <c r="B8" s="34" t="s">
        <v>12</v>
      </c>
      <c r="C8" s="34" t="s">
        <v>26</v>
      </c>
      <c r="D8" s="34" t="s">
        <v>7</v>
      </c>
      <c r="E8" s="33" t="s">
        <v>13</v>
      </c>
      <c r="F8" s="33" t="s">
        <v>14</v>
      </c>
      <c r="G8" s="35" t="s">
        <v>27</v>
      </c>
      <c r="H8" s="35" t="s">
        <v>28</v>
      </c>
      <c r="I8" s="35" t="s">
        <v>16</v>
      </c>
      <c r="J8" s="35" t="s">
        <v>17</v>
      </c>
      <c r="K8" s="35" t="s">
        <v>20</v>
      </c>
      <c r="L8" s="35" t="s">
        <v>18</v>
      </c>
      <c r="M8" s="35" t="s">
        <v>1</v>
      </c>
      <c r="N8" s="35" t="s">
        <v>21</v>
      </c>
      <c r="O8" s="35" t="s">
        <v>0</v>
      </c>
      <c r="P8" s="35" t="s">
        <v>3</v>
      </c>
      <c r="Q8" s="36" t="s">
        <v>10</v>
      </c>
      <c r="R8" s="6"/>
      <c r="S8" s="10" t="s">
        <v>19</v>
      </c>
      <c r="T8" s="11" t="s">
        <v>11</v>
      </c>
      <c r="U8" s="12" t="s">
        <v>12</v>
      </c>
      <c r="V8" s="12" t="s">
        <v>6</v>
      </c>
      <c r="W8" s="12" t="s">
        <v>7</v>
      </c>
      <c r="X8" s="12" t="s">
        <v>8</v>
      </c>
      <c r="Y8" s="12" t="s">
        <v>9</v>
      </c>
      <c r="Z8" s="12" t="s">
        <v>4</v>
      </c>
      <c r="AA8" s="12" t="s">
        <v>5</v>
      </c>
      <c r="AB8" s="12" t="s">
        <v>3</v>
      </c>
      <c r="AC8" s="13" t="s">
        <v>10</v>
      </c>
      <c r="AD8" s="14"/>
      <c r="AE8" s="14"/>
      <c r="AF8" s="14"/>
      <c r="AG8" s="14"/>
      <c r="AH8" s="14"/>
      <c r="AI8" s="14"/>
      <c r="AK8" s="14"/>
      <c r="AL8" s="14"/>
      <c r="AM8" s="14"/>
      <c r="AN8" s="14"/>
      <c r="AO8" s="14"/>
      <c r="AP8" s="14"/>
    </row>
    <row r="9" spans="1:42" x14ac:dyDescent="0.25">
      <c r="A9" s="37">
        <v>0</v>
      </c>
      <c r="B9" s="38">
        <f>U9</f>
        <v>100000</v>
      </c>
      <c r="C9" s="38">
        <f t="shared" ref="C9:D31" si="0">V9</f>
        <v>0</v>
      </c>
      <c r="D9" s="38">
        <f t="shared" si="0"/>
        <v>100000</v>
      </c>
      <c r="E9" s="39" t="b">
        <f t="shared" ref="E9:E31" si="1">INT($A9)-$A9=0</f>
        <v>1</v>
      </c>
      <c r="F9" s="39" t="b">
        <f t="shared" ref="F9:F31" si="2">$A9&gt;=ActivationPeriod</f>
        <v>0</v>
      </c>
      <c r="G9" s="40">
        <v>0</v>
      </c>
      <c r="H9" s="41">
        <f>_xlfn.LET(_xlpm.prevMAWA,$P8,_xlpm.prevAv,$D8, IF($C9&lt;&gt;0,IF($F9,1-MAX(0,$C9-_xlpm.prevMAWA)/(_xlpm.prevAv-_xlpm.prevMAWA),1-$C9/$D9),1))</f>
        <v>1</v>
      </c>
      <c r="I9" s="41" t="b">
        <f t="shared" ref="I9:I31" si="3">$N9&gt;0</f>
        <v>0</v>
      </c>
      <c r="J9" s="40">
        <f>B9</f>
        <v>100000</v>
      </c>
      <c r="K9" s="42"/>
      <c r="L9" s="40">
        <f>B9</f>
        <v>100000</v>
      </c>
      <c r="M9" s="42"/>
      <c r="N9" s="40"/>
      <c r="O9" s="40">
        <f t="shared" ref="O9:O31" si="4">$J9+$N9</f>
        <v>100000</v>
      </c>
      <c r="P9" s="43">
        <f t="shared" ref="P9:P31" si="5">IF($D9&gt;0,$O9*MawRate,0)</f>
        <v>6250</v>
      </c>
      <c r="Q9" s="44">
        <f t="shared" ref="Q9:Q31" si="6">IF($D9=0,pipRate*$O9,0)</f>
        <v>0</v>
      </c>
      <c r="R9" s="15"/>
      <c r="S9" s="15">
        <f t="shared" ref="S9:S31" si="7">TRUNC(SUM(G9,O9,L9,M9,P9,Q9)-SUM(X9:AC9),0)</f>
        <v>0</v>
      </c>
      <c r="T9" s="16">
        <v>0</v>
      </c>
      <c r="U9" s="17">
        <v>100000</v>
      </c>
      <c r="V9" s="17">
        <v>0</v>
      </c>
      <c r="W9" s="17">
        <v>100000</v>
      </c>
      <c r="X9" s="18">
        <v>0</v>
      </c>
      <c r="Y9" s="19">
        <v>100000</v>
      </c>
      <c r="Z9" s="19">
        <v>100000</v>
      </c>
      <c r="AA9" s="19">
        <v>0</v>
      </c>
      <c r="AB9" s="19">
        <v>6250</v>
      </c>
      <c r="AC9" s="20">
        <v>0</v>
      </c>
      <c r="AD9" s="21"/>
      <c r="AE9" s="21"/>
      <c r="AF9" s="21"/>
      <c r="AG9" s="21"/>
      <c r="AH9" s="21"/>
      <c r="AI9" s="21"/>
      <c r="AK9" s="22"/>
      <c r="AL9" s="22"/>
      <c r="AM9" s="22"/>
      <c r="AN9" s="22"/>
      <c r="AO9" s="22"/>
      <c r="AP9" s="22"/>
    </row>
    <row r="10" spans="1:42" x14ac:dyDescent="0.25">
      <c r="A10" s="45">
        <f>A9+0.5</f>
        <v>0.5</v>
      </c>
      <c r="B10" s="38">
        <f t="shared" ref="B10:B31" si="8">U10</f>
        <v>60000</v>
      </c>
      <c r="C10" s="38">
        <f t="shared" si="0"/>
        <v>0</v>
      </c>
      <c r="D10" s="38">
        <f t="shared" si="0"/>
        <v>165000</v>
      </c>
      <c r="E10" s="46" t="b">
        <f t="shared" si="1"/>
        <v>0</v>
      </c>
      <c r="F10" s="46" t="b">
        <f t="shared" si="2"/>
        <v>0</v>
      </c>
      <c r="G10" s="47">
        <f t="shared" ref="G10:G31" si="9">IF($E10,$D10,0)</f>
        <v>0</v>
      </c>
      <c r="H10" s="41">
        <f t="shared" ref="H10:H31" si="10">_xlfn.LET(_xlpm.prevMAWA,$P9,_xlpm.prevAv,$D9, IF($C10&lt;&gt;0,IF($F10,1-MAX(0,$C10-_xlpm.prevMAWA)/(_xlpm.prevAv-_xlpm.prevMAWA),1-$C10/$D10),1))</f>
        <v>1</v>
      </c>
      <c r="I10" s="48" t="b">
        <f t="shared" si="3"/>
        <v>0</v>
      </c>
      <c r="J10" s="47">
        <f>_xlfn.LET(_xlpm.prevIB,$O9, IF($E10,MAX(_xlpm.prevIB,$G10+$B10),_xlpm.prevIB+$B10)*$H10)</f>
        <v>160000</v>
      </c>
      <c r="K10" s="47">
        <f>$J10-$J9</f>
        <v>60000</v>
      </c>
      <c r="L10" s="47">
        <f>_xlfn.LET(_xlpm.prevIB,$L9,IF(NOT($F10),IF($I10,_xlpm.prevIB,IF($E10,MAX(_xlpm.prevIB,$G10+$B10),_xlpm.prevIB+$B10))*$H10,0))</f>
        <v>160000</v>
      </c>
      <c r="M10" s="47">
        <f t="shared" ref="M10:M31" si="11">IF(AND(NOT($F10), $E10),$L9*IncCredRate,0)</f>
        <v>0</v>
      </c>
      <c r="N10" s="47">
        <f t="shared" ref="N10:N31" si="12">IF(AND($E10,NOT($F10)),MAX(0,$M10-$K10),0)</f>
        <v>0</v>
      </c>
      <c r="O10" s="47">
        <f t="shared" si="4"/>
        <v>160000</v>
      </c>
      <c r="P10" s="49">
        <f t="shared" si="5"/>
        <v>10000</v>
      </c>
      <c r="Q10" s="50">
        <f t="shared" si="6"/>
        <v>0</v>
      </c>
      <c r="R10" s="15"/>
      <c r="S10" s="15">
        <f t="shared" si="7"/>
        <v>0</v>
      </c>
      <c r="T10" s="16">
        <f>T9+0.5</f>
        <v>0.5</v>
      </c>
      <c r="U10" s="17">
        <v>60000</v>
      </c>
      <c r="V10" s="17">
        <v>0</v>
      </c>
      <c r="W10" s="17">
        <v>165000</v>
      </c>
      <c r="X10" s="18">
        <v>0</v>
      </c>
      <c r="Y10" s="19">
        <v>160000</v>
      </c>
      <c r="Z10" s="19">
        <v>160000</v>
      </c>
      <c r="AA10" s="19">
        <v>0</v>
      </c>
      <c r="AB10" s="19">
        <v>10000</v>
      </c>
      <c r="AC10" s="20">
        <v>0</v>
      </c>
      <c r="AD10" s="21"/>
      <c r="AE10" s="21"/>
      <c r="AF10" s="21"/>
      <c r="AG10" s="21"/>
      <c r="AH10" s="21"/>
      <c r="AI10" s="21"/>
      <c r="AK10" s="22"/>
      <c r="AL10" s="22"/>
      <c r="AM10" s="22"/>
      <c r="AN10" s="22"/>
      <c r="AO10" s="22"/>
      <c r="AP10" s="22"/>
    </row>
    <row r="11" spans="1:42" x14ac:dyDescent="0.25">
      <c r="A11" s="37">
        <f t="shared" ref="A11:A31" si="13">A10+0.5</f>
        <v>1</v>
      </c>
      <c r="B11" s="38">
        <f t="shared" si="8"/>
        <v>0</v>
      </c>
      <c r="C11" s="38">
        <f t="shared" si="0"/>
        <v>0</v>
      </c>
      <c r="D11" s="38">
        <f t="shared" si="0"/>
        <v>170000</v>
      </c>
      <c r="E11" s="39" t="b">
        <f t="shared" si="1"/>
        <v>1</v>
      </c>
      <c r="F11" s="39" t="b">
        <f t="shared" si="2"/>
        <v>0</v>
      </c>
      <c r="G11" s="40">
        <f t="shared" si="9"/>
        <v>170000</v>
      </c>
      <c r="H11" s="41">
        <f t="shared" si="10"/>
        <v>1</v>
      </c>
      <c r="I11" s="41" t="b">
        <f t="shared" si="3"/>
        <v>0</v>
      </c>
      <c r="J11" s="40">
        <f t="shared" ref="J11:J31" si="14">_xlfn.LET(_xlpm.prevIB,$O10, IF($E11,MAX(_xlpm.prevIB,$G11+$B11),_xlpm.prevIB+$B11)*$H11)</f>
        <v>170000</v>
      </c>
      <c r="K11" s="40">
        <f>$J11-$J10</f>
        <v>10000</v>
      </c>
      <c r="L11" s="40">
        <f t="shared" ref="L11:L31" si="15">_xlfn.LET(_xlpm.prevIB,$L10,IF(NOT($F11),IF($I11,_xlpm.prevIB,IF($E11,MAX(_xlpm.prevIB,$G11+$B11),_xlpm.prevIB+$B11))*$H11,0))</f>
        <v>170000</v>
      </c>
      <c r="M11" s="40">
        <f t="shared" si="11"/>
        <v>8400</v>
      </c>
      <c r="N11" s="40">
        <f t="shared" si="12"/>
        <v>0</v>
      </c>
      <c r="O11" s="40">
        <f t="shared" si="4"/>
        <v>170000</v>
      </c>
      <c r="P11" s="43">
        <f t="shared" si="5"/>
        <v>10625</v>
      </c>
      <c r="Q11" s="44">
        <f t="shared" si="6"/>
        <v>0</v>
      </c>
      <c r="R11" s="15"/>
      <c r="S11" s="15">
        <f t="shared" si="7"/>
        <v>0</v>
      </c>
      <c r="T11" s="16">
        <f t="shared" ref="T11:T31" si="16">T10+0.5</f>
        <v>1</v>
      </c>
      <c r="U11" s="17">
        <v>0</v>
      </c>
      <c r="V11" s="17">
        <v>0</v>
      </c>
      <c r="W11" s="17">
        <v>170000</v>
      </c>
      <c r="X11" s="18">
        <v>170000</v>
      </c>
      <c r="Y11" s="19">
        <v>170000</v>
      </c>
      <c r="Z11" s="19">
        <v>170000</v>
      </c>
      <c r="AA11" s="19">
        <v>8400</v>
      </c>
      <c r="AB11" s="19">
        <v>10625</v>
      </c>
      <c r="AC11" s="20">
        <v>0</v>
      </c>
      <c r="AD11" s="21"/>
      <c r="AE11" s="21"/>
      <c r="AF11" s="21"/>
      <c r="AG11" s="21"/>
      <c r="AH11" s="21"/>
      <c r="AI11" s="21"/>
      <c r="AK11" s="22"/>
      <c r="AL11" s="22"/>
      <c r="AM11" s="22"/>
      <c r="AN11" s="22"/>
      <c r="AO11" s="22"/>
      <c r="AP11" s="22"/>
    </row>
    <row r="12" spans="1:42" x14ac:dyDescent="0.25">
      <c r="A12" s="45">
        <f t="shared" si="13"/>
        <v>1.5</v>
      </c>
      <c r="B12" s="38">
        <f t="shared" si="8"/>
        <v>90000</v>
      </c>
      <c r="C12" s="38">
        <f t="shared" si="0"/>
        <v>0</v>
      </c>
      <c r="D12" s="38">
        <f t="shared" si="0"/>
        <v>255000</v>
      </c>
      <c r="E12" s="46" t="b">
        <f t="shared" si="1"/>
        <v>0</v>
      </c>
      <c r="F12" s="46" t="b">
        <f t="shared" si="2"/>
        <v>0</v>
      </c>
      <c r="G12" s="47">
        <f t="shared" si="9"/>
        <v>0</v>
      </c>
      <c r="H12" s="41">
        <f t="shared" si="10"/>
        <v>1</v>
      </c>
      <c r="I12" s="48" t="b">
        <f t="shared" si="3"/>
        <v>0</v>
      </c>
      <c r="J12" s="47">
        <f t="shared" si="14"/>
        <v>260000</v>
      </c>
      <c r="K12" s="47">
        <f t="shared" ref="K12:K31" si="17">$J12-$J11</f>
        <v>90000</v>
      </c>
      <c r="L12" s="47">
        <f t="shared" si="15"/>
        <v>260000</v>
      </c>
      <c r="M12" s="47">
        <f t="shared" si="11"/>
        <v>0</v>
      </c>
      <c r="N12" s="47">
        <f t="shared" si="12"/>
        <v>0</v>
      </c>
      <c r="O12" s="47">
        <f t="shared" si="4"/>
        <v>260000</v>
      </c>
      <c r="P12" s="49">
        <f t="shared" si="5"/>
        <v>16250</v>
      </c>
      <c r="Q12" s="50">
        <f t="shared" si="6"/>
        <v>0</v>
      </c>
      <c r="R12" s="15"/>
      <c r="S12" s="15">
        <f t="shared" si="7"/>
        <v>0</v>
      </c>
      <c r="T12" s="16">
        <f t="shared" si="16"/>
        <v>1.5</v>
      </c>
      <c r="U12" s="17">
        <v>90000</v>
      </c>
      <c r="V12" s="17">
        <v>0</v>
      </c>
      <c r="W12" s="17">
        <v>255000</v>
      </c>
      <c r="X12" s="18">
        <v>0</v>
      </c>
      <c r="Y12" s="19">
        <v>260000</v>
      </c>
      <c r="Z12" s="19">
        <v>260000</v>
      </c>
      <c r="AA12" s="19">
        <v>0</v>
      </c>
      <c r="AB12" s="19">
        <v>16250</v>
      </c>
      <c r="AC12" s="20">
        <v>0</v>
      </c>
      <c r="AD12" s="21"/>
      <c r="AE12" s="21"/>
      <c r="AF12" s="21"/>
      <c r="AG12" s="21"/>
      <c r="AH12" s="21"/>
      <c r="AI12" s="21"/>
      <c r="AK12" s="22"/>
      <c r="AL12" s="22"/>
      <c r="AM12" s="22"/>
      <c r="AN12" s="22"/>
      <c r="AO12" s="22"/>
      <c r="AP12" s="22"/>
    </row>
    <row r="13" spans="1:42" x14ac:dyDescent="0.25">
      <c r="A13" s="37">
        <f t="shared" si="13"/>
        <v>2</v>
      </c>
      <c r="B13" s="38">
        <f t="shared" si="8"/>
        <v>0</v>
      </c>
      <c r="C13" s="38">
        <f t="shared" si="0"/>
        <v>0</v>
      </c>
      <c r="D13" s="38">
        <f t="shared" si="0"/>
        <v>287000</v>
      </c>
      <c r="E13" s="39" t="b">
        <f t="shared" si="1"/>
        <v>1</v>
      </c>
      <c r="F13" s="39" t="b">
        <f t="shared" si="2"/>
        <v>0</v>
      </c>
      <c r="G13" s="40">
        <f t="shared" si="9"/>
        <v>287000</v>
      </c>
      <c r="H13" s="41">
        <f t="shared" si="10"/>
        <v>1</v>
      </c>
      <c r="I13" s="41" t="b">
        <f t="shared" si="3"/>
        <v>0</v>
      </c>
      <c r="J13" s="40">
        <f t="shared" si="14"/>
        <v>287000</v>
      </c>
      <c r="K13" s="40">
        <f t="shared" si="17"/>
        <v>27000</v>
      </c>
      <c r="L13" s="40">
        <f t="shared" si="15"/>
        <v>287000</v>
      </c>
      <c r="M13" s="40">
        <f t="shared" si="11"/>
        <v>13650</v>
      </c>
      <c r="N13" s="40">
        <f t="shared" si="12"/>
        <v>0</v>
      </c>
      <c r="O13" s="40">
        <f t="shared" si="4"/>
        <v>287000</v>
      </c>
      <c r="P13" s="43">
        <f t="shared" si="5"/>
        <v>17937.5</v>
      </c>
      <c r="Q13" s="44">
        <f t="shared" si="6"/>
        <v>0</v>
      </c>
      <c r="R13" s="15"/>
      <c r="S13" s="15">
        <f t="shared" si="7"/>
        <v>0</v>
      </c>
      <c r="T13" s="16">
        <f t="shared" si="16"/>
        <v>2</v>
      </c>
      <c r="U13" s="17">
        <v>0</v>
      </c>
      <c r="V13" s="17">
        <v>0</v>
      </c>
      <c r="W13" s="17">
        <v>287000</v>
      </c>
      <c r="X13" s="18">
        <v>287000</v>
      </c>
      <c r="Y13" s="19">
        <v>287000</v>
      </c>
      <c r="Z13" s="19">
        <v>287000</v>
      </c>
      <c r="AA13" s="19">
        <v>13650</v>
      </c>
      <c r="AB13" s="19">
        <v>17938</v>
      </c>
      <c r="AC13" s="20">
        <v>0</v>
      </c>
      <c r="AD13" s="21"/>
      <c r="AE13" s="21"/>
      <c r="AF13" s="21"/>
      <c r="AG13" s="21"/>
      <c r="AH13" s="21"/>
      <c r="AI13" s="21"/>
      <c r="AK13" s="22"/>
      <c r="AL13" s="22"/>
      <c r="AM13" s="22"/>
      <c r="AN13" s="22"/>
      <c r="AO13" s="22"/>
      <c r="AP13" s="22"/>
    </row>
    <row r="14" spans="1:42" x14ac:dyDescent="0.25">
      <c r="A14" s="45">
        <f t="shared" si="13"/>
        <v>2.5</v>
      </c>
      <c r="B14" s="38">
        <f t="shared" si="8"/>
        <v>0</v>
      </c>
      <c r="C14" s="38">
        <f t="shared" si="0"/>
        <v>0</v>
      </c>
      <c r="D14" s="38">
        <f t="shared" si="0"/>
        <v>287000</v>
      </c>
      <c r="E14" s="46" t="b">
        <f t="shared" si="1"/>
        <v>0</v>
      </c>
      <c r="F14" s="46" t="b">
        <f t="shared" si="2"/>
        <v>0</v>
      </c>
      <c r="G14" s="47">
        <f t="shared" si="9"/>
        <v>0</v>
      </c>
      <c r="H14" s="41">
        <f t="shared" si="10"/>
        <v>1</v>
      </c>
      <c r="I14" s="48" t="b">
        <f t="shared" si="3"/>
        <v>0</v>
      </c>
      <c r="J14" s="47">
        <f t="shared" si="14"/>
        <v>287000</v>
      </c>
      <c r="K14" s="47">
        <f t="shared" si="17"/>
        <v>0</v>
      </c>
      <c r="L14" s="47">
        <f t="shared" si="15"/>
        <v>287000</v>
      </c>
      <c r="M14" s="47">
        <f t="shared" si="11"/>
        <v>0</v>
      </c>
      <c r="N14" s="47">
        <f t="shared" si="12"/>
        <v>0</v>
      </c>
      <c r="O14" s="47">
        <f t="shared" si="4"/>
        <v>287000</v>
      </c>
      <c r="P14" s="49">
        <f t="shared" si="5"/>
        <v>17937.5</v>
      </c>
      <c r="Q14" s="50">
        <f t="shared" si="6"/>
        <v>0</v>
      </c>
      <c r="R14" s="15"/>
      <c r="S14" s="15">
        <f t="shared" si="7"/>
        <v>0</v>
      </c>
      <c r="T14" s="16">
        <f t="shared" si="16"/>
        <v>2.5</v>
      </c>
      <c r="U14" s="17">
        <v>0</v>
      </c>
      <c r="V14" s="17">
        <v>0</v>
      </c>
      <c r="W14" s="17">
        <v>287000</v>
      </c>
      <c r="X14" s="23">
        <v>0</v>
      </c>
      <c r="Y14" s="19">
        <v>287000</v>
      </c>
      <c r="Z14" s="19">
        <v>287000</v>
      </c>
      <c r="AA14" s="19">
        <v>0</v>
      </c>
      <c r="AB14" s="19">
        <v>17938</v>
      </c>
      <c r="AC14" s="20">
        <v>0</v>
      </c>
      <c r="AD14" s="21"/>
      <c r="AE14" s="21"/>
      <c r="AF14" s="21"/>
      <c r="AG14" s="21"/>
      <c r="AH14" s="21"/>
      <c r="AI14" s="21"/>
      <c r="AK14" s="22"/>
      <c r="AL14" s="22"/>
      <c r="AM14" s="22"/>
      <c r="AN14" s="22"/>
      <c r="AO14" s="22"/>
      <c r="AP14" s="22"/>
    </row>
    <row r="15" spans="1:42" x14ac:dyDescent="0.25">
      <c r="A15" s="37">
        <f t="shared" si="13"/>
        <v>3</v>
      </c>
      <c r="B15" s="38">
        <f t="shared" si="8"/>
        <v>0</v>
      </c>
      <c r="C15" s="38">
        <f t="shared" si="0"/>
        <v>0</v>
      </c>
      <c r="D15" s="38">
        <f t="shared" si="0"/>
        <v>300000</v>
      </c>
      <c r="E15" s="39" t="b">
        <f t="shared" si="1"/>
        <v>1</v>
      </c>
      <c r="F15" s="39" t="b">
        <f t="shared" si="2"/>
        <v>0</v>
      </c>
      <c r="G15" s="40">
        <f t="shared" si="9"/>
        <v>300000</v>
      </c>
      <c r="H15" s="41">
        <f t="shared" si="10"/>
        <v>1</v>
      </c>
      <c r="I15" s="41" t="b">
        <f t="shared" si="3"/>
        <v>1</v>
      </c>
      <c r="J15" s="40">
        <f t="shared" si="14"/>
        <v>300000</v>
      </c>
      <c r="K15" s="40">
        <f t="shared" si="17"/>
        <v>13000</v>
      </c>
      <c r="L15" s="40">
        <f t="shared" si="15"/>
        <v>287000</v>
      </c>
      <c r="M15" s="40">
        <f t="shared" si="11"/>
        <v>15067.5</v>
      </c>
      <c r="N15" s="40">
        <f t="shared" si="12"/>
        <v>2067.5</v>
      </c>
      <c r="O15" s="40">
        <f t="shared" si="4"/>
        <v>302067.5</v>
      </c>
      <c r="P15" s="43">
        <f t="shared" si="5"/>
        <v>18879.21875</v>
      </c>
      <c r="Q15" s="44">
        <f t="shared" si="6"/>
        <v>0</v>
      </c>
      <c r="R15" s="15"/>
      <c r="S15" s="15">
        <f t="shared" si="7"/>
        <v>0</v>
      </c>
      <c r="T15" s="16">
        <f t="shared" si="16"/>
        <v>3</v>
      </c>
      <c r="U15" s="17">
        <v>0</v>
      </c>
      <c r="V15" s="17">
        <v>0</v>
      </c>
      <c r="W15" s="17">
        <v>300000</v>
      </c>
      <c r="X15" s="18">
        <v>300000</v>
      </c>
      <c r="Y15" s="19">
        <v>302068</v>
      </c>
      <c r="Z15" s="19">
        <v>287000</v>
      </c>
      <c r="AA15" s="19">
        <v>15068</v>
      </c>
      <c r="AB15" s="19">
        <v>18879</v>
      </c>
      <c r="AC15" s="20">
        <v>0</v>
      </c>
      <c r="AD15" s="21"/>
      <c r="AE15" s="21"/>
      <c r="AF15" s="21"/>
      <c r="AG15" s="21"/>
      <c r="AH15" s="21"/>
      <c r="AI15" s="21"/>
      <c r="AK15" s="22"/>
      <c r="AL15" s="22"/>
      <c r="AM15" s="22"/>
      <c r="AN15" s="22"/>
      <c r="AO15" s="22"/>
      <c r="AP15" s="22"/>
    </row>
    <row r="16" spans="1:42" x14ac:dyDescent="0.25">
      <c r="A16" s="45">
        <f t="shared" si="13"/>
        <v>3.5</v>
      </c>
      <c r="B16" s="38">
        <f t="shared" si="8"/>
        <v>0</v>
      </c>
      <c r="C16" s="38">
        <f t="shared" si="0"/>
        <v>5000</v>
      </c>
      <c r="D16" s="38">
        <f t="shared" si="0"/>
        <v>305000</v>
      </c>
      <c r="E16" s="46" t="b">
        <f t="shared" si="1"/>
        <v>0</v>
      </c>
      <c r="F16" s="46" t="b">
        <f t="shared" si="2"/>
        <v>0</v>
      </c>
      <c r="G16" s="47">
        <f t="shared" si="9"/>
        <v>0</v>
      </c>
      <c r="H16" s="41">
        <f t="shared" si="10"/>
        <v>0.98360655737704916</v>
      </c>
      <c r="I16" s="48" t="b">
        <f t="shared" si="3"/>
        <v>0</v>
      </c>
      <c r="J16" s="47">
        <f t="shared" si="14"/>
        <v>297115.57377049181</v>
      </c>
      <c r="K16" s="47">
        <f t="shared" si="17"/>
        <v>-2884.4262295081862</v>
      </c>
      <c r="L16" s="47">
        <f t="shared" si="15"/>
        <v>282295.08196721313</v>
      </c>
      <c r="M16" s="47">
        <f t="shared" si="11"/>
        <v>0</v>
      </c>
      <c r="N16" s="47">
        <f t="shared" si="12"/>
        <v>0</v>
      </c>
      <c r="O16" s="47">
        <f t="shared" si="4"/>
        <v>297115.57377049181</v>
      </c>
      <c r="P16" s="49">
        <f t="shared" si="5"/>
        <v>18569.723360655738</v>
      </c>
      <c r="Q16" s="50">
        <f t="shared" si="6"/>
        <v>0</v>
      </c>
      <c r="R16" s="15"/>
      <c r="S16" s="15">
        <f t="shared" si="7"/>
        <v>0</v>
      </c>
      <c r="T16" s="16">
        <f t="shared" si="16"/>
        <v>3.5</v>
      </c>
      <c r="U16" s="17">
        <v>0</v>
      </c>
      <c r="V16" s="17">
        <v>5000</v>
      </c>
      <c r="W16" s="17">
        <v>305000</v>
      </c>
      <c r="X16" s="18">
        <v>0</v>
      </c>
      <c r="Y16" s="19">
        <v>297116</v>
      </c>
      <c r="Z16" s="19">
        <v>282295</v>
      </c>
      <c r="AA16" s="19">
        <v>0</v>
      </c>
      <c r="AB16" s="19">
        <v>18570</v>
      </c>
      <c r="AC16" s="20">
        <v>0</v>
      </c>
      <c r="AD16" s="21"/>
      <c r="AE16" s="21"/>
      <c r="AF16" s="21"/>
      <c r="AG16" s="21"/>
      <c r="AH16" s="21"/>
      <c r="AI16" s="21"/>
      <c r="AK16" s="22"/>
      <c r="AL16" s="22"/>
      <c r="AM16" s="22"/>
      <c r="AN16" s="22"/>
      <c r="AO16" s="22"/>
      <c r="AP16" s="22"/>
    </row>
    <row r="17" spans="1:42" x14ac:dyDescent="0.25">
      <c r="A17" s="37">
        <f t="shared" si="13"/>
        <v>4</v>
      </c>
      <c r="B17" s="38">
        <f t="shared" si="8"/>
        <v>0</v>
      </c>
      <c r="C17" s="38">
        <f t="shared" si="0"/>
        <v>0</v>
      </c>
      <c r="D17" s="38">
        <f t="shared" si="0"/>
        <v>312000</v>
      </c>
      <c r="E17" s="39" t="b">
        <f t="shared" si="1"/>
        <v>1</v>
      </c>
      <c r="F17" s="39" t="b">
        <f t="shared" si="2"/>
        <v>0</v>
      </c>
      <c r="G17" s="40">
        <f t="shared" si="9"/>
        <v>312000</v>
      </c>
      <c r="H17" s="41">
        <f t="shared" si="10"/>
        <v>1</v>
      </c>
      <c r="I17" s="41" t="b">
        <f t="shared" si="3"/>
        <v>0</v>
      </c>
      <c r="J17" s="40">
        <f t="shared" si="14"/>
        <v>312000</v>
      </c>
      <c r="K17" s="40">
        <f t="shared" si="17"/>
        <v>14884.426229508186</v>
      </c>
      <c r="L17" s="40">
        <f t="shared" si="15"/>
        <v>312000</v>
      </c>
      <c r="M17" s="40">
        <f t="shared" si="11"/>
        <v>14820.491803278688</v>
      </c>
      <c r="N17" s="40">
        <f t="shared" si="12"/>
        <v>0</v>
      </c>
      <c r="O17" s="40">
        <f t="shared" si="4"/>
        <v>312000</v>
      </c>
      <c r="P17" s="43">
        <f t="shared" si="5"/>
        <v>19500</v>
      </c>
      <c r="Q17" s="44">
        <f t="shared" si="6"/>
        <v>0</v>
      </c>
      <c r="R17" s="15"/>
      <c r="S17" s="15">
        <f t="shared" si="7"/>
        <v>0</v>
      </c>
      <c r="T17" s="16">
        <f t="shared" si="16"/>
        <v>4</v>
      </c>
      <c r="U17" s="17">
        <v>0</v>
      </c>
      <c r="V17" s="17">
        <v>0</v>
      </c>
      <c r="W17" s="17">
        <v>312000</v>
      </c>
      <c r="X17" s="18">
        <v>312000</v>
      </c>
      <c r="Y17" s="19">
        <v>312000</v>
      </c>
      <c r="Z17" s="19">
        <v>312000</v>
      </c>
      <c r="AA17" s="19">
        <v>14820</v>
      </c>
      <c r="AB17" s="19">
        <v>19500</v>
      </c>
      <c r="AC17" s="20">
        <v>0</v>
      </c>
      <c r="AD17" s="21"/>
      <c r="AE17" s="21"/>
      <c r="AF17" s="21"/>
      <c r="AG17" s="21"/>
      <c r="AH17" s="21"/>
      <c r="AI17" s="21"/>
      <c r="AK17" s="22"/>
      <c r="AL17" s="22"/>
      <c r="AM17" s="22"/>
      <c r="AN17" s="22"/>
      <c r="AO17" s="22"/>
      <c r="AP17" s="22"/>
    </row>
    <row r="18" spans="1:42" x14ac:dyDescent="0.25">
      <c r="A18" s="45">
        <f t="shared" si="13"/>
        <v>4.5</v>
      </c>
      <c r="B18" s="38">
        <f t="shared" si="8"/>
        <v>0</v>
      </c>
      <c r="C18" s="38">
        <f t="shared" si="0"/>
        <v>19500</v>
      </c>
      <c r="D18" s="38">
        <f t="shared" si="0"/>
        <v>302000</v>
      </c>
      <c r="E18" s="46" t="b">
        <f t="shared" si="1"/>
        <v>0</v>
      </c>
      <c r="F18" s="46" t="b">
        <f t="shared" si="2"/>
        <v>1</v>
      </c>
      <c r="G18" s="47">
        <f t="shared" si="9"/>
        <v>0</v>
      </c>
      <c r="H18" s="41">
        <f t="shared" si="10"/>
        <v>1</v>
      </c>
      <c r="I18" s="48" t="b">
        <f t="shared" si="3"/>
        <v>0</v>
      </c>
      <c r="J18" s="47">
        <f t="shared" si="14"/>
        <v>312000</v>
      </c>
      <c r="K18" s="47">
        <f t="shared" si="17"/>
        <v>0</v>
      </c>
      <c r="L18" s="47">
        <f t="shared" si="15"/>
        <v>0</v>
      </c>
      <c r="M18" s="47">
        <f t="shared" si="11"/>
        <v>0</v>
      </c>
      <c r="N18" s="47">
        <f t="shared" si="12"/>
        <v>0</v>
      </c>
      <c r="O18" s="47">
        <f t="shared" si="4"/>
        <v>312000</v>
      </c>
      <c r="P18" s="49">
        <f t="shared" si="5"/>
        <v>19500</v>
      </c>
      <c r="Q18" s="50">
        <f t="shared" si="6"/>
        <v>0</v>
      </c>
      <c r="R18" s="15"/>
      <c r="S18" s="15">
        <f t="shared" si="7"/>
        <v>0</v>
      </c>
      <c r="T18" s="16">
        <f t="shared" si="16"/>
        <v>4.5</v>
      </c>
      <c r="U18" s="17">
        <v>0</v>
      </c>
      <c r="V18" s="17">
        <v>19500</v>
      </c>
      <c r="W18" s="17">
        <v>302000</v>
      </c>
      <c r="X18" s="23">
        <v>0</v>
      </c>
      <c r="Y18" s="19">
        <v>312000</v>
      </c>
      <c r="Z18" s="24">
        <v>0</v>
      </c>
      <c r="AA18" s="24">
        <v>0</v>
      </c>
      <c r="AB18" s="19">
        <v>19500</v>
      </c>
      <c r="AC18" s="20">
        <v>0</v>
      </c>
      <c r="AD18" s="21"/>
      <c r="AE18" s="21"/>
      <c r="AF18" s="21"/>
      <c r="AG18" s="21"/>
      <c r="AH18" s="21"/>
      <c r="AI18" s="21"/>
      <c r="AK18" s="22"/>
      <c r="AL18" s="22"/>
      <c r="AM18" s="22"/>
      <c r="AN18" s="22"/>
      <c r="AO18" s="22"/>
      <c r="AP18" s="22"/>
    </row>
    <row r="19" spans="1:42" x14ac:dyDescent="0.25">
      <c r="A19" s="37">
        <f t="shared" si="13"/>
        <v>5</v>
      </c>
      <c r="B19" s="38">
        <f t="shared" si="8"/>
        <v>0</v>
      </c>
      <c r="C19" s="38">
        <f t="shared" si="0"/>
        <v>0</v>
      </c>
      <c r="D19" s="38">
        <f t="shared" si="0"/>
        <v>305000</v>
      </c>
      <c r="E19" s="39" t="b">
        <f t="shared" si="1"/>
        <v>1</v>
      </c>
      <c r="F19" s="39" t="b">
        <f t="shared" si="2"/>
        <v>1</v>
      </c>
      <c r="G19" s="40">
        <f t="shared" si="9"/>
        <v>305000</v>
      </c>
      <c r="H19" s="41">
        <f t="shared" si="10"/>
        <v>1</v>
      </c>
      <c r="I19" s="41" t="b">
        <f t="shared" si="3"/>
        <v>0</v>
      </c>
      <c r="J19" s="40">
        <f t="shared" si="14"/>
        <v>312000</v>
      </c>
      <c r="K19" s="40">
        <f t="shared" si="17"/>
        <v>0</v>
      </c>
      <c r="L19" s="40">
        <f t="shared" si="15"/>
        <v>0</v>
      </c>
      <c r="M19" s="40">
        <f t="shared" si="11"/>
        <v>0</v>
      </c>
      <c r="N19" s="40">
        <f t="shared" si="12"/>
        <v>0</v>
      </c>
      <c r="O19" s="40">
        <f t="shared" si="4"/>
        <v>312000</v>
      </c>
      <c r="P19" s="43">
        <f t="shared" si="5"/>
        <v>19500</v>
      </c>
      <c r="Q19" s="44">
        <f t="shared" si="6"/>
        <v>0</v>
      </c>
      <c r="R19" s="15"/>
      <c r="S19" s="15">
        <f t="shared" si="7"/>
        <v>0</v>
      </c>
      <c r="T19" s="16">
        <f t="shared" si="16"/>
        <v>5</v>
      </c>
      <c r="U19" s="17">
        <v>0</v>
      </c>
      <c r="V19" s="17">
        <v>0</v>
      </c>
      <c r="W19" s="17">
        <v>305000</v>
      </c>
      <c r="X19" s="18">
        <v>305000</v>
      </c>
      <c r="Y19" s="19">
        <v>312000</v>
      </c>
      <c r="Z19" s="24">
        <v>0</v>
      </c>
      <c r="AA19" s="24">
        <v>0</v>
      </c>
      <c r="AB19" s="19">
        <v>19500</v>
      </c>
      <c r="AC19" s="20">
        <v>0</v>
      </c>
      <c r="AD19" s="21"/>
      <c r="AE19" s="25"/>
      <c r="AF19" s="21"/>
      <c r="AG19" s="21"/>
      <c r="AH19" s="21"/>
      <c r="AI19" s="21"/>
      <c r="AK19" s="22"/>
      <c r="AL19" s="22"/>
      <c r="AM19" s="22"/>
      <c r="AN19" s="22"/>
      <c r="AO19" s="22"/>
      <c r="AP19" s="22"/>
    </row>
    <row r="20" spans="1:42" x14ac:dyDescent="0.25">
      <c r="A20" s="45">
        <f t="shared" si="13"/>
        <v>5.5</v>
      </c>
      <c r="B20" s="38">
        <f t="shared" si="8"/>
        <v>0</v>
      </c>
      <c r="C20" s="38">
        <f t="shared" si="0"/>
        <v>24960</v>
      </c>
      <c r="D20" s="38">
        <f t="shared" si="0"/>
        <v>280000</v>
      </c>
      <c r="E20" s="46" t="b">
        <f t="shared" si="1"/>
        <v>0</v>
      </c>
      <c r="F20" s="46" t="b">
        <f t="shared" si="2"/>
        <v>1</v>
      </c>
      <c r="G20" s="47">
        <f t="shared" si="9"/>
        <v>0</v>
      </c>
      <c r="H20" s="41">
        <f t="shared" si="10"/>
        <v>0.98087565674255695</v>
      </c>
      <c r="I20" s="48" t="b">
        <f t="shared" si="3"/>
        <v>0</v>
      </c>
      <c r="J20" s="47">
        <f t="shared" si="14"/>
        <v>306033.20490367775</v>
      </c>
      <c r="K20" s="47">
        <f t="shared" si="17"/>
        <v>-5966.7950963222538</v>
      </c>
      <c r="L20" s="47">
        <f t="shared" si="15"/>
        <v>0</v>
      </c>
      <c r="M20" s="47">
        <f t="shared" si="11"/>
        <v>0</v>
      </c>
      <c r="N20" s="47">
        <f t="shared" si="12"/>
        <v>0</v>
      </c>
      <c r="O20" s="47">
        <f t="shared" si="4"/>
        <v>306033.20490367775</v>
      </c>
      <c r="P20" s="49">
        <f t="shared" si="5"/>
        <v>19127.075306479859</v>
      </c>
      <c r="Q20" s="50">
        <f t="shared" si="6"/>
        <v>0</v>
      </c>
      <c r="R20" s="15"/>
      <c r="S20" s="15">
        <f t="shared" si="7"/>
        <v>0</v>
      </c>
      <c r="T20" s="16">
        <f t="shared" si="16"/>
        <v>5.5</v>
      </c>
      <c r="U20" s="17">
        <v>0</v>
      </c>
      <c r="V20" s="17">
        <v>24960</v>
      </c>
      <c r="W20" s="17">
        <v>280000</v>
      </c>
      <c r="X20" s="18">
        <v>0</v>
      </c>
      <c r="Y20" s="19">
        <v>306033</v>
      </c>
      <c r="Z20" s="24">
        <v>0</v>
      </c>
      <c r="AA20" s="24">
        <v>0</v>
      </c>
      <c r="AB20" s="19">
        <v>19127</v>
      </c>
      <c r="AC20" s="20">
        <v>0</v>
      </c>
      <c r="AE20" s="21"/>
      <c r="AF20" s="21"/>
      <c r="AG20" s="21"/>
      <c r="AH20" s="21"/>
      <c r="AI20" s="21"/>
      <c r="AK20" s="22"/>
      <c r="AL20" s="22"/>
      <c r="AM20" s="22"/>
      <c r="AN20" s="22"/>
      <c r="AO20" s="22"/>
      <c r="AP20" s="22"/>
    </row>
    <row r="21" spans="1:42" x14ac:dyDescent="0.25">
      <c r="A21" s="37">
        <f t="shared" si="13"/>
        <v>6</v>
      </c>
      <c r="B21" s="38">
        <f t="shared" si="8"/>
        <v>0</v>
      </c>
      <c r="C21" s="38">
        <f t="shared" si="0"/>
        <v>0</v>
      </c>
      <c r="D21" s="38">
        <f t="shared" si="0"/>
        <v>290000</v>
      </c>
      <c r="E21" s="39" t="b">
        <f t="shared" si="1"/>
        <v>1</v>
      </c>
      <c r="F21" s="39" t="b">
        <f t="shared" si="2"/>
        <v>1</v>
      </c>
      <c r="G21" s="40">
        <f t="shared" si="9"/>
        <v>290000</v>
      </c>
      <c r="H21" s="41">
        <f t="shared" si="10"/>
        <v>1</v>
      </c>
      <c r="I21" s="41" t="b">
        <f t="shared" si="3"/>
        <v>0</v>
      </c>
      <c r="J21" s="40">
        <f t="shared" si="14"/>
        <v>306033.20490367775</v>
      </c>
      <c r="K21" s="40">
        <f t="shared" si="17"/>
        <v>0</v>
      </c>
      <c r="L21" s="40">
        <f t="shared" si="15"/>
        <v>0</v>
      </c>
      <c r="M21" s="40">
        <f t="shared" si="11"/>
        <v>0</v>
      </c>
      <c r="N21" s="40">
        <f t="shared" si="12"/>
        <v>0</v>
      </c>
      <c r="O21" s="40">
        <f t="shared" si="4"/>
        <v>306033.20490367775</v>
      </c>
      <c r="P21" s="43">
        <f t="shared" si="5"/>
        <v>19127.075306479859</v>
      </c>
      <c r="Q21" s="44">
        <f t="shared" si="6"/>
        <v>0</v>
      </c>
      <c r="R21" s="15"/>
      <c r="S21" s="15">
        <f t="shared" si="7"/>
        <v>0</v>
      </c>
      <c r="T21" s="16">
        <f t="shared" si="16"/>
        <v>6</v>
      </c>
      <c r="U21" s="17">
        <v>0</v>
      </c>
      <c r="V21" s="17">
        <v>0</v>
      </c>
      <c r="W21" s="17">
        <v>290000</v>
      </c>
      <c r="X21" s="18">
        <v>290000</v>
      </c>
      <c r="Y21" s="19">
        <v>306033</v>
      </c>
      <c r="Z21" s="24">
        <v>0</v>
      </c>
      <c r="AA21" s="24">
        <v>0</v>
      </c>
      <c r="AB21" s="19">
        <v>19127</v>
      </c>
      <c r="AC21" s="20">
        <v>0</v>
      </c>
      <c r="AD21" s="21"/>
      <c r="AE21" s="21"/>
      <c r="AF21" s="21"/>
      <c r="AG21" s="21"/>
      <c r="AH21" s="21"/>
      <c r="AI21" s="21"/>
      <c r="AK21" s="22"/>
      <c r="AL21" s="22"/>
      <c r="AM21" s="22"/>
      <c r="AN21" s="22"/>
      <c r="AO21" s="22"/>
      <c r="AP21" s="22"/>
    </row>
    <row r="22" spans="1:42" x14ac:dyDescent="0.25">
      <c r="A22" s="45">
        <f t="shared" si="13"/>
        <v>6.5</v>
      </c>
      <c r="B22" s="38">
        <f t="shared" si="8"/>
        <v>0</v>
      </c>
      <c r="C22" s="38">
        <f t="shared" si="0"/>
        <v>24483</v>
      </c>
      <c r="D22" s="38">
        <f t="shared" si="0"/>
        <v>260000</v>
      </c>
      <c r="E22" s="46" t="b">
        <f t="shared" si="1"/>
        <v>0</v>
      </c>
      <c r="F22" s="46" t="b">
        <f t="shared" si="2"/>
        <v>1</v>
      </c>
      <c r="G22" s="47">
        <f t="shared" si="9"/>
        <v>0</v>
      </c>
      <c r="H22" s="41">
        <f t="shared" si="10"/>
        <v>0.98022716851608516</v>
      </c>
      <c r="I22" s="48" t="b">
        <f t="shared" si="3"/>
        <v>0</v>
      </c>
      <c r="J22" s="47">
        <f t="shared" si="14"/>
        <v>299982.06191463495</v>
      </c>
      <c r="K22" s="47">
        <f t="shared" si="17"/>
        <v>-6051.1429890427971</v>
      </c>
      <c r="L22" s="47">
        <f t="shared" si="15"/>
        <v>0</v>
      </c>
      <c r="M22" s="47">
        <f t="shared" si="11"/>
        <v>0</v>
      </c>
      <c r="N22" s="47">
        <f t="shared" si="12"/>
        <v>0</v>
      </c>
      <c r="O22" s="47">
        <f t="shared" si="4"/>
        <v>299982.06191463495</v>
      </c>
      <c r="P22" s="49">
        <f t="shared" si="5"/>
        <v>18748.878869664684</v>
      </c>
      <c r="Q22" s="50">
        <f t="shared" si="6"/>
        <v>0</v>
      </c>
      <c r="R22" s="15"/>
      <c r="S22" s="15">
        <f t="shared" si="7"/>
        <v>0</v>
      </c>
      <c r="T22" s="16">
        <f t="shared" si="16"/>
        <v>6.5</v>
      </c>
      <c r="U22" s="17">
        <v>0</v>
      </c>
      <c r="V22" s="17">
        <v>24483</v>
      </c>
      <c r="W22" s="17">
        <v>260000</v>
      </c>
      <c r="X22" s="18">
        <v>0</v>
      </c>
      <c r="Y22" s="19">
        <v>299982</v>
      </c>
      <c r="Z22" s="24">
        <v>0</v>
      </c>
      <c r="AA22" s="24">
        <v>0</v>
      </c>
      <c r="AB22" s="19">
        <v>18749</v>
      </c>
      <c r="AC22" s="20">
        <v>0</v>
      </c>
      <c r="AD22" s="21"/>
      <c r="AE22" s="21"/>
      <c r="AF22" s="21"/>
      <c r="AG22" s="21"/>
      <c r="AH22" s="21"/>
      <c r="AI22" s="21"/>
      <c r="AK22" s="22"/>
      <c r="AL22" s="22"/>
      <c r="AM22" s="22"/>
      <c r="AN22" s="22"/>
      <c r="AO22" s="22"/>
      <c r="AP22" s="22"/>
    </row>
    <row r="23" spans="1:42" x14ac:dyDescent="0.25">
      <c r="A23" s="37">
        <f t="shared" si="13"/>
        <v>7</v>
      </c>
      <c r="B23" s="38">
        <f t="shared" si="8"/>
        <v>0</v>
      </c>
      <c r="C23" s="38">
        <f t="shared" si="0"/>
        <v>0</v>
      </c>
      <c r="D23" s="38">
        <f t="shared" si="0"/>
        <v>230000</v>
      </c>
      <c r="E23" s="39" t="b">
        <f t="shared" si="1"/>
        <v>1</v>
      </c>
      <c r="F23" s="39" t="b">
        <f t="shared" si="2"/>
        <v>1</v>
      </c>
      <c r="G23" s="40">
        <f t="shared" si="9"/>
        <v>230000</v>
      </c>
      <c r="H23" s="41">
        <f t="shared" si="10"/>
        <v>1</v>
      </c>
      <c r="I23" s="41" t="b">
        <f t="shared" si="3"/>
        <v>0</v>
      </c>
      <c r="J23" s="40">
        <f t="shared" si="14"/>
        <v>299982.06191463495</v>
      </c>
      <c r="K23" s="40">
        <f t="shared" si="17"/>
        <v>0</v>
      </c>
      <c r="L23" s="40">
        <f t="shared" si="15"/>
        <v>0</v>
      </c>
      <c r="M23" s="40">
        <f t="shared" si="11"/>
        <v>0</v>
      </c>
      <c r="N23" s="40">
        <f t="shared" si="12"/>
        <v>0</v>
      </c>
      <c r="O23" s="40">
        <f t="shared" si="4"/>
        <v>299982.06191463495</v>
      </c>
      <c r="P23" s="43">
        <f t="shared" si="5"/>
        <v>18748.878869664684</v>
      </c>
      <c r="Q23" s="44">
        <f t="shared" si="6"/>
        <v>0</v>
      </c>
      <c r="R23" s="15"/>
      <c r="S23" s="15">
        <f t="shared" si="7"/>
        <v>0</v>
      </c>
      <c r="T23" s="16">
        <f t="shared" si="16"/>
        <v>7</v>
      </c>
      <c r="U23" s="17">
        <v>0</v>
      </c>
      <c r="V23" s="17">
        <v>0</v>
      </c>
      <c r="W23" s="17">
        <v>230000</v>
      </c>
      <c r="X23" s="18">
        <v>230000</v>
      </c>
      <c r="Y23" s="19">
        <v>299982</v>
      </c>
      <c r="Z23" s="24">
        <v>0</v>
      </c>
      <c r="AA23" s="24">
        <v>0</v>
      </c>
      <c r="AB23" s="19">
        <v>18749</v>
      </c>
      <c r="AC23" s="20">
        <v>0</v>
      </c>
      <c r="AD23" s="21"/>
      <c r="AE23" s="21"/>
      <c r="AF23" s="21"/>
      <c r="AG23" s="21"/>
      <c r="AH23" s="21"/>
      <c r="AI23" s="21"/>
      <c r="AK23" s="22"/>
      <c r="AL23" s="22"/>
      <c r="AM23" s="22"/>
      <c r="AN23" s="22"/>
      <c r="AO23" s="22"/>
      <c r="AP23" s="22"/>
    </row>
    <row r="24" spans="1:42" x14ac:dyDescent="0.25">
      <c r="A24" s="45">
        <f t="shared" si="13"/>
        <v>7.5</v>
      </c>
      <c r="B24" s="38">
        <f t="shared" si="8"/>
        <v>0</v>
      </c>
      <c r="C24" s="38">
        <f t="shared" si="0"/>
        <v>0</v>
      </c>
      <c r="D24" s="38">
        <f t="shared" si="0"/>
        <v>230000</v>
      </c>
      <c r="E24" s="46" t="b">
        <f t="shared" si="1"/>
        <v>0</v>
      </c>
      <c r="F24" s="46" t="b">
        <f t="shared" si="2"/>
        <v>1</v>
      </c>
      <c r="G24" s="47">
        <f t="shared" si="9"/>
        <v>0</v>
      </c>
      <c r="H24" s="41">
        <f t="shared" si="10"/>
        <v>1</v>
      </c>
      <c r="I24" s="48" t="b">
        <f t="shared" si="3"/>
        <v>0</v>
      </c>
      <c r="J24" s="47">
        <f t="shared" si="14"/>
        <v>299982.06191463495</v>
      </c>
      <c r="K24" s="47">
        <f t="shared" si="17"/>
        <v>0</v>
      </c>
      <c r="L24" s="47">
        <f t="shared" si="15"/>
        <v>0</v>
      </c>
      <c r="M24" s="47">
        <f t="shared" si="11"/>
        <v>0</v>
      </c>
      <c r="N24" s="47">
        <f t="shared" si="12"/>
        <v>0</v>
      </c>
      <c r="O24" s="47">
        <f t="shared" si="4"/>
        <v>299982.06191463495</v>
      </c>
      <c r="P24" s="49">
        <f t="shared" si="5"/>
        <v>18748.878869664684</v>
      </c>
      <c r="Q24" s="50">
        <f t="shared" si="6"/>
        <v>0</v>
      </c>
      <c r="R24" s="15"/>
      <c r="S24" s="15">
        <f t="shared" si="7"/>
        <v>0</v>
      </c>
      <c r="T24" s="16">
        <f t="shared" si="16"/>
        <v>7.5</v>
      </c>
      <c r="U24" s="17">
        <v>0</v>
      </c>
      <c r="V24" s="17">
        <v>0</v>
      </c>
      <c r="W24" s="17">
        <v>230000</v>
      </c>
      <c r="X24" s="23">
        <v>0</v>
      </c>
      <c r="Y24" s="19">
        <v>299982</v>
      </c>
      <c r="Z24" s="24">
        <v>0</v>
      </c>
      <c r="AA24" s="24">
        <v>0</v>
      </c>
      <c r="AB24" s="19">
        <v>18749</v>
      </c>
      <c r="AC24" s="20">
        <v>0</v>
      </c>
      <c r="AD24" s="21"/>
      <c r="AE24" s="21"/>
      <c r="AF24" s="21"/>
      <c r="AG24" s="21"/>
      <c r="AH24" s="21"/>
      <c r="AI24" s="21"/>
      <c r="AK24" s="22"/>
      <c r="AL24" s="22"/>
      <c r="AM24" s="22"/>
      <c r="AN24" s="22"/>
      <c r="AO24" s="22"/>
      <c r="AP24" s="22"/>
    </row>
    <row r="25" spans="1:42" x14ac:dyDescent="0.25">
      <c r="A25" s="37">
        <f t="shared" si="13"/>
        <v>8</v>
      </c>
      <c r="B25" s="38">
        <f t="shared" si="8"/>
        <v>0</v>
      </c>
      <c r="C25" s="38">
        <f t="shared" si="0"/>
        <v>0</v>
      </c>
      <c r="D25" s="38">
        <f t="shared" si="0"/>
        <v>150000</v>
      </c>
      <c r="E25" s="39" t="b">
        <f t="shared" si="1"/>
        <v>1</v>
      </c>
      <c r="F25" s="39" t="b">
        <f t="shared" si="2"/>
        <v>1</v>
      </c>
      <c r="G25" s="40">
        <f t="shared" si="9"/>
        <v>150000</v>
      </c>
      <c r="H25" s="41">
        <f t="shared" si="10"/>
        <v>1</v>
      </c>
      <c r="I25" s="41" t="b">
        <f t="shared" si="3"/>
        <v>0</v>
      </c>
      <c r="J25" s="40">
        <f t="shared" si="14"/>
        <v>299982.06191463495</v>
      </c>
      <c r="K25" s="40">
        <f t="shared" si="17"/>
        <v>0</v>
      </c>
      <c r="L25" s="40">
        <f t="shared" si="15"/>
        <v>0</v>
      </c>
      <c r="M25" s="40">
        <f t="shared" si="11"/>
        <v>0</v>
      </c>
      <c r="N25" s="40">
        <f t="shared" si="12"/>
        <v>0</v>
      </c>
      <c r="O25" s="40">
        <f t="shared" si="4"/>
        <v>299982.06191463495</v>
      </c>
      <c r="P25" s="43">
        <f t="shared" si="5"/>
        <v>18748.878869664684</v>
      </c>
      <c r="Q25" s="44">
        <f t="shared" si="6"/>
        <v>0</v>
      </c>
      <c r="R25" s="15"/>
      <c r="S25" s="15">
        <f t="shared" si="7"/>
        <v>0</v>
      </c>
      <c r="T25" s="16">
        <f t="shared" si="16"/>
        <v>8</v>
      </c>
      <c r="U25" s="17">
        <v>0</v>
      </c>
      <c r="V25" s="17">
        <v>0</v>
      </c>
      <c r="W25" s="17">
        <v>150000</v>
      </c>
      <c r="X25" s="18">
        <v>150000</v>
      </c>
      <c r="Y25" s="19">
        <v>299982</v>
      </c>
      <c r="Z25" s="24">
        <v>0</v>
      </c>
      <c r="AA25" s="24">
        <v>0</v>
      </c>
      <c r="AB25" s="19">
        <v>18749</v>
      </c>
      <c r="AC25" s="20">
        <v>0</v>
      </c>
      <c r="AD25" s="21"/>
      <c r="AE25" s="21"/>
      <c r="AF25" s="21"/>
      <c r="AG25" s="21"/>
      <c r="AH25" s="21"/>
      <c r="AI25" s="21"/>
      <c r="AK25" s="22"/>
      <c r="AL25" s="22"/>
      <c r="AM25" s="22"/>
      <c r="AN25" s="22"/>
      <c r="AO25" s="22"/>
      <c r="AP25" s="22"/>
    </row>
    <row r="26" spans="1:42" x14ac:dyDescent="0.25">
      <c r="A26" s="45">
        <f t="shared" si="13"/>
        <v>8.5</v>
      </c>
      <c r="B26" s="38">
        <f t="shared" si="8"/>
        <v>0</v>
      </c>
      <c r="C26" s="38">
        <f t="shared" si="0"/>
        <v>0</v>
      </c>
      <c r="D26" s="38">
        <f t="shared" si="0"/>
        <v>150000</v>
      </c>
      <c r="E26" s="46" t="b">
        <f t="shared" si="1"/>
        <v>0</v>
      </c>
      <c r="F26" s="46" t="b">
        <f t="shared" si="2"/>
        <v>1</v>
      </c>
      <c r="G26" s="47">
        <f t="shared" si="9"/>
        <v>0</v>
      </c>
      <c r="H26" s="41">
        <f t="shared" si="10"/>
        <v>1</v>
      </c>
      <c r="I26" s="48" t="b">
        <f t="shared" si="3"/>
        <v>0</v>
      </c>
      <c r="J26" s="47">
        <f t="shared" si="14"/>
        <v>299982.06191463495</v>
      </c>
      <c r="K26" s="47">
        <f t="shared" si="17"/>
        <v>0</v>
      </c>
      <c r="L26" s="47">
        <f t="shared" si="15"/>
        <v>0</v>
      </c>
      <c r="M26" s="47">
        <f t="shared" si="11"/>
        <v>0</v>
      </c>
      <c r="N26" s="47">
        <f t="shared" si="12"/>
        <v>0</v>
      </c>
      <c r="O26" s="47">
        <f t="shared" si="4"/>
        <v>299982.06191463495</v>
      </c>
      <c r="P26" s="49">
        <f t="shared" si="5"/>
        <v>18748.878869664684</v>
      </c>
      <c r="Q26" s="50">
        <f t="shared" si="6"/>
        <v>0</v>
      </c>
      <c r="R26" s="15"/>
      <c r="S26" s="15">
        <f t="shared" si="7"/>
        <v>0</v>
      </c>
      <c r="T26" s="16">
        <f t="shared" si="16"/>
        <v>8.5</v>
      </c>
      <c r="U26" s="17">
        <v>0</v>
      </c>
      <c r="V26" s="17">
        <v>0</v>
      </c>
      <c r="W26" s="17">
        <v>150000</v>
      </c>
      <c r="X26" s="23">
        <v>0</v>
      </c>
      <c r="Y26" s="19">
        <v>299982</v>
      </c>
      <c r="Z26" s="24">
        <v>0</v>
      </c>
      <c r="AA26" s="24">
        <v>0</v>
      </c>
      <c r="AB26" s="19">
        <v>18749</v>
      </c>
      <c r="AC26" s="20">
        <v>0</v>
      </c>
      <c r="AD26" s="21"/>
      <c r="AE26" s="21"/>
      <c r="AF26" s="21"/>
      <c r="AG26" s="21"/>
      <c r="AH26" s="21"/>
      <c r="AI26" s="21"/>
      <c r="AK26" s="22"/>
      <c r="AL26" s="22"/>
      <c r="AM26" s="22"/>
      <c r="AN26" s="22"/>
      <c r="AO26" s="22"/>
      <c r="AP26" s="22"/>
    </row>
    <row r="27" spans="1:42" x14ac:dyDescent="0.25">
      <c r="A27" s="37">
        <f t="shared" si="13"/>
        <v>9</v>
      </c>
      <c r="B27" s="38">
        <f t="shared" si="8"/>
        <v>0</v>
      </c>
      <c r="C27" s="38">
        <f t="shared" si="0"/>
        <v>0</v>
      </c>
      <c r="D27" s="38">
        <f t="shared" si="0"/>
        <v>100000</v>
      </c>
      <c r="E27" s="39" t="b">
        <f t="shared" si="1"/>
        <v>1</v>
      </c>
      <c r="F27" s="39" t="b">
        <f t="shared" si="2"/>
        <v>1</v>
      </c>
      <c r="G27" s="40">
        <f t="shared" si="9"/>
        <v>100000</v>
      </c>
      <c r="H27" s="41">
        <f t="shared" si="10"/>
        <v>1</v>
      </c>
      <c r="I27" s="41" t="b">
        <f t="shared" si="3"/>
        <v>0</v>
      </c>
      <c r="J27" s="40">
        <f t="shared" si="14"/>
        <v>299982.06191463495</v>
      </c>
      <c r="K27" s="40">
        <f t="shared" si="17"/>
        <v>0</v>
      </c>
      <c r="L27" s="40">
        <f t="shared" si="15"/>
        <v>0</v>
      </c>
      <c r="M27" s="40">
        <f t="shared" si="11"/>
        <v>0</v>
      </c>
      <c r="N27" s="40">
        <f t="shared" si="12"/>
        <v>0</v>
      </c>
      <c r="O27" s="40">
        <f t="shared" si="4"/>
        <v>299982.06191463495</v>
      </c>
      <c r="P27" s="43">
        <f t="shared" si="5"/>
        <v>18748.878869664684</v>
      </c>
      <c r="Q27" s="44">
        <f t="shared" si="6"/>
        <v>0</v>
      </c>
      <c r="R27" s="15"/>
      <c r="S27" s="15">
        <f t="shared" si="7"/>
        <v>0</v>
      </c>
      <c r="T27" s="16">
        <f t="shared" si="16"/>
        <v>9</v>
      </c>
      <c r="U27" s="17">
        <v>0</v>
      </c>
      <c r="V27" s="17">
        <v>0</v>
      </c>
      <c r="W27" s="17">
        <v>100000</v>
      </c>
      <c r="X27" s="18">
        <v>100000</v>
      </c>
      <c r="Y27" s="19">
        <v>299982</v>
      </c>
      <c r="Z27" s="24">
        <v>0</v>
      </c>
      <c r="AA27" s="24">
        <v>0</v>
      </c>
      <c r="AB27" s="19">
        <v>18749</v>
      </c>
      <c r="AC27" s="20">
        <v>0</v>
      </c>
      <c r="AD27" s="21"/>
      <c r="AE27" s="21"/>
      <c r="AF27" s="21"/>
      <c r="AG27" s="21"/>
      <c r="AH27" s="21"/>
      <c r="AI27" s="21"/>
      <c r="AK27" s="22"/>
      <c r="AL27" s="22"/>
      <c r="AM27" s="22"/>
      <c r="AN27" s="22"/>
      <c r="AO27" s="22"/>
      <c r="AP27" s="22"/>
    </row>
    <row r="28" spans="1:42" x14ac:dyDescent="0.25">
      <c r="A28" s="45">
        <f t="shared" si="13"/>
        <v>9.5</v>
      </c>
      <c r="B28" s="38">
        <f t="shared" si="8"/>
        <v>0</v>
      </c>
      <c r="C28" s="38">
        <f t="shared" si="0"/>
        <v>0</v>
      </c>
      <c r="D28" s="38">
        <f t="shared" si="0"/>
        <v>100000</v>
      </c>
      <c r="E28" s="46" t="b">
        <f t="shared" si="1"/>
        <v>0</v>
      </c>
      <c r="F28" s="46" t="b">
        <f t="shared" si="2"/>
        <v>1</v>
      </c>
      <c r="G28" s="47">
        <f t="shared" si="9"/>
        <v>0</v>
      </c>
      <c r="H28" s="41">
        <f t="shared" si="10"/>
        <v>1</v>
      </c>
      <c r="I28" s="48" t="b">
        <f t="shared" si="3"/>
        <v>0</v>
      </c>
      <c r="J28" s="47">
        <f t="shared" si="14"/>
        <v>299982.06191463495</v>
      </c>
      <c r="K28" s="47">
        <f t="shared" si="17"/>
        <v>0</v>
      </c>
      <c r="L28" s="47">
        <f t="shared" si="15"/>
        <v>0</v>
      </c>
      <c r="M28" s="47">
        <f t="shared" si="11"/>
        <v>0</v>
      </c>
      <c r="N28" s="47">
        <f t="shared" si="12"/>
        <v>0</v>
      </c>
      <c r="O28" s="47">
        <f t="shared" si="4"/>
        <v>299982.06191463495</v>
      </c>
      <c r="P28" s="49">
        <f t="shared" si="5"/>
        <v>18748.878869664684</v>
      </c>
      <c r="Q28" s="50">
        <f t="shared" si="6"/>
        <v>0</v>
      </c>
      <c r="R28" s="15"/>
      <c r="S28" s="15">
        <f t="shared" si="7"/>
        <v>0</v>
      </c>
      <c r="T28" s="16">
        <f t="shared" si="16"/>
        <v>9.5</v>
      </c>
      <c r="U28" s="17">
        <v>0</v>
      </c>
      <c r="V28" s="17">
        <v>0</v>
      </c>
      <c r="W28" s="17">
        <v>100000</v>
      </c>
      <c r="X28" s="23">
        <v>0</v>
      </c>
      <c r="Y28" s="19">
        <v>299982</v>
      </c>
      <c r="Z28" s="24">
        <v>0</v>
      </c>
      <c r="AA28" s="24">
        <v>0</v>
      </c>
      <c r="AB28" s="19">
        <v>18749</v>
      </c>
      <c r="AC28" s="20">
        <v>0</v>
      </c>
      <c r="AD28" s="21"/>
      <c r="AE28" s="21"/>
      <c r="AF28" s="21"/>
      <c r="AG28" s="21"/>
      <c r="AH28" s="21"/>
      <c r="AI28" s="21"/>
      <c r="AK28" s="22"/>
      <c r="AL28" s="22"/>
      <c r="AM28" s="22"/>
      <c r="AN28" s="22"/>
      <c r="AO28" s="22"/>
      <c r="AP28" s="22"/>
    </row>
    <row r="29" spans="1:42" x14ac:dyDescent="0.25">
      <c r="A29" s="37">
        <f t="shared" si="13"/>
        <v>10</v>
      </c>
      <c r="B29" s="38">
        <f t="shared" si="8"/>
        <v>0</v>
      </c>
      <c r="C29" s="38">
        <f t="shared" si="0"/>
        <v>0</v>
      </c>
      <c r="D29" s="38">
        <f t="shared" si="0"/>
        <v>50000</v>
      </c>
      <c r="E29" s="39" t="b">
        <f t="shared" si="1"/>
        <v>1</v>
      </c>
      <c r="F29" s="39" t="b">
        <f t="shared" si="2"/>
        <v>1</v>
      </c>
      <c r="G29" s="40">
        <f t="shared" si="9"/>
        <v>50000</v>
      </c>
      <c r="H29" s="41">
        <f t="shared" si="10"/>
        <v>1</v>
      </c>
      <c r="I29" s="41" t="b">
        <f t="shared" si="3"/>
        <v>0</v>
      </c>
      <c r="J29" s="40">
        <f t="shared" si="14"/>
        <v>299982.06191463495</v>
      </c>
      <c r="K29" s="40">
        <f t="shared" si="17"/>
        <v>0</v>
      </c>
      <c r="L29" s="40">
        <f t="shared" si="15"/>
        <v>0</v>
      </c>
      <c r="M29" s="40">
        <f t="shared" si="11"/>
        <v>0</v>
      </c>
      <c r="N29" s="40">
        <f t="shared" si="12"/>
        <v>0</v>
      </c>
      <c r="O29" s="40">
        <f t="shared" si="4"/>
        <v>299982.06191463495</v>
      </c>
      <c r="P29" s="43">
        <f t="shared" si="5"/>
        <v>18748.878869664684</v>
      </c>
      <c r="Q29" s="44">
        <f t="shared" si="6"/>
        <v>0</v>
      </c>
      <c r="R29" s="15"/>
      <c r="S29" s="15">
        <f t="shared" si="7"/>
        <v>0</v>
      </c>
      <c r="T29" s="16">
        <f t="shared" si="16"/>
        <v>10</v>
      </c>
      <c r="U29" s="17">
        <v>0</v>
      </c>
      <c r="V29" s="17">
        <v>0</v>
      </c>
      <c r="W29" s="17">
        <v>50000</v>
      </c>
      <c r="X29" s="18">
        <v>50000</v>
      </c>
      <c r="Y29" s="19">
        <v>299982</v>
      </c>
      <c r="Z29" s="24">
        <v>0</v>
      </c>
      <c r="AA29" s="24">
        <v>0</v>
      </c>
      <c r="AB29" s="19">
        <v>18749</v>
      </c>
      <c r="AC29" s="20">
        <v>0</v>
      </c>
      <c r="AD29" s="21"/>
      <c r="AE29" s="21"/>
      <c r="AF29" s="21"/>
      <c r="AG29" s="21"/>
      <c r="AH29" s="21"/>
      <c r="AI29" s="21"/>
      <c r="AK29" s="22"/>
      <c r="AL29" s="22"/>
      <c r="AM29" s="22"/>
      <c r="AN29" s="22"/>
      <c r="AO29" s="22"/>
      <c r="AP29" s="22"/>
    </row>
    <row r="30" spans="1:42" x14ac:dyDescent="0.25">
      <c r="A30" s="45">
        <f t="shared" si="13"/>
        <v>10.5</v>
      </c>
      <c r="B30" s="38">
        <f t="shared" si="8"/>
        <v>0</v>
      </c>
      <c r="C30" s="38">
        <f t="shared" si="0"/>
        <v>0</v>
      </c>
      <c r="D30" s="38">
        <f t="shared" si="0"/>
        <v>50000</v>
      </c>
      <c r="E30" s="46" t="b">
        <f t="shared" si="1"/>
        <v>0</v>
      </c>
      <c r="F30" s="46" t="b">
        <f t="shared" si="2"/>
        <v>1</v>
      </c>
      <c r="G30" s="47">
        <f t="shared" si="9"/>
        <v>0</v>
      </c>
      <c r="H30" s="41">
        <f t="shared" si="10"/>
        <v>1</v>
      </c>
      <c r="I30" s="48" t="b">
        <f t="shared" si="3"/>
        <v>0</v>
      </c>
      <c r="J30" s="47">
        <f t="shared" si="14"/>
        <v>299982.06191463495</v>
      </c>
      <c r="K30" s="47">
        <f t="shared" si="17"/>
        <v>0</v>
      </c>
      <c r="L30" s="47">
        <f t="shared" si="15"/>
        <v>0</v>
      </c>
      <c r="M30" s="47">
        <f t="shared" si="11"/>
        <v>0</v>
      </c>
      <c r="N30" s="47">
        <f t="shared" si="12"/>
        <v>0</v>
      </c>
      <c r="O30" s="47">
        <f t="shared" si="4"/>
        <v>299982.06191463495</v>
      </c>
      <c r="P30" s="49">
        <f t="shared" si="5"/>
        <v>18748.878869664684</v>
      </c>
      <c r="Q30" s="50">
        <f t="shared" si="6"/>
        <v>0</v>
      </c>
      <c r="R30" s="15"/>
      <c r="S30" s="15">
        <f t="shared" si="7"/>
        <v>0</v>
      </c>
      <c r="T30" s="16">
        <f t="shared" si="16"/>
        <v>10.5</v>
      </c>
      <c r="U30" s="17">
        <v>0</v>
      </c>
      <c r="V30" s="17">
        <v>0</v>
      </c>
      <c r="W30" s="17">
        <v>50000</v>
      </c>
      <c r="X30" s="23">
        <v>0</v>
      </c>
      <c r="Y30" s="19">
        <v>299982</v>
      </c>
      <c r="Z30" s="24">
        <v>0</v>
      </c>
      <c r="AA30" s="24">
        <v>0</v>
      </c>
      <c r="AB30" s="19">
        <v>18749</v>
      </c>
      <c r="AC30" s="20">
        <v>0</v>
      </c>
      <c r="AD30" s="21"/>
      <c r="AE30" s="21"/>
      <c r="AF30" s="21"/>
      <c r="AG30" s="21"/>
      <c r="AH30" s="21"/>
      <c r="AI30" s="21"/>
      <c r="AK30" s="22"/>
      <c r="AL30" s="22"/>
      <c r="AM30" s="22"/>
      <c r="AN30" s="22"/>
      <c r="AO30" s="22"/>
      <c r="AP30" s="22"/>
    </row>
    <row r="31" spans="1:42" ht="15.75" thickBot="1" x14ac:dyDescent="0.3">
      <c r="A31" s="51">
        <f t="shared" si="13"/>
        <v>11</v>
      </c>
      <c r="B31" s="52">
        <f t="shared" si="8"/>
        <v>0</v>
      </c>
      <c r="C31" s="52">
        <f t="shared" si="0"/>
        <v>0</v>
      </c>
      <c r="D31" s="52">
        <f t="shared" si="0"/>
        <v>0</v>
      </c>
      <c r="E31" s="53" t="b">
        <f t="shared" si="1"/>
        <v>1</v>
      </c>
      <c r="F31" s="53" t="b">
        <f t="shared" si="2"/>
        <v>1</v>
      </c>
      <c r="G31" s="54">
        <f t="shared" si="9"/>
        <v>0</v>
      </c>
      <c r="H31" s="41">
        <f t="shared" si="10"/>
        <v>1</v>
      </c>
      <c r="I31" s="55" t="b">
        <f t="shared" si="3"/>
        <v>0</v>
      </c>
      <c r="J31" s="54">
        <f t="shared" si="14"/>
        <v>299982.06191463495</v>
      </c>
      <c r="K31" s="54">
        <f t="shared" si="17"/>
        <v>0</v>
      </c>
      <c r="L31" s="54">
        <f t="shared" si="15"/>
        <v>0</v>
      </c>
      <c r="M31" s="54">
        <f t="shared" si="11"/>
        <v>0</v>
      </c>
      <c r="N31" s="54">
        <f t="shared" si="12"/>
        <v>0</v>
      </c>
      <c r="O31" s="54">
        <f t="shared" si="4"/>
        <v>299982.06191463495</v>
      </c>
      <c r="P31" s="56">
        <f t="shared" si="5"/>
        <v>0</v>
      </c>
      <c r="Q31" s="57">
        <f t="shared" si="6"/>
        <v>11999.282476585398</v>
      </c>
      <c r="R31" s="15"/>
      <c r="S31" s="15">
        <f t="shared" si="7"/>
        <v>0</v>
      </c>
      <c r="T31" s="26">
        <f t="shared" si="16"/>
        <v>11</v>
      </c>
      <c r="U31" s="27">
        <v>0</v>
      </c>
      <c r="V31" s="27">
        <v>0</v>
      </c>
      <c r="W31" s="17">
        <v>0</v>
      </c>
      <c r="X31" s="28">
        <v>0</v>
      </c>
      <c r="Y31" s="29">
        <v>299982</v>
      </c>
      <c r="Z31" s="30">
        <v>0</v>
      </c>
      <c r="AA31" s="30">
        <v>0</v>
      </c>
      <c r="AB31" s="29">
        <v>0</v>
      </c>
      <c r="AC31" s="31">
        <v>11999</v>
      </c>
      <c r="AD31" s="21"/>
      <c r="AE31" s="21"/>
      <c r="AF31" s="21"/>
      <c r="AG31" s="21"/>
      <c r="AH31" s="21"/>
      <c r="AI31" s="21"/>
      <c r="AK31" s="22"/>
      <c r="AL31" s="22"/>
      <c r="AM31" s="22"/>
      <c r="AN31" s="22"/>
      <c r="AO31" s="22"/>
      <c r="AP31" s="22"/>
    </row>
  </sheetData>
  <conditionalFormatting sqref="H9:H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2" priority="2" operator="not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58FF-1B3A-4D37-8CD7-576861A8D4FB}">
  <sheetPr>
    <tabColor theme="5" tint="0.59999389629810485"/>
  </sheetPr>
  <dimension ref="A1:AC31"/>
  <sheetViews>
    <sheetView workbookViewId="0">
      <pane xSplit="1" ySplit="8" topLeftCell="F9" activePane="bottomRight" state="frozen"/>
      <selection pane="topRight" activeCell="B1" sqref="B1"/>
      <selection pane="bottomLeft" activeCell="A8" sqref="A8"/>
      <selection pane="bottomRight" activeCell="N9" sqref="N9"/>
    </sheetView>
  </sheetViews>
  <sheetFormatPr defaultColWidth="18.42578125" defaultRowHeight="15" x14ac:dyDescent="0.25"/>
  <cols>
    <col min="2" max="2" width="20.28515625" customWidth="1"/>
    <col min="3" max="3" width="19.28515625" customWidth="1"/>
    <col min="4" max="4" width="25.140625" customWidth="1"/>
    <col min="7" max="7" width="19.28515625" customWidth="1"/>
    <col min="8" max="8" width="20.7109375" customWidth="1"/>
    <col min="9" max="9" width="19.140625" customWidth="1"/>
    <col min="11" max="11" width="23.5703125" customWidth="1"/>
    <col min="12" max="12" width="20.140625" customWidth="1"/>
    <col min="14" max="14" width="25.140625" customWidth="1"/>
    <col min="15" max="15" width="12.5703125" customWidth="1"/>
    <col min="16" max="16" width="27" customWidth="1"/>
    <col min="17" max="17" width="17" customWidth="1"/>
    <col min="21" max="21" width="20.28515625" customWidth="1"/>
    <col min="22" max="22" width="20.140625" customWidth="1"/>
    <col min="23" max="23" width="25.140625" customWidth="1"/>
    <col min="24" max="24" width="20.140625" customWidth="1"/>
    <col min="26" max="26" width="21" customWidth="1"/>
    <col min="28" max="28" width="51.7109375" customWidth="1"/>
    <col min="29" max="29" width="27.140625" customWidth="1"/>
  </cols>
  <sheetData>
    <row r="1" spans="1:29" x14ac:dyDescent="0.25">
      <c r="A1" t="s">
        <v>29</v>
      </c>
      <c r="B1">
        <f>COUNT(T9:T31)</f>
        <v>23</v>
      </c>
    </row>
    <row r="8" spans="1:29" ht="50.25" customHeight="1" x14ac:dyDescent="0.25">
      <c r="A8" s="58" t="s">
        <v>11</v>
      </c>
      <c r="B8" s="59" t="s">
        <v>12</v>
      </c>
      <c r="C8" s="59" t="s">
        <v>26</v>
      </c>
      <c r="D8" s="59" t="s">
        <v>7</v>
      </c>
      <c r="E8" s="58" t="s">
        <v>13</v>
      </c>
      <c r="F8" s="58" t="s">
        <v>14</v>
      </c>
      <c r="G8" s="59" t="s">
        <v>27</v>
      </c>
      <c r="H8" s="59" t="s">
        <v>28</v>
      </c>
      <c r="I8" s="59" t="s">
        <v>16</v>
      </c>
      <c r="J8" s="59" t="s">
        <v>17</v>
      </c>
      <c r="K8" s="59" t="s">
        <v>20</v>
      </c>
      <c r="L8" s="59" t="s">
        <v>18</v>
      </c>
      <c r="M8" s="59" t="s">
        <v>1</v>
      </c>
      <c r="N8" s="59" t="s">
        <v>21</v>
      </c>
      <c r="O8" s="59" t="s">
        <v>0</v>
      </c>
      <c r="P8" s="59" t="s">
        <v>3</v>
      </c>
      <c r="Q8" s="60" t="s">
        <v>10</v>
      </c>
      <c r="S8" s="10" t="s">
        <v>19</v>
      </c>
      <c r="T8" s="73" t="s">
        <v>11</v>
      </c>
      <c r="U8" s="74" t="s">
        <v>12</v>
      </c>
      <c r="V8" s="74" t="s">
        <v>26</v>
      </c>
      <c r="W8" s="74" t="s">
        <v>30</v>
      </c>
      <c r="X8" s="74" t="s">
        <v>8</v>
      </c>
      <c r="Y8" s="74" t="s">
        <v>9</v>
      </c>
      <c r="Z8" s="74" t="s">
        <v>4</v>
      </c>
      <c r="AA8" s="74" t="s">
        <v>5</v>
      </c>
      <c r="AB8" s="74" t="s">
        <v>3</v>
      </c>
      <c r="AC8" s="75" t="s">
        <v>10</v>
      </c>
    </row>
    <row r="9" spans="1:29" x14ac:dyDescent="0.25">
      <c r="A9" s="61" cm="1">
        <f t="array" ref="A9:A31">_xlfn.SEQUENCE(Periods,,0,1/2)</f>
        <v>0</v>
      </c>
      <c r="B9" s="38" cm="1">
        <f t="array" ref="B9:B31">Answers[Purchase Payments]</f>
        <v>100000</v>
      </c>
      <c r="C9" s="38" cm="1">
        <f t="array" ref="C9:C31">Answers[Withdrawal Taken]</f>
        <v>0</v>
      </c>
      <c r="D9" s="38" cm="1">
        <f t="array" ref="D9:D31">Answers[Assumed Contract Value]</f>
        <v>100000</v>
      </c>
      <c r="E9" s="62" t="b" cm="1">
        <f t="array" ref="E9:E31">_xlfn.LET(_xlpm.payPeriod,_xlfn.ANCHORARRAY(A9), INT(_xlpm.payPeriod)-_xlpm.payPeriod=0)</f>
        <v>1</v>
      </c>
      <c r="F9" s="62" t="b" cm="1">
        <f t="array" ref="F9:F31">_xlfn.LET(_xlpm.payPeriod,_xlfn.ANCHORARRAY($A9),_xlpm.payPeriod&gt;=ActivationPeriod)</f>
        <v>0</v>
      </c>
      <c r="G9" s="63" cm="1">
        <f t="array" ref="G9:G31">_xlfn.MAP(_xlfn.ANCHORARRAY(E9),_xlfn.ANCHORARRAY(A9),_xlfn.ANCHORARRAY(D9),_xlfn.LAMBDA(_xlpm.isAnniversary,_xlpm.payPeriod,_xlpm.cv,IF(OR(NOT(_xlpm.isAnniversary),_xlpm.payPeriod=0),0,_xlpm.cv)))</f>
        <v>0</v>
      </c>
      <c r="H9" s="64" cm="1">
        <f t="array" aca="1" ref="H9" ca="1">_xlfn.MAP(OFFSET($D9,-1,0),OFFSET($P9,-1,0),$C9,$D9,$F9,$P9,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9" s="64" t="b" cm="1">
        <f t="array" aca="1" ref="I9" ca="1">_xlfn.MAP($N9,_xlfn.LAMBDA(_xlpm.hasIncomeCredit,_xlpm.hasIncomeCredit&gt;0))</f>
        <v>0</v>
      </c>
      <c r="J9" s="63" cm="1">
        <f t="array" aca="1" ref="J9" ca="1">_xlfn.MAP(OFFSET($O9,-1,0),$E9,$G9,$B9,$H9,$O9,_xlfn.LAMBDA(_xlpm.prevIB,_xlpm.isAnniversary,_xlpm.anniversaryCv,_xlpm.purchasePayments,_xlpm.wdPenaltyMult,_xlpm.incomeBase,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100000</v>
      </c>
      <c r="K9" s="63" cm="1">
        <f t="array" aca="1" ref="K9" ca="1">_xlfn.MAP($A9,$J9,_xlfn.LAMBDA(_xlpm.payPeriod,_xlpm.incomeBaseRaw, _xlpm.incomeBaseRaw-OFFSET(_xlpm.incomeBaseRaw,-1*IF(_xlpm.payPeriod&gt;0,1,0),0)))</f>
        <v>0</v>
      </c>
      <c r="L9" s="63" cm="1">
        <f t="array" aca="1" ref="L9" ca="1">_xlfn.MAP(OFFSET($L9,-1,0),$B9,$E9,$G9,$H9,$F9,$I9,$L9,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100000</v>
      </c>
      <c r="M9" s="63" cm="1">
        <f t="array" aca="1" ref="M9" ca="1">_xlfn.MAP(OFFSET($L9,-1,0),$A9,$L9,$F9,$E9,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9" s="63" cm="1">
        <f t="array" aca="1" ref="N9" ca="1">_xlfn.MAP($E9,$F9,$K9,$M9,_xlfn.LAMBDA(_xlpm.isAnniversary,_xlpm.isActivated,_xlpm.incomeBaseDelta,_xlpm.incomeCredit,IF(AND(_xlpm.isAnniversary,NOT(_xlpm.isActivated)),MAX(0,_xlpm.incomeCredit-_xlpm.incomeBaseDelta),0)))</f>
        <v>0</v>
      </c>
      <c r="O9" s="63" cm="1">
        <f t="array" aca="1" ref="O9" ca="1">_xlfn.MAP($J9,$N9,_xlfn.LAMBDA(_xlpm.IncomeBaseRaw,_xlpm.IncomeBaseAdjustment,_xlpm.IncomeBaseRaw+_xlpm.IncomeBaseAdjustment))</f>
        <v>100000</v>
      </c>
      <c r="P9" s="65" cm="1">
        <f t="array" aca="1" ref="P9" ca="1">_xlfn.MAP($D9,$O9,_xlfn.LAMBDA(_xlpm.cv,_xlpm.incomeBase,IF(_xlpm.cv&gt;0,_xlpm.incomeBase*MawRate,0)))</f>
        <v>6250</v>
      </c>
      <c r="Q9" s="66" cm="1">
        <f t="array" ref="Q9">_xlfn.MAP($D9,$O9,_xlfn.LAMBDA(_xlpm.cv,_xlpm.incomeBase,IF(_xlpm.cv=0,pipRate*_xlpm.incomeBase,0)))</f>
        <v>0</v>
      </c>
      <c r="S9" s="15">
        <f t="shared" ref="S9:S31" ca="1" si="0">TRUNC(SUM(G9,O9,L9,M9,P9,Q9)-SUM(X9:AC9),0)</f>
        <v>0</v>
      </c>
      <c r="T9" s="76">
        <v>0</v>
      </c>
      <c r="U9" s="77">
        <v>100000</v>
      </c>
      <c r="V9" s="77">
        <v>0</v>
      </c>
      <c r="W9" s="77">
        <v>100000</v>
      </c>
      <c r="X9" s="78">
        <v>0</v>
      </c>
      <c r="Y9" s="77">
        <v>100000</v>
      </c>
      <c r="Z9" s="77">
        <v>100000</v>
      </c>
      <c r="AA9" s="77">
        <v>0</v>
      </c>
      <c r="AB9" s="77">
        <v>6250</v>
      </c>
      <c r="AC9" s="79">
        <v>0</v>
      </c>
    </row>
    <row r="10" spans="1:29" x14ac:dyDescent="0.25">
      <c r="A10" s="45">
        <v>0.5</v>
      </c>
      <c r="B10" s="38">
        <v>60000</v>
      </c>
      <c r="C10" s="38">
        <v>0</v>
      </c>
      <c r="D10" s="38">
        <v>165000</v>
      </c>
      <c r="E10" s="46" t="b">
        <v>0</v>
      </c>
      <c r="F10" s="46" t="b">
        <v>0</v>
      </c>
      <c r="G10" s="47">
        <v>0</v>
      </c>
      <c r="H10" s="48" cm="1">
        <f t="array" aca="1" ref="H10" ca="1">_xlfn.MAP(OFFSET($D10,-1,0),OFFSET($P10,-1,0),$C10,$D10,$F10,$P10,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0" s="48" t="b" cm="1">
        <f t="array" ref="I10">_xlfn.MAP($N10,_xlfn.LAMBDA(_xlpm.hasIncomeCredit,_xlpm.hasIncomeCredit&gt;0))</f>
        <v>0</v>
      </c>
      <c r="J10" s="47" cm="1">
        <f t="array" aca="1" ref="J10" ca="1">_xlfn.MAP(OFFSET($O10,-1,0),$E10,$G10,$B10,$H10,$O10,_xlfn.LAMBDA(_xlpm.prevIB,_xlpm.isAnniversary,_xlpm.anniversaryCv,_xlpm.purchasePayments,_xlpm.wdPenaltyMult,_xlpm.incomeBase,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160000</v>
      </c>
      <c r="K10" s="47" cm="1">
        <f t="array" aca="1" ref="K10" ca="1">_xlfn.MAP($A10,$J10,_xlfn.LAMBDA(_xlpm.payPeriod,_xlpm.incomeBaseRaw, _xlpm.incomeBaseRaw-OFFSET(_xlpm.incomeBaseRaw,-1*IF(_xlpm.payPeriod&gt;0,1,0),0)))</f>
        <v>60000</v>
      </c>
      <c r="L10" s="47" cm="1">
        <f t="array" aca="1" ref="L10" ca="1">_xlfn.MAP(OFFSET($L10,-1,0),$B10,$E10,$G10,$H10,$F10,$I10,$L10,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160000</v>
      </c>
      <c r="M10" s="47" cm="1">
        <f t="array" aca="1" ref="M10" ca="1">_xlfn.MAP(OFFSET($L10,-1,0),$A10,$L10,$F10,$E10,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0" s="47" cm="1">
        <f t="array" ref="N10">_xlfn.MAP($E10,$F10,$K10,$M10,_xlfn.LAMBDA(_xlpm.isAnniversary,_xlpm.isActivated,_xlpm.incomeBaseDelta,_xlpm.incomeCredit,IF(AND(_xlpm.isAnniversary,NOT(_xlpm.isActivated)),MAX(0,_xlpm.incomeCredit-_xlpm.incomeBaseDelta),0)))</f>
        <v>0</v>
      </c>
      <c r="O10" s="47" cm="1">
        <f t="array" aca="1" ref="O10" ca="1">_xlfn.MAP($J10,$N10,_xlfn.LAMBDA(_xlpm.IncomeBaseRaw,_xlpm.IncomeBaseAdjustment,_xlpm.IncomeBaseRaw+_xlpm.IncomeBaseAdjustment))</f>
        <v>160000</v>
      </c>
      <c r="P10" s="49" cm="1">
        <f t="array" aca="1" ref="P10" ca="1">_xlfn.MAP($D10,$O10,_xlfn.LAMBDA(_xlpm.cv,_xlpm.incomeBase,IF(_xlpm.cv&gt;0,_xlpm.incomeBase*MawRate,0)))</f>
        <v>10000</v>
      </c>
      <c r="Q10" s="50" cm="1">
        <f t="array" ref="Q10">_xlfn.MAP($D10,$O10,_xlfn.LAMBDA(_xlpm.cv,_xlpm.incomeBase,IF(_xlpm.cv=0,pipRate*_xlpm.incomeBase,0)))</f>
        <v>0</v>
      </c>
      <c r="S10" s="15">
        <f t="shared" ca="1" si="0"/>
        <v>0</v>
      </c>
      <c r="T10" s="76">
        <f>T9+0.5</f>
        <v>0.5</v>
      </c>
      <c r="U10" s="77">
        <v>60000</v>
      </c>
      <c r="V10" s="77">
        <v>0</v>
      </c>
      <c r="W10" s="77">
        <v>165000</v>
      </c>
      <c r="X10" s="78">
        <v>0</v>
      </c>
      <c r="Y10" s="77">
        <v>160000</v>
      </c>
      <c r="Z10" s="77">
        <v>160000</v>
      </c>
      <c r="AA10" s="77">
        <v>0</v>
      </c>
      <c r="AB10" s="77">
        <v>10000</v>
      </c>
      <c r="AC10" s="79">
        <v>0</v>
      </c>
    </row>
    <row r="11" spans="1:29" x14ac:dyDescent="0.25">
      <c r="A11" s="61">
        <v>1</v>
      </c>
      <c r="B11" s="38">
        <v>0</v>
      </c>
      <c r="C11" s="38">
        <v>0</v>
      </c>
      <c r="D11" s="38">
        <v>170000</v>
      </c>
      <c r="E11" s="62" t="b">
        <v>1</v>
      </c>
      <c r="F11" s="62" t="b">
        <v>0</v>
      </c>
      <c r="G11" s="63">
        <v>170000</v>
      </c>
      <c r="H11" s="64" cm="1">
        <f t="array" aca="1" ref="H11" ca="1">_xlfn.MAP(OFFSET($D11,-1,0),OFFSET($P11,-1,0),$C11,$D11,$F11,$P11,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1" s="64" t="b" cm="1">
        <f t="array" aca="1" ref="I11" ca="1">_xlfn.MAP($N11,_xlfn.LAMBDA(_xlpm.hasIncomeCredit,_xlpm.hasIncomeCredit&gt;0))</f>
        <v>0</v>
      </c>
      <c r="J11" s="63" cm="1">
        <f t="array" aca="1" ref="J11" ca="1">_xlfn.MAP(OFFSET($O11,-1,0),$E11,$G11,$B11,$H11,$O11,_xlfn.LAMBDA(_xlpm.prevIB,_xlpm.isAnniversary,_xlpm.anniversaryCv,_xlpm.purchasePayments,_xlpm.wdPenaltyMult,_xlpm.incomeBase,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170000</v>
      </c>
      <c r="K11" s="63" cm="1">
        <f t="array" aca="1" ref="K11" ca="1">_xlfn.MAP($A11,$J11,_xlfn.LAMBDA(_xlpm.payPeriod,_xlpm.incomeBaseRaw, _xlpm.incomeBaseRaw-OFFSET(_xlpm.incomeBaseRaw,-1*IF(_xlpm.payPeriod&gt;0,1,0),0)))</f>
        <v>10000</v>
      </c>
      <c r="L11" s="63" cm="1">
        <f t="array" aca="1" ref="L11" ca="1">_xlfn.MAP(OFFSET($L11,-1,0),$B11,$E11,$G11,$H11,$F11,$I11,$L11,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170000</v>
      </c>
      <c r="M11" s="63" cm="1">
        <f t="array" aca="1" ref="M11" ca="1">_xlfn.MAP(OFFSET($L11,-1,0),$A11,$L11,$F11,$E11,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8400</v>
      </c>
      <c r="N11" s="63" cm="1">
        <f t="array" aca="1" ref="N11" ca="1">_xlfn.MAP($E11,$F11,$K11,$M11,_xlfn.LAMBDA(_xlpm.isAnniversary,_xlpm.isActivated,_xlpm.incomeBaseDelta,_xlpm.incomeCredit,IF(AND(_xlpm.isAnniversary,NOT(_xlpm.isActivated)),MAX(0,_xlpm.incomeCredit-_xlpm.incomeBaseDelta),0)))</f>
        <v>0</v>
      </c>
      <c r="O11" s="63" cm="1">
        <f t="array" aca="1" ref="O11" ca="1">_xlfn.MAP($J11,$N11,_xlfn.LAMBDA(_xlpm.IncomeBaseRaw,_xlpm.IncomeBaseAdjustment,_xlpm.IncomeBaseRaw+_xlpm.IncomeBaseAdjustment))</f>
        <v>170000</v>
      </c>
      <c r="P11" s="65" cm="1">
        <f t="array" aca="1" ref="P11" ca="1">_xlfn.MAP($D11,$O11,_xlfn.LAMBDA(_xlpm.cv,_xlpm.incomeBase,IF(_xlpm.cv&gt;0,_xlpm.incomeBase*MawRate,0)))</f>
        <v>10625</v>
      </c>
      <c r="Q11" s="66" cm="1">
        <f t="array" ref="Q11">_xlfn.MAP($D11,$O11,_xlfn.LAMBDA(_xlpm.cv,_xlpm.incomeBase,IF(_xlpm.cv=0,pipRate*_xlpm.incomeBase,0)))</f>
        <v>0</v>
      </c>
      <c r="S11" s="15">
        <f t="shared" ca="1" si="0"/>
        <v>0</v>
      </c>
      <c r="T11" s="76">
        <f t="shared" ref="T11:T31" si="1">T10+0.5</f>
        <v>1</v>
      </c>
      <c r="U11" s="77">
        <v>0</v>
      </c>
      <c r="V11" s="77">
        <v>0</v>
      </c>
      <c r="W11" s="77">
        <v>170000</v>
      </c>
      <c r="X11" s="78">
        <v>170000</v>
      </c>
      <c r="Y11" s="77">
        <v>170000</v>
      </c>
      <c r="Z11" s="77">
        <v>170000</v>
      </c>
      <c r="AA11" s="77">
        <v>8400</v>
      </c>
      <c r="AB11" s="77">
        <v>10625</v>
      </c>
      <c r="AC11" s="79">
        <v>0</v>
      </c>
    </row>
    <row r="12" spans="1:29" x14ac:dyDescent="0.25">
      <c r="A12" s="45">
        <v>1.5</v>
      </c>
      <c r="B12" s="38">
        <v>90000</v>
      </c>
      <c r="C12" s="38">
        <v>0</v>
      </c>
      <c r="D12" s="38">
        <v>255000</v>
      </c>
      <c r="E12" s="46" t="b">
        <v>0</v>
      </c>
      <c r="F12" s="46" t="b">
        <v>0</v>
      </c>
      <c r="G12" s="47">
        <v>0</v>
      </c>
      <c r="H12" s="48" cm="1">
        <f t="array" aca="1" ref="H12" ca="1">_xlfn.MAP(OFFSET($D12,-1,0),OFFSET($P12,-1,0),$C12,$D12,$F12,$P12,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2" s="48" t="b" cm="1">
        <f t="array" ref="I12">_xlfn.MAP($N12,_xlfn.LAMBDA(_xlpm.hasIncomeCredit,_xlpm.hasIncomeCredit&gt;0))</f>
        <v>0</v>
      </c>
      <c r="J12" s="47" cm="1">
        <f t="array" aca="1" ref="J12" ca="1">_xlfn.MAP(OFFSET($O12,-1,0),$E12,$G12,$B12,$H12,$O12,_xlfn.LAMBDA(_xlpm.prevIB,_xlpm.isAnniversary,_xlpm.anniversaryCv,_xlpm.purchasePayments,_xlpm.wdPenaltyMult,_xlpm.incomeBase,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260000</v>
      </c>
      <c r="K12" s="47" cm="1">
        <f t="array" aca="1" ref="K12" ca="1">_xlfn.MAP($A12,$J12,_xlfn.LAMBDA(_xlpm.payPeriod,_xlpm.incomeBaseRaw, _xlpm.incomeBaseRaw-OFFSET(_xlpm.incomeBaseRaw,-1*IF(_xlpm.payPeriod&gt;0,1,0),0)))</f>
        <v>90000</v>
      </c>
      <c r="L12" s="47" cm="1">
        <f t="array" aca="1" ref="L12" ca="1">_xlfn.MAP(OFFSET($L12,-1,0),$B12,$E12,$G12,$H12,$F12,$I12,$L12,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260000</v>
      </c>
      <c r="M12" s="47" cm="1">
        <f t="array" aca="1" ref="M12" ca="1">_xlfn.MAP(OFFSET($L12,-1,0),$A12,$L12,$F12,$E12,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2" s="47" cm="1">
        <f t="array" ref="N12">_xlfn.MAP($E12,$F12,$K12,$M12,_xlfn.LAMBDA(_xlpm.isAnniversary,_xlpm.isActivated,_xlpm.incomeBaseDelta,_xlpm.incomeCredit,IF(AND(_xlpm.isAnniversary,NOT(_xlpm.isActivated)),MAX(0,_xlpm.incomeCredit-_xlpm.incomeBaseDelta),0)))</f>
        <v>0</v>
      </c>
      <c r="O12" s="47" cm="1">
        <f t="array" aca="1" ref="O12" ca="1">_xlfn.MAP($J12,$N12,_xlfn.LAMBDA(_xlpm.IncomeBaseRaw,_xlpm.IncomeBaseAdjustment,_xlpm.IncomeBaseRaw+_xlpm.IncomeBaseAdjustment))</f>
        <v>260000</v>
      </c>
      <c r="P12" s="49" cm="1">
        <f t="array" aca="1" ref="P12" ca="1">_xlfn.MAP($D12,$O12,_xlfn.LAMBDA(_xlpm.cv,_xlpm.incomeBase,IF(_xlpm.cv&gt;0,_xlpm.incomeBase*MawRate,0)))</f>
        <v>16250</v>
      </c>
      <c r="Q12" s="50" cm="1">
        <f t="array" ref="Q12">_xlfn.MAP($D12,$O12,_xlfn.LAMBDA(_xlpm.cv,_xlpm.incomeBase,IF(_xlpm.cv=0,pipRate*_xlpm.incomeBase,0)))</f>
        <v>0</v>
      </c>
      <c r="S12" s="15">
        <f t="shared" ca="1" si="0"/>
        <v>0</v>
      </c>
      <c r="T12" s="76">
        <f t="shared" si="1"/>
        <v>1.5</v>
      </c>
      <c r="U12" s="77">
        <v>90000</v>
      </c>
      <c r="V12" s="77">
        <v>0</v>
      </c>
      <c r="W12" s="77">
        <v>255000</v>
      </c>
      <c r="X12" s="78">
        <v>0</v>
      </c>
      <c r="Y12" s="77">
        <v>260000</v>
      </c>
      <c r="Z12" s="77">
        <v>260000</v>
      </c>
      <c r="AA12" s="77">
        <v>0</v>
      </c>
      <c r="AB12" s="77">
        <v>16250</v>
      </c>
      <c r="AC12" s="79">
        <v>0</v>
      </c>
    </row>
    <row r="13" spans="1:29" x14ac:dyDescent="0.25">
      <c r="A13" s="61">
        <v>2</v>
      </c>
      <c r="B13" s="38">
        <v>0</v>
      </c>
      <c r="C13" s="38">
        <v>0</v>
      </c>
      <c r="D13" s="38">
        <v>287000</v>
      </c>
      <c r="E13" s="62" t="b">
        <v>1</v>
      </c>
      <c r="F13" s="62" t="b">
        <v>0</v>
      </c>
      <c r="G13" s="63">
        <v>287000</v>
      </c>
      <c r="H13" s="64" cm="1">
        <f t="array" aca="1" ref="H13" ca="1">_xlfn.MAP(OFFSET($D13,-1,0),OFFSET($P13,-1,0),$C13,$D13,$F13,$P13,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3" s="64" t="b" cm="1">
        <f t="array" aca="1" ref="I13" ca="1">_xlfn.MAP($N13,_xlfn.LAMBDA(_xlpm.hasIncomeCredit,_xlpm.hasIncomeCredit&gt;0))</f>
        <v>0</v>
      </c>
      <c r="J13" s="63" cm="1">
        <f t="array" aca="1" ref="J13" ca="1">_xlfn.MAP(OFFSET($O13,-1,0),$E13,$G13,$B13,$H13,$O13,_xlfn.LAMBDA(_xlpm.prevIB,_xlpm.isAnniversary,_xlpm.anniversaryCv,_xlpm.purchasePayments,_xlpm.wdPenaltyMult,_xlpm.incomeBase,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3" s="63" cm="1">
        <f t="array" aca="1" ref="K13" ca="1">_xlfn.MAP($A13,$J13,_xlfn.LAMBDA(_xlpm.payPeriod,_xlpm.incomeBaseRaw, _xlpm.incomeBaseRaw-OFFSET(_xlpm.incomeBaseRaw,-1*IF(_xlpm.payPeriod&gt;0,1,0),0)))</f>
        <v>27000</v>
      </c>
      <c r="L13" s="63" cm="1">
        <f t="array" aca="1" ref="L13" ca="1">_xlfn.MAP(OFFSET($L13,-1,0),$B13,$E13,$G13,$H13,$F13,$I13,$L13,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3" s="63" cm="1">
        <f t="array" aca="1" ref="M13" ca="1">_xlfn.MAP(OFFSET($L13,-1,0),$A13,$L13,$F13,$E13,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13650</v>
      </c>
      <c r="N13" s="63" cm="1">
        <f t="array" aca="1" ref="N13" ca="1">_xlfn.MAP($E13,$F13,$K13,$M13,_xlfn.LAMBDA(_xlpm.isAnniversary,_xlpm.isActivated,_xlpm.incomeBaseDelta,_xlpm.incomeCredit,IF(AND(_xlpm.isAnniversary,NOT(_xlpm.isActivated)),MAX(0,_xlpm.incomeCredit-_xlpm.incomeBaseDelta),0)))</f>
        <v>0</v>
      </c>
      <c r="O13" s="63" cm="1">
        <f t="array" aca="1" ref="O13" ca="1">_xlfn.MAP($J13,$N13,_xlfn.LAMBDA(_xlpm.IncomeBaseRaw,_xlpm.IncomeBaseAdjustment,_xlpm.IncomeBaseRaw+_xlpm.IncomeBaseAdjustment))</f>
        <v>287000</v>
      </c>
      <c r="P13" s="65" cm="1">
        <f t="array" aca="1" ref="P13" ca="1">_xlfn.MAP($D13,$O13,_xlfn.LAMBDA(_xlpm.cv,_xlpm.incomeBase,IF(_xlpm.cv&gt;0,_xlpm.incomeBase*MawRate,0)))</f>
        <v>17937.5</v>
      </c>
      <c r="Q13" s="66" cm="1">
        <f t="array" ref="Q13">_xlfn.MAP($D13,$O13,_xlfn.LAMBDA(_xlpm.cv,_xlpm.incomeBase,IF(_xlpm.cv=0,pipRate*_xlpm.incomeBase,0)))</f>
        <v>0</v>
      </c>
      <c r="S13" s="15">
        <f t="shared" ca="1" si="0"/>
        <v>0</v>
      </c>
      <c r="T13" s="76">
        <f t="shared" si="1"/>
        <v>2</v>
      </c>
      <c r="U13" s="77">
        <v>0</v>
      </c>
      <c r="V13" s="77">
        <v>0</v>
      </c>
      <c r="W13" s="77">
        <v>287000</v>
      </c>
      <c r="X13" s="78">
        <v>287000</v>
      </c>
      <c r="Y13" s="77">
        <v>287000</v>
      </c>
      <c r="Z13" s="77">
        <v>287000</v>
      </c>
      <c r="AA13" s="77">
        <v>13650</v>
      </c>
      <c r="AB13" s="77">
        <v>17938</v>
      </c>
      <c r="AC13" s="79">
        <v>0</v>
      </c>
    </row>
    <row r="14" spans="1:29" x14ac:dyDescent="0.25">
      <c r="A14" s="45">
        <v>2.5</v>
      </c>
      <c r="B14" s="38">
        <v>0</v>
      </c>
      <c r="C14" s="38">
        <v>0</v>
      </c>
      <c r="D14" s="38">
        <v>287000</v>
      </c>
      <c r="E14" s="46" t="b">
        <v>0</v>
      </c>
      <c r="F14" s="46" t="b">
        <v>0</v>
      </c>
      <c r="G14" s="47">
        <v>0</v>
      </c>
      <c r="H14" s="48" cm="1">
        <f t="array" aca="1" ref="H14" ca="1">_xlfn.MAP(OFFSET($D14,-1,0),OFFSET($P14,-1,0),$C14,$D14,$F14,$P14,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4" s="48" t="b" cm="1">
        <f t="array" ref="I14">_xlfn.MAP($N14,_xlfn.LAMBDA(_xlpm.hasIncomeCredit,_xlpm.hasIncomeCredit&gt;0))</f>
        <v>0</v>
      </c>
      <c r="J14" s="47" cm="1">
        <f t="array" aca="1" ref="J14" ca="1">_xlfn.MAP(OFFSET($O14,-1,0),$E14,$G14,$B14,$H14,$O14,_xlfn.LAMBDA(_xlpm.prevIB,_xlpm.isAnniversary,_xlpm.anniversaryCv,_xlpm.purchasePayments,_xlpm.wdPenaltyMult,_xlpm.incomeBase,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4" s="47" cm="1">
        <f t="array" aca="1" ref="K14" ca="1">_xlfn.MAP($A14,$J14,_xlfn.LAMBDA(_xlpm.payPeriod,_xlpm.incomeBaseRaw, _xlpm.incomeBaseRaw-OFFSET(_xlpm.incomeBaseRaw,-1*IF(_xlpm.payPeriod&gt;0,1,0),0)))</f>
        <v>0</v>
      </c>
      <c r="L14" s="47" cm="1">
        <f t="array" aca="1" ref="L14" ca="1">_xlfn.MAP(OFFSET($L14,-1,0),$B14,$E14,$G14,$H14,$F14,$I14,$L14,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4" s="47" cm="1">
        <f t="array" aca="1" ref="M14" ca="1">_xlfn.MAP(OFFSET($L14,-1,0),$A14,$L14,$F14,$E14,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4" s="47" cm="1">
        <f t="array" ref="N14">_xlfn.MAP($E14,$F14,$K14,$M14,_xlfn.LAMBDA(_xlpm.isAnniversary,_xlpm.isActivated,_xlpm.incomeBaseDelta,_xlpm.incomeCredit,IF(AND(_xlpm.isAnniversary,NOT(_xlpm.isActivated)),MAX(0,_xlpm.incomeCredit-_xlpm.incomeBaseDelta),0)))</f>
        <v>0</v>
      </c>
      <c r="O14" s="47" cm="1">
        <f t="array" aca="1" ref="O14" ca="1">_xlfn.MAP($J14,$N14,_xlfn.LAMBDA(_xlpm.IncomeBaseRaw,_xlpm.IncomeBaseAdjustment,_xlpm.IncomeBaseRaw+_xlpm.IncomeBaseAdjustment))</f>
        <v>287000</v>
      </c>
      <c r="P14" s="49" cm="1">
        <f t="array" aca="1" ref="P14" ca="1">_xlfn.MAP($D14,$O14,_xlfn.LAMBDA(_xlpm.cv,_xlpm.incomeBase,IF(_xlpm.cv&gt;0,_xlpm.incomeBase*MawRate,0)))</f>
        <v>17937.5</v>
      </c>
      <c r="Q14" s="50" cm="1">
        <f t="array" ref="Q14">_xlfn.MAP($D14,$O14,_xlfn.LAMBDA(_xlpm.cv,_xlpm.incomeBase,IF(_xlpm.cv=0,pipRate*_xlpm.incomeBase,0)))</f>
        <v>0</v>
      </c>
      <c r="S14" s="15">
        <f t="shared" ca="1" si="0"/>
        <v>0</v>
      </c>
      <c r="T14" s="76">
        <f t="shared" si="1"/>
        <v>2.5</v>
      </c>
      <c r="U14" s="77">
        <v>0</v>
      </c>
      <c r="V14" s="77">
        <v>0</v>
      </c>
      <c r="W14" s="77">
        <v>287000</v>
      </c>
      <c r="X14" s="80">
        <v>0</v>
      </c>
      <c r="Y14" s="77">
        <v>287000</v>
      </c>
      <c r="Z14" s="77">
        <v>287000</v>
      </c>
      <c r="AA14" s="77">
        <v>0</v>
      </c>
      <c r="AB14" s="77">
        <v>17938</v>
      </c>
      <c r="AC14" s="79">
        <v>0</v>
      </c>
    </row>
    <row r="15" spans="1:29" x14ac:dyDescent="0.25">
      <c r="A15" s="61">
        <v>3</v>
      </c>
      <c r="B15" s="38">
        <v>0</v>
      </c>
      <c r="C15" s="38">
        <v>0</v>
      </c>
      <c r="D15" s="38">
        <v>300000</v>
      </c>
      <c r="E15" s="62" t="b">
        <v>1</v>
      </c>
      <c r="F15" s="62" t="b">
        <v>0</v>
      </c>
      <c r="G15" s="63">
        <v>300000</v>
      </c>
      <c r="H15" s="64" cm="1">
        <f t="array" aca="1" ref="H15" ca="1">_xlfn.MAP(OFFSET($D15,-1,0),OFFSET($P15,-1,0),$C15,$D15,$F15,$P15,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5" s="64" t="b" cm="1">
        <f t="array" aca="1" ref="I15" ca="1">_xlfn.MAP($N15,_xlfn.LAMBDA(_xlpm.hasIncomeCredit,_xlpm.hasIncomeCredit&gt;0))</f>
        <v>1</v>
      </c>
      <c r="J15" s="63" cm="1">
        <f t="array" aca="1" ref="J15" ca="1">_xlfn.MAP(OFFSET($O15,-1,0),$E15,$G15,$B15,$H15,$O15,_xlfn.LAMBDA(_xlpm.prevIB,_xlpm.isAnniversary,_xlpm.anniversaryCv,_xlpm.purchasePayments,_xlpm.wdPenaltyMult,_xlpm.incomeBase,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300000</v>
      </c>
      <c r="K15" s="63" cm="1">
        <f t="array" aca="1" ref="K15" ca="1">_xlfn.MAP($A15,$J15,_xlfn.LAMBDA(_xlpm.payPeriod,_xlpm.incomeBaseRaw, _xlpm.incomeBaseRaw-OFFSET(_xlpm.incomeBaseRaw,-1*IF(_xlpm.payPeriod&gt;0,1,0),0)))</f>
        <v>13000</v>
      </c>
      <c r="L15" s="63" cm="1">
        <f t="array" aca="1" ref="L15" ca="1">_xlfn.MAP(OFFSET($L15,-1,0),$B15,$E15,$G15,$H15,$F15,$I15,$L15,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5" s="63" cm="1">
        <f t="array" aca="1" ref="M15" ca="1">_xlfn.MAP(OFFSET($L15,-1,0),$A15,$L15,$F15,$E15,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15067.5</v>
      </c>
      <c r="N15" s="63" cm="1">
        <f t="array" aca="1" ref="N15" ca="1">_xlfn.MAP($E15,$F15,$K15,$M15,_xlfn.LAMBDA(_xlpm.isAnniversary,_xlpm.isActivated,_xlpm.incomeBaseDelta,_xlpm.incomeCredit,IF(AND(_xlpm.isAnniversary,NOT(_xlpm.isActivated)),MAX(0,_xlpm.incomeCredit-_xlpm.incomeBaseDelta),0)))</f>
        <v>2067.5</v>
      </c>
      <c r="O15" s="63" cm="1">
        <f t="array" aca="1" ref="O15" ca="1">_xlfn.MAP($J15,$N15,_xlfn.LAMBDA(_xlpm.IncomeBaseRaw,_xlpm.IncomeBaseAdjustment,_xlpm.IncomeBaseRaw+_xlpm.IncomeBaseAdjustment))</f>
        <v>302067.5</v>
      </c>
      <c r="P15" s="65" cm="1">
        <f t="array" aca="1" ref="P15" ca="1">_xlfn.MAP($D15,$O15,_xlfn.LAMBDA(_xlpm.cv,_xlpm.incomeBase,IF(_xlpm.cv&gt;0,_xlpm.incomeBase*MawRate,0)))</f>
        <v>18879.21875</v>
      </c>
      <c r="Q15" s="66" cm="1">
        <f t="array" ref="Q15">_xlfn.MAP($D15,$O15,_xlfn.LAMBDA(_xlpm.cv,_xlpm.incomeBase,IF(_xlpm.cv=0,pipRate*_xlpm.incomeBase,0)))</f>
        <v>0</v>
      </c>
      <c r="S15" s="15">
        <f t="shared" ca="1" si="0"/>
        <v>0</v>
      </c>
      <c r="T15" s="76">
        <f t="shared" si="1"/>
        <v>3</v>
      </c>
      <c r="U15" s="77">
        <v>0</v>
      </c>
      <c r="V15" s="77">
        <v>0</v>
      </c>
      <c r="W15" s="77">
        <v>300000</v>
      </c>
      <c r="X15" s="78">
        <v>300000</v>
      </c>
      <c r="Y15" s="77">
        <v>302068</v>
      </c>
      <c r="Z15" s="77">
        <v>287000</v>
      </c>
      <c r="AA15" s="77">
        <v>15068</v>
      </c>
      <c r="AB15" s="77">
        <v>18879</v>
      </c>
      <c r="AC15" s="79">
        <v>0</v>
      </c>
    </row>
    <row r="16" spans="1:29" x14ac:dyDescent="0.25">
      <c r="A16" s="45">
        <v>3.5</v>
      </c>
      <c r="B16" s="38">
        <v>0</v>
      </c>
      <c r="C16" s="38">
        <v>5000</v>
      </c>
      <c r="D16" s="38">
        <v>305000</v>
      </c>
      <c r="E16" s="46" t="b">
        <v>0</v>
      </c>
      <c r="F16" s="46" t="b">
        <v>0</v>
      </c>
      <c r="G16" s="47">
        <v>0</v>
      </c>
      <c r="H16" s="48" cm="1">
        <f t="array" aca="1" ref="H16" ca="1">_xlfn.MAP(OFFSET($D16,-1,0),OFFSET($P16,-1,0),$C16,$D16,$F16,$P16,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0.98360655737704916</v>
      </c>
      <c r="I16" s="48" t="b" cm="1">
        <f t="array" ref="I16">_xlfn.MAP($N16,_xlfn.LAMBDA(_xlpm.hasIncomeCredit,_xlpm.hasIncomeCredit&gt;0))</f>
        <v>0</v>
      </c>
      <c r="J16" s="47" cm="1">
        <f t="array" aca="1" ref="J16" ca="1">_xlfn.MAP(OFFSET($O16,-1,0),$E16,$G16,$B16,$H16,$O16,_xlfn.LAMBDA(_xlpm.prevIB,_xlpm.isAnniversary,_xlpm.anniversaryCv,_xlpm.purchasePayments,_xlpm.wdPenaltyMult,_xlpm.incomeBase,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297115.57377049181</v>
      </c>
      <c r="K16" s="47" cm="1">
        <f t="array" aca="1" ref="K16" ca="1">_xlfn.MAP($A16,$J16,_xlfn.LAMBDA(_xlpm.payPeriod,_xlpm.incomeBaseRaw, _xlpm.incomeBaseRaw-OFFSET(_xlpm.incomeBaseRaw,-1*IF(_xlpm.payPeriod&gt;0,1,0),0)))</f>
        <v>-2884.4262295081862</v>
      </c>
      <c r="L16" s="47" cm="1">
        <f t="array" aca="1" ref="L16" ca="1">_xlfn.MAP(OFFSET($L16,-1,0),$B16,$E16,$G16,$H16,$F16,$I16,$L16,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282295.08196721313</v>
      </c>
      <c r="M16" s="47" cm="1">
        <f t="array" aca="1" ref="M16" ca="1">_xlfn.MAP(OFFSET($L16,-1,0),$A16,$L16,$F16,$E16,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6" s="47" cm="1">
        <f t="array" ref="N16">_xlfn.MAP($E16,$F16,$K16,$M16,_xlfn.LAMBDA(_xlpm.isAnniversary,_xlpm.isActivated,_xlpm.incomeBaseDelta,_xlpm.incomeCredit,IF(AND(_xlpm.isAnniversary,NOT(_xlpm.isActivated)),MAX(0,_xlpm.incomeCredit-_xlpm.incomeBaseDelta),0)))</f>
        <v>0</v>
      </c>
      <c r="O16" s="47" cm="1">
        <f t="array" aca="1" ref="O16" ca="1">_xlfn.MAP($J16,$N16,_xlfn.LAMBDA(_xlpm.IncomeBaseRaw,_xlpm.IncomeBaseAdjustment,_xlpm.IncomeBaseRaw+_xlpm.IncomeBaseAdjustment))</f>
        <v>297115.57377049181</v>
      </c>
      <c r="P16" s="49" cm="1">
        <f t="array" aca="1" ref="P16" ca="1">_xlfn.MAP($D16,$O16,_xlfn.LAMBDA(_xlpm.cv,_xlpm.incomeBase,IF(_xlpm.cv&gt;0,_xlpm.incomeBase*MawRate,0)))</f>
        <v>18569.723360655738</v>
      </c>
      <c r="Q16" s="50" cm="1">
        <f t="array" ref="Q16">_xlfn.MAP($D16,$O16,_xlfn.LAMBDA(_xlpm.cv,_xlpm.incomeBase,IF(_xlpm.cv=0,pipRate*_xlpm.incomeBase,0)))</f>
        <v>0</v>
      </c>
      <c r="S16" s="15">
        <f t="shared" ca="1" si="0"/>
        <v>0</v>
      </c>
      <c r="T16" s="76">
        <f t="shared" si="1"/>
        <v>3.5</v>
      </c>
      <c r="U16" s="77">
        <v>0</v>
      </c>
      <c r="V16" s="77">
        <v>5000</v>
      </c>
      <c r="W16" s="77">
        <v>305000</v>
      </c>
      <c r="X16" s="78">
        <v>0</v>
      </c>
      <c r="Y16" s="77">
        <v>297116</v>
      </c>
      <c r="Z16" s="77">
        <v>282295</v>
      </c>
      <c r="AA16" s="77">
        <v>0</v>
      </c>
      <c r="AB16" s="77">
        <v>18570</v>
      </c>
      <c r="AC16" s="79">
        <v>0</v>
      </c>
    </row>
    <row r="17" spans="1:29" x14ac:dyDescent="0.25">
      <c r="A17" s="61">
        <v>4</v>
      </c>
      <c r="B17" s="38">
        <v>0</v>
      </c>
      <c r="C17" s="38">
        <v>0</v>
      </c>
      <c r="D17" s="38">
        <v>312000</v>
      </c>
      <c r="E17" s="62" t="b">
        <v>1</v>
      </c>
      <c r="F17" s="62" t="b">
        <v>0</v>
      </c>
      <c r="G17" s="63">
        <v>312000</v>
      </c>
      <c r="H17" s="64" cm="1">
        <f t="array" aca="1" ref="H17" ca="1">_xlfn.MAP(OFFSET($D17,-1,0),OFFSET($P17,-1,0),$C17,$D17,$F17,$P17,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7" s="64" t="b" cm="1">
        <f t="array" aca="1" ref="I17" ca="1">_xlfn.MAP($N17,_xlfn.LAMBDA(_xlpm.hasIncomeCredit,_xlpm.hasIncomeCredit&gt;0))</f>
        <v>0</v>
      </c>
      <c r="J17" s="63" cm="1">
        <f t="array" aca="1" ref="J17" ca="1">_xlfn.MAP(OFFSET($O17,-1,0),$E17,$G17,$B17,$H17,$O17,_xlfn.LAMBDA(_xlpm.prevIB,_xlpm.isAnniversary,_xlpm.anniversaryCv,_xlpm.purchasePayments,_xlpm.wdPenaltyMult,_xlpm.incomeBase,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7" s="63" cm="1">
        <f t="array" aca="1" ref="K17" ca="1">_xlfn.MAP($A17,$J17,_xlfn.LAMBDA(_xlpm.payPeriod,_xlpm.incomeBaseRaw, _xlpm.incomeBaseRaw-OFFSET(_xlpm.incomeBaseRaw,-1*IF(_xlpm.payPeriod&gt;0,1,0),0)))</f>
        <v>14884.426229508186</v>
      </c>
      <c r="L17" s="63" cm="1">
        <f t="array" aca="1" ref="L17" ca="1">_xlfn.MAP(OFFSET($L17,-1,0),$B17,$E17,$G17,$H17,$F17,$I17,$L17,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312000</v>
      </c>
      <c r="M17" s="63" cm="1">
        <f t="array" aca="1" ref="M17" ca="1">_xlfn.MAP(OFFSET($L17,-1,0),$A17,$L17,$F17,$E17,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14820.491803278688</v>
      </c>
      <c r="N17" s="63" cm="1">
        <f t="array" aca="1" ref="N17" ca="1">_xlfn.MAP($E17,$F17,$K17,$M17,_xlfn.LAMBDA(_xlpm.isAnniversary,_xlpm.isActivated,_xlpm.incomeBaseDelta,_xlpm.incomeCredit,IF(AND(_xlpm.isAnniversary,NOT(_xlpm.isActivated)),MAX(0,_xlpm.incomeCredit-_xlpm.incomeBaseDelta),0)))</f>
        <v>0</v>
      </c>
      <c r="O17" s="63" cm="1">
        <f t="array" aca="1" ref="O17" ca="1">_xlfn.MAP($J17,$N17,_xlfn.LAMBDA(_xlpm.IncomeBaseRaw,_xlpm.IncomeBaseAdjustment,_xlpm.IncomeBaseRaw+_xlpm.IncomeBaseAdjustment))</f>
        <v>312000</v>
      </c>
      <c r="P17" s="65" cm="1">
        <f t="array" aca="1" ref="P17" ca="1">_xlfn.MAP($D17,$O17,_xlfn.LAMBDA(_xlpm.cv,_xlpm.incomeBase,IF(_xlpm.cv&gt;0,_xlpm.incomeBase*MawRate,0)))</f>
        <v>19500</v>
      </c>
      <c r="Q17" s="66" cm="1">
        <f t="array" ref="Q17">_xlfn.MAP($D17,$O17,_xlfn.LAMBDA(_xlpm.cv,_xlpm.incomeBase,IF(_xlpm.cv=0,pipRate*_xlpm.incomeBase,0)))</f>
        <v>0</v>
      </c>
      <c r="S17" s="15">
        <f t="shared" ca="1" si="0"/>
        <v>0</v>
      </c>
      <c r="T17" s="76">
        <f t="shared" si="1"/>
        <v>4</v>
      </c>
      <c r="U17" s="77">
        <v>0</v>
      </c>
      <c r="V17" s="77">
        <v>0</v>
      </c>
      <c r="W17" s="77">
        <v>312000</v>
      </c>
      <c r="X17" s="78">
        <v>312000</v>
      </c>
      <c r="Y17" s="77">
        <v>312000</v>
      </c>
      <c r="Z17" s="77">
        <v>312000</v>
      </c>
      <c r="AA17" s="77">
        <v>14820</v>
      </c>
      <c r="AB17" s="77">
        <v>19500</v>
      </c>
      <c r="AC17" s="79">
        <v>0</v>
      </c>
    </row>
    <row r="18" spans="1:29" x14ac:dyDescent="0.25">
      <c r="A18" s="45">
        <v>4.5</v>
      </c>
      <c r="B18" s="38">
        <v>0</v>
      </c>
      <c r="C18" s="38">
        <v>19500</v>
      </c>
      <c r="D18" s="38">
        <v>302000</v>
      </c>
      <c r="E18" s="46" t="b">
        <v>0</v>
      </c>
      <c r="F18" s="46" t="b">
        <v>1</v>
      </c>
      <c r="G18" s="47">
        <v>0</v>
      </c>
      <c r="H18" s="48" cm="1">
        <f t="array" aca="1" ref="H18" ca="1">_xlfn.MAP(OFFSET($D18,-1,0),OFFSET($P18,-1,0),$C18,$D18,$F18,$P18,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8" s="48" t="b" cm="1">
        <f t="array" ref="I18">_xlfn.MAP($N18,_xlfn.LAMBDA(_xlpm.hasIncomeCredit,_xlpm.hasIncomeCredit&gt;0))</f>
        <v>0</v>
      </c>
      <c r="J18" s="47" cm="1">
        <f t="array" aca="1" ref="J18" ca="1">_xlfn.MAP(OFFSET($O18,-1,0),$E18,$G18,$B18,$H18,$O18,_xlfn.LAMBDA(_xlpm.prevIB,_xlpm.isAnniversary,_xlpm.anniversaryCv,_xlpm.purchasePayments,_xlpm.wdPenaltyMult,_xlpm.incomeBase,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8" s="47" cm="1">
        <f t="array" aca="1" ref="K18" ca="1">_xlfn.MAP($A18,$J18,_xlfn.LAMBDA(_xlpm.payPeriod,_xlpm.incomeBaseRaw, _xlpm.incomeBaseRaw-OFFSET(_xlpm.incomeBaseRaw,-1*IF(_xlpm.payPeriod&gt;0,1,0),0)))</f>
        <v>0</v>
      </c>
      <c r="L18" s="47" cm="1">
        <f t="array" aca="1" ref="L18" ca="1">_xlfn.MAP(OFFSET($L18,-1,0),$B18,$E18,$G18,$H18,$F18,$I18,$L18,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8" s="47" cm="1">
        <f t="array" aca="1" ref="M18" ca="1">_xlfn.MAP(OFFSET($L18,-1,0),$A18,$L18,$F18,$E18,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8" s="47" cm="1">
        <f t="array" ref="N18">_xlfn.MAP($E18,$F18,$K18,$M18,_xlfn.LAMBDA(_xlpm.isAnniversary,_xlpm.isActivated,_xlpm.incomeBaseDelta,_xlpm.incomeCredit,IF(AND(_xlpm.isAnniversary,NOT(_xlpm.isActivated)),MAX(0,_xlpm.incomeCredit-_xlpm.incomeBaseDelta),0)))</f>
        <v>0</v>
      </c>
      <c r="O18" s="47" cm="1">
        <f t="array" aca="1" ref="O18" ca="1">_xlfn.MAP($J18,$N18,_xlfn.LAMBDA(_xlpm.IncomeBaseRaw,_xlpm.IncomeBaseAdjustment,_xlpm.IncomeBaseRaw+_xlpm.IncomeBaseAdjustment))</f>
        <v>312000</v>
      </c>
      <c r="P18" s="49" cm="1">
        <f t="array" aca="1" ref="P18" ca="1">_xlfn.MAP($D18,$O18,_xlfn.LAMBDA(_xlpm.cv,_xlpm.incomeBase,IF(_xlpm.cv&gt;0,_xlpm.incomeBase*MawRate,0)))</f>
        <v>19500</v>
      </c>
      <c r="Q18" s="50" cm="1">
        <f t="array" ref="Q18">_xlfn.MAP($D18,$O18,_xlfn.LAMBDA(_xlpm.cv,_xlpm.incomeBase,IF(_xlpm.cv=0,pipRate*_xlpm.incomeBase,0)))</f>
        <v>0</v>
      </c>
      <c r="S18" s="15">
        <f t="shared" ca="1" si="0"/>
        <v>0</v>
      </c>
      <c r="T18" s="76">
        <f t="shared" si="1"/>
        <v>4.5</v>
      </c>
      <c r="U18" s="77">
        <v>0</v>
      </c>
      <c r="V18" s="77">
        <v>19500</v>
      </c>
      <c r="W18" s="77">
        <v>302000</v>
      </c>
      <c r="X18" s="80">
        <v>0</v>
      </c>
      <c r="Y18" s="77">
        <v>312000</v>
      </c>
      <c r="Z18" s="81">
        <v>0</v>
      </c>
      <c r="AA18" s="81">
        <v>0</v>
      </c>
      <c r="AB18" s="77">
        <v>19500</v>
      </c>
      <c r="AC18" s="79">
        <v>0</v>
      </c>
    </row>
    <row r="19" spans="1:29" x14ac:dyDescent="0.25">
      <c r="A19" s="61">
        <v>5</v>
      </c>
      <c r="B19" s="38">
        <v>0</v>
      </c>
      <c r="C19" s="38">
        <v>0</v>
      </c>
      <c r="D19" s="38">
        <v>305000</v>
      </c>
      <c r="E19" s="62" t="b">
        <v>1</v>
      </c>
      <c r="F19" s="62" t="b">
        <v>1</v>
      </c>
      <c r="G19" s="63">
        <v>305000</v>
      </c>
      <c r="H19" s="64" cm="1">
        <f t="array" aca="1" ref="H19" ca="1">_xlfn.MAP(OFFSET($D19,-1,0),OFFSET($P19,-1,0),$C19,$D19,$F19,$P19,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9" s="64" t="b" cm="1">
        <f t="array" ref="I19">_xlfn.MAP($N19,_xlfn.LAMBDA(_xlpm.hasIncomeCredit,_xlpm.hasIncomeCredit&gt;0))</f>
        <v>0</v>
      </c>
      <c r="J19" s="63" cm="1">
        <f t="array" aca="1" ref="J19" ca="1">_xlfn.MAP(OFFSET($O19,-1,0),$E19,$G19,$B19,$H19,$O19,_xlfn.LAMBDA(_xlpm.prevIB,_xlpm.isAnniversary,_xlpm.anniversaryCv,_xlpm.purchasePayments,_xlpm.wdPenaltyMult,_xlpm.incomeBase,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9" s="63" cm="1">
        <f t="array" aca="1" ref="K19" ca="1">_xlfn.MAP($A19,$J19,_xlfn.LAMBDA(_xlpm.payPeriod,_xlpm.incomeBaseRaw, _xlpm.incomeBaseRaw-OFFSET(_xlpm.incomeBaseRaw,-1*IF(_xlpm.payPeriod&gt;0,1,0),0)))</f>
        <v>0</v>
      </c>
      <c r="L19" s="63" cm="1">
        <f t="array" aca="1" ref="L19" ca="1">_xlfn.MAP(OFFSET($L19,-1,0),$B19,$E19,$G19,$H19,$F19,$I19,$L19,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9" s="63" cm="1">
        <f t="array" aca="1" ref="M19" ca="1">_xlfn.MAP(OFFSET($L19,-1,0),$A19,$L19,$F19,$E19,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9" s="63" cm="1">
        <f t="array" ref="N19">_xlfn.MAP($E19,$F19,$K19,$M19,_xlfn.LAMBDA(_xlpm.isAnniversary,_xlpm.isActivated,_xlpm.incomeBaseDelta,_xlpm.incomeCredit,IF(AND(_xlpm.isAnniversary,NOT(_xlpm.isActivated)),MAX(0,_xlpm.incomeCredit-_xlpm.incomeBaseDelta),0)))</f>
        <v>0</v>
      </c>
      <c r="O19" s="63" cm="1">
        <f t="array" aca="1" ref="O19" ca="1">_xlfn.MAP($J19,$N19,_xlfn.LAMBDA(_xlpm.IncomeBaseRaw,_xlpm.IncomeBaseAdjustment,_xlpm.IncomeBaseRaw+_xlpm.IncomeBaseAdjustment))</f>
        <v>312000</v>
      </c>
      <c r="P19" s="65" cm="1">
        <f t="array" aca="1" ref="P19" ca="1">_xlfn.MAP($D19,$O19,_xlfn.LAMBDA(_xlpm.cv,_xlpm.incomeBase,IF(_xlpm.cv&gt;0,_xlpm.incomeBase*MawRate,0)))</f>
        <v>19500</v>
      </c>
      <c r="Q19" s="66" cm="1">
        <f t="array" ref="Q19">_xlfn.MAP($D19,$O19,_xlfn.LAMBDA(_xlpm.cv,_xlpm.incomeBase,IF(_xlpm.cv=0,pipRate*_xlpm.incomeBase,0)))</f>
        <v>0</v>
      </c>
      <c r="S19" s="15">
        <f t="shared" ca="1" si="0"/>
        <v>0</v>
      </c>
      <c r="T19" s="76">
        <f t="shared" si="1"/>
        <v>5</v>
      </c>
      <c r="U19" s="77">
        <v>0</v>
      </c>
      <c r="V19" s="77">
        <v>0</v>
      </c>
      <c r="W19" s="77">
        <v>305000</v>
      </c>
      <c r="X19" s="78">
        <v>305000</v>
      </c>
      <c r="Y19" s="77">
        <v>312000</v>
      </c>
      <c r="Z19" s="81">
        <v>0</v>
      </c>
      <c r="AA19" s="81">
        <v>0</v>
      </c>
      <c r="AB19" s="77">
        <v>19500</v>
      </c>
      <c r="AC19" s="79">
        <v>0</v>
      </c>
    </row>
    <row r="20" spans="1:29" x14ac:dyDescent="0.25">
      <c r="A20" s="45">
        <v>5.5</v>
      </c>
      <c r="B20" s="38">
        <v>0</v>
      </c>
      <c r="C20" s="38">
        <v>24960</v>
      </c>
      <c r="D20" s="38">
        <v>280000</v>
      </c>
      <c r="E20" s="46" t="b">
        <v>0</v>
      </c>
      <c r="F20" s="46" t="b">
        <v>1</v>
      </c>
      <c r="G20" s="47">
        <v>0</v>
      </c>
      <c r="H20" s="48" cm="1">
        <f t="array" aca="1" ref="H20" ca="1">_xlfn.MAP(OFFSET($D20,-1,0),OFFSET($P20,-1,0),$C20,$D20,$F20,$P20,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0.98087565674255695</v>
      </c>
      <c r="I20" s="48" t="b" cm="1">
        <f t="array" ref="I20">_xlfn.MAP($N20,_xlfn.LAMBDA(_xlpm.hasIncomeCredit,_xlpm.hasIncomeCredit&gt;0))</f>
        <v>0</v>
      </c>
      <c r="J20" s="47" cm="1">
        <f t="array" aca="1" ref="J20" ca="1">_xlfn.MAP(OFFSET($O20,-1,0),$E20,$G20,$B20,$H20,$O20,_xlfn.LAMBDA(_xlpm.prevIB,_xlpm.isAnniversary,_xlpm.anniversaryCv,_xlpm.purchasePayments,_xlpm.wdPenaltyMult,_xlpm.incomeBase,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0" s="47" cm="1">
        <f t="array" aca="1" ref="K20" ca="1">_xlfn.MAP($A20,$J20,_xlfn.LAMBDA(_xlpm.payPeriod,_xlpm.incomeBaseRaw, _xlpm.incomeBaseRaw-OFFSET(_xlpm.incomeBaseRaw,-1*IF(_xlpm.payPeriod&gt;0,1,0),0)))</f>
        <v>-5966.7950963222538</v>
      </c>
      <c r="L20" s="47" cm="1">
        <f t="array" aca="1" ref="L20" ca="1">_xlfn.MAP(OFFSET($L20,-1,0),$B20,$E20,$G20,$H20,$F20,$I20,$L20,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0" s="47" cm="1">
        <f t="array" aca="1" ref="M20" ca="1">_xlfn.MAP(OFFSET($L20,-1,0),$A20,$L20,$F20,$E20,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0" s="47" cm="1">
        <f t="array" ref="N20">_xlfn.MAP($E20,$F20,$K20,$M20,_xlfn.LAMBDA(_xlpm.isAnniversary,_xlpm.isActivated,_xlpm.incomeBaseDelta,_xlpm.incomeCredit,IF(AND(_xlpm.isAnniversary,NOT(_xlpm.isActivated)),MAX(0,_xlpm.incomeCredit-_xlpm.incomeBaseDelta),0)))</f>
        <v>0</v>
      </c>
      <c r="O20" s="47" cm="1">
        <f t="array" aca="1" ref="O20" ca="1">_xlfn.MAP($J20,$N20,_xlfn.LAMBDA(_xlpm.IncomeBaseRaw,_xlpm.IncomeBaseAdjustment,_xlpm.IncomeBaseRaw+_xlpm.IncomeBaseAdjustment))</f>
        <v>306033.20490367775</v>
      </c>
      <c r="P20" s="49" cm="1">
        <f t="array" aca="1" ref="P20" ca="1">_xlfn.MAP($D20,$O20,_xlfn.LAMBDA(_xlpm.cv,_xlpm.incomeBase,IF(_xlpm.cv&gt;0,_xlpm.incomeBase*MawRate,0)))</f>
        <v>19127.075306479859</v>
      </c>
      <c r="Q20" s="50" cm="1">
        <f t="array" ref="Q20">_xlfn.MAP($D20,$O20,_xlfn.LAMBDA(_xlpm.cv,_xlpm.incomeBase,IF(_xlpm.cv=0,pipRate*_xlpm.incomeBase,0)))</f>
        <v>0</v>
      </c>
      <c r="S20" s="15">
        <f t="shared" ca="1" si="0"/>
        <v>0</v>
      </c>
      <c r="T20" s="76">
        <f t="shared" si="1"/>
        <v>5.5</v>
      </c>
      <c r="U20" s="77">
        <v>0</v>
      </c>
      <c r="V20" s="77">
        <v>24960</v>
      </c>
      <c r="W20" s="77">
        <v>280000</v>
      </c>
      <c r="X20" s="78">
        <v>0</v>
      </c>
      <c r="Y20" s="77">
        <v>306033</v>
      </c>
      <c r="Z20" s="81">
        <v>0</v>
      </c>
      <c r="AA20" s="81">
        <v>0</v>
      </c>
      <c r="AB20" s="77">
        <v>19127</v>
      </c>
      <c r="AC20" s="79">
        <v>0</v>
      </c>
    </row>
    <row r="21" spans="1:29" x14ac:dyDescent="0.25">
      <c r="A21" s="61">
        <v>6</v>
      </c>
      <c r="B21" s="38">
        <v>0</v>
      </c>
      <c r="C21" s="38">
        <v>0</v>
      </c>
      <c r="D21" s="38">
        <v>290000</v>
      </c>
      <c r="E21" s="62" t="b">
        <v>1</v>
      </c>
      <c r="F21" s="62" t="b">
        <v>1</v>
      </c>
      <c r="G21" s="63">
        <v>290000</v>
      </c>
      <c r="H21" s="64" cm="1">
        <f t="array" aca="1" ref="H21" ca="1">_xlfn.MAP(OFFSET($D21,-1,0),OFFSET($P21,-1,0),$C21,$D21,$F21,$P21,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1" s="64" t="b" cm="1">
        <f t="array" ref="I21">_xlfn.MAP($N21,_xlfn.LAMBDA(_xlpm.hasIncomeCredit,_xlpm.hasIncomeCredit&gt;0))</f>
        <v>0</v>
      </c>
      <c r="J21" s="63" cm="1">
        <f t="array" aca="1" ref="J21" ca="1">_xlfn.MAP(OFFSET($O21,-1,0),$E21,$G21,$B21,$H21,$O21,_xlfn.LAMBDA(_xlpm.prevIB,_xlpm.isAnniversary,_xlpm.anniversaryCv,_xlpm.purchasePayments,_xlpm.wdPenaltyMult,_xlpm.incomeBase,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1" s="63" cm="1">
        <f t="array" aca="1" ref="K21" ca="1">_xlfn.MAP($A21,$J21,_xlfn.LAMBDA(_xlpm.payPeriod,_xlpm.incomeBaseRaw, _xlpm.incomeBaseRaw-OFFSET(_xlpm.incomeBaseRaw,-1*IF(_xlpm.payPeriod&gt;0,1,0),0)))</f>
        <v>0</v>
      </c>
      <c r="L21" s="63" cm="1">
        <f t="array" aca="1" ref="L21" ca="1">_xlfn.MAP(OFFSET($L21,-1,0),$B21,$E21,$G21,$H21,$F21,$I21,$L21,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1" s="63" cm="1">
        <f t="array" aca="1" ref="M21" ca="1">_xlfn.MAP(OFFSET($L21,-1,0),$A21,$L21,$F21,$E21,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1" s="63" cm="1">
        <f t="array" ref="N21">_xlfn.MAP($E21,$F21,$K21,$M21,_xlfn.LAMBDA(_xlpm.isAnniversary,_xlpm.isActivated,_xlpm.incomeBaseDelta,_xlpm.incomeCredit,IF(AND(_xlpm.isAnniversary,NOT(_xlpm.isActivated)),MAX(0,_xlpm.incomeCredit-_xlpm.incomeBaseDelta),0)))</f>
        <v>0</v>
      </c>
      <c r="O21" s="63" cm="1">
        <f t="array" aca="1" ref="O21" ca="1">_xlfn.MAP($J21,$N21,_xlfn.LAMBDA(_xlpm.IncomeBaseRaw,_xlpm.IncomeBaseAdjustment,_xlpm.IncomeBaseRaw+_xlpm.IncomeBaseAdjustment))</f>
        <v>306033.20490367775</v>
      </c>
      <c r="P21" s="65" cm="1">
        <f t="array" aca="1" ref="P21" ca="1">_xlfn.MAP($D21,$O21,_xlfn.LAMBDA(_xlpm.cv,_xlpm.incomeBase,IF(_xlpm.cv&gt;0,_xlpm.incomeBase*MawRate,0)))</f>
        <v>19127.075306479859</v>
      </c>
      <c r="Q21" s="66" cm="1">
        <f t="array" ref="Q21">_xlfn.MAP($D21,$O21,_xlfn.LAMBDA(_xlpm.cv,_xlpm.incomeBase,IF(_xlpm.cv=0,pipRate*_xlpm.incomeBase,0)))</f>
        <v>0</v>
      </c>
      <c r="S21" s="15">
        <f t="shared" ca="1" si="0"/>
        <v>0</v>
      </c>
      <c r="T21" s="76">
        <f t="shared" si="1"/>
        <v>6</v>
      </c>
      <c r="U21" s="77">
        <v>0</v>
      </c>
      <c r="V21" s="77">
        <v>0</v>
      </c>
      <c r="W21" s="77">
        <v>290000</v>
      </c>
      <c r="X21" s="78">
        <v>290000</v>
      </c>
      <c r="Y21" s="77">
        <v>306033</v>
      </c>
      <c r="Z21" s="81">
        <v>0</v>
      </c>
      <c r="AA21" s="81">
        <v>0</v>
      </c>
      <c r="AB21" s="77">
        <v>19127</v>
      </c>
      <c r="AC21" s="79">
        <v>0</v>
      </c>
    </row>
    <row r="22" spans="1:29" x14ac:dyDescent="0.25">
      <c r="A22" s="45">
        <v>6.5</v>
      </c>
      <c r="B22" s="38">
        <v>0</v>
      </c>
      <c r="C22" s="38">
        <v>24483</v>
      </c>
      <c r="D22" s="38">
        <v>260000</v>
      </c>
      <c r="E22" s="46" t="b">
        <v>0</v>
      </c>
      <c r="F22" s="46" t="b">
        <v>1</v>
      </c>
      <c r="G22" s="47">
        <v>0</v>
      </c>
      <c r="H22" s="48" cm="1">
        <f t="array" aca="1" ref="H22" ca="1">_xlfn.MAP(OFFSET($D22,-1,0),OFFSET($P22,-1,0),$C22,$D22,$F22,$P22,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0.98022716851608516</v>
      </c>
      <c r="I22" s="48" t="b" cm="1">
        <f t="array" ref="I22">_xlfn.MAP($N22,_xlfn.LAMBDA(_xlpm.hasIncomeCredit,_xlpm.hasIncomeCredit&gt;0))</f>
        <v>0</v>
      </c>
      <c r="J22" s="47" cm="1">
        <f t="array" aca="1" ref="J22" ca="1">_xlfn.MAP(OFFSET($O22,-1,0),$E22,$G22,$B22,$H22,$O22,_xlfn.LAMBDA(_xlpm.prevIB,_xlpm.isAnniversary,_xlpm.anniversaryCv,_xlpm.purchasePayments,_xlpm.wdPenaltyMult,_xlpm.incomeBase,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2" s="47" cm="1">
        <f t="array" aca="1" ref="K22" ca="1">_xlfn.MAP($A22,$J22,_xlfn.LAMBDA(_xlpm.payPeriod,_xlpm.incomeBaseRaw, _xlpm.incomeBaseRaw-OFFSET(_xlpm.incomeBaseRaw,-1*IF(_xlpm.payPeriod&gt;0,1,0),0)))</f>
        <v>-6051.1429890427971</v>
      </c>
      <c r="L22" s="47" cm="1">
        <f t="array" aca="1" ref="L22" ca="1">_xlfn.MAP(OFFSET($L22,-1,0),$B22,$E22,$G22,$H22,$F22,$I22,$L22,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2" s="47" cm="1">
        <f t="array" aca="1" ref="M22" ca="1">_xlfn.MAP(OFFSET($L22,-1,0),$A22,$L22,$F22,$E22,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2" s="47" cm="1">
        <f t="array" ref="N22">_xlfn.MAP($E22,$F22,$K22,$M22,_xlfn.LAMBDA(_xlpm.isAnniversary,_xlpm.isActivated,_xlpm.incomeBaseDelta,_xlpm.incomeCredit,IF(AND(_xlpm.isAnniversary,NOT(_xlpm.isActivated)),MAX(0,_xlpm.incomeCredit-_xlpm.incomeBaseDelta),0)))</f>
        <v>0</v>
      </c>
      <c r="O22" s="47" cm="1">
        <f t="array" aca="1" ref="O22" ca="1">_xlfn.MAP($J22,$N22,_xlfn.LAMBDA(_xlpm.IncomeBaseRaw,_xlpm.IncomeBaseAdjustment,_xlpm.IncomeBaseRaw+_xlpm.IncomeBaseAdjustment))</f>
        <v>299982.06191463495</v>
      </c>
      <c r="P22" s="49" cm="1">
        <f t="array" aca="1" ref="P22" ca="1">_xlfn.MAP($D22,$O22,_xlfn.LAMBDA(_xlpm.cv,_xlpm.incomeBase,IF(_xlpm.cv&gt;0,_xlpm.incomeBase*MawRate,0)))</f>
        <v>18748.878869664684</v>
      </c>
      <c r="Q22" s="50" cm="1">
        <f t="array" ref="Q22">_xlfn.MAP($D22,$O22,_xlfn.LAMBDA(_xlpm.cv,_xlpm.incomeBase,IF(_xlpm.cv=0,pipRate*_xlpm.incomeBase,0)))</f>
        <v>0</v>
      </c>
      <c r="S22" s="15">
        <f t="shared" ca="1" si="0"/>
        <v>0</v>
      </c>
      <c r="T22" s="76">
        <f t="shared" si="1"/>
        <v>6.5</v>
      </c>
      <c r="U22" s="77">
        <v>0</v>
      </c>
      <c r="V22" s="77">
        <v>24483</v>
      </c>
      <c r="W22" s="77">
        <v>260000</v>
      </c>
      <c r="X22" s="78">
        <v>0</v>
      </c>
      <c r="Y22" s="77">
        <v>299982</v>
      </c>
      <c r="Z22" s="81">
        <v>0</v>
      </c>
      <c r="AA22" s="81">
        <v>0</v>
      </c>
      <c r="AB22" s="77">
        <v>18749</v>
      </c>
      <c r="AC22" s="79">
        <v>0</v>
      </c>
    </row>
    <row r="23" spans="1:29" x14ac:dyDescent="0.25">
      <c r="A23" s="61">
        <v>7</v>
      </c>
      <c r="B23" s="38">
        <v>0</v>
      </c>
      <c r="C23" s="38">
        <v>0</v>
      </c>
      <c r="D23" s="38">
        <v>230000</v>
      </c>
      <c r="E23" s="62" t="b">
        <v>1</v>
      </c>
      <c r="F23" s="62" t="b">
        <v>1</v>
      </c>
      <c r="G23" s="63">
        <v>230000</v>
      </c>
      <c r="H23" s="64" cm="1">
        <f t="array" aca="1" ref="H23" ca="1">_xlfn.MAP(OFFSET($D23,-1,0),OFFSET($P23,-1,0),$C23,$D23,$F23,$P23,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3" s="64" t="b" cm="1">
        <f t="array" ref="I23">_xlfn.MAP($N23,_xlfn.LAMBDA(_xlpm.hasIncomeCredit,_xlpm.hasIncomeCredit&gt;0))</f>
        <v>0</v>
      </c>
      <c r="J23" s="63" cm="1">
        <f t="array" aca="1" ref="J23" ca="1">_xlfn.MAP(OFFSET($O23,-1,0),$E23,$G23,$B23,$H23,$O23,_xlfn.LAMBDA(_xlpm.prevIB,_xlpm.isAnniversary,_xlpm.anniversaryCv,_xlpm.purchasePayments,_xlpm.wdPenaltyMult,_xlpm.incomeBase,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3" s="63" cm="1">
        <f t="array" aca="1" ref="K23" ca="1">_xlfn.MAP($A23,$J23,_xlfn.LAMBDA(_xlpm.payPeriod,_xlpm.incomeBaseRaw, _xlpm.incomeBaseRaw-OFFSET(_xlpm.incomeBaseRaw,-1*IF(_xlpm.payPeriod&gt;0,1,0),0)))</f>
        <v>0</v>
      </c>
      <c r="L23" s="63" cm="1">
        <f t="array" aca="1" ref="L23" ca="1">_xlfn.MAP(OFFSET($L23,-1,0),$B23,$E23,$G23,$H23,$F23,$I23,$L23,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3" s="63" cm="1">
        <f t="array" aca="1" ref="M23" ca="1">_xlfn.MAP(OFFSET($L23,-1,0),$A23,$L23,$F23,$E23,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3" s="63" cm="1">
        <f t="array" ref="N23">_xlfn.MAP($E23,$F23,$K23,$M23,_xlfn.LAMBDA(_xlpm.isAnniversary,_xlpm.isActivated,_xlpm.incomeBaseDelta,_xlpm.incomeCredit,IF(AND(_xlpm.isAnniversary,NOT(_xlpm.isActivated)),MAX(0,_xlpm.incomeCredit-_xlpm.incomeBaseDelta),0)))</f>
        <v>0</v>
      </c>
      <c r="O23" s="63" cm="1">
        <f t="array" aca="1" ref="O23" ca="1">_xlfn.MAP($J23,$N23,_xlfn.LAMBDA(_xlpm.IncomeBaseRaw,_xlpm.IncomeBaseAdjustment,_xlpm.IncomeBaseRaw+_xlpm.IncomeBaseAdjustment))</f>
        <v>299982.06191463495</v>
      </c>
      <c r="P23" s="65" cm="1">
        <f t="array" aca="1" ref="P23" ca="1">_xlfn.MAP($D23,$O23,_xlfn.LAMBDA(_xlpm.cv,_xlpm.incomeBase,IF(_xlpm.cv&gt;0,_xlpm.incomeBase*MawRate,0)))</f>
        <v>18748.878869664684</v>
      </c>
      <c r="Q23" s="66" cm="1">
        <f t="array" ref="Q23">_xlfn.MAP($D23,$O23,_xlfn.LAMBDA(_xlpm.cv,_xlpm.incomeBase,IF(_xlpm.cv=0,pipRate*_xlpm.incomeBase,0)))</f>
        <v>0</v>
      </c>
      <c r="S23" s="15">
        <f t="shared" ca="1" si="0"/>
        <v>0</v>
      </c>
      <c r="T23" s="76">
        <f t="shared" si="1"/>
        <v>7</v>
      </c>
      <c r="U23" s="77">
        <v>0</v>
      </c>
      <c r="V23" s="77">
        <v>0</v>
      </c>
      <c r="W23" s="77">
        <v>230000</v>
      </c>
      <c r="X23" s="78">
        <v>230000</v>
      </c>
      <c r="Y23" s="77">
        <v>299982</v>
      </c>
      <c r="Z23" s="81">
        <v>0</v>
      </c>
      <c r="AA23" s="81">
        <v>0</v>
      </c>
      <c r="AB23" s="77">
        <v>18749</v>
      </c>
      <c r="AC23" s="79">
        <v>0</v>
      </c>
    </row>
    <row r="24" spans="1:29" x14ac:dyDescent="0.25">
      <c r="A24" s="45">
        <v>7.5</v>
      </c>
      <c r="B24" s="38">
        <v>0</v>
      </c>
      <c r="C24" s="38">
        <v>0</v>
      </c>
      <c r="D24" s="38">
        <v>230000</v>
      </c>
      <c r="E24" s="46" t="b">
        <v>0</v>
      </c>
      <c r="F24" s="46" t="b">
        <v>1</v>
      </c>
      <c r="G24" s="47">
        <v>0</v>
      </c>
      <c r="H24" s="48" cm="1">
        <f t="array" aca="1" ref="H24" ca="1">_xlfn.MAP(OFFSET($D24,-1,0),OFFSET($P24,-1,0),$C24,$D24,$F24,$P24,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4" s="48" t="b" cm="1">
        <f t="array" ref="I24">_xlfn.MAP($N24,_xlfn.LAMBDA(_xlpm.hasIncomeCredit,_xlpm.hasIncomeCredit&gt;0))</f>
        <v>0</v>
      </c>
      <c r="J24" s="47" cm="1">
        <f t="array" aca="1" ref="J24" ca="1">_xlfn.MAP(OFFSET($O24,-1,0),$E24,$G24,$B24,$H24,$O24,_xlfn.LAMBDA(_xlpm.prevIB,_xlpm.isAnniversary,_xlpm.anniversaryCv,_xlpm.purchasePayments,_xlpm.wdPenaltyMult,_xlpm.incomeBase,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4" s="47" cm="1">
        <f t="array" aca="1" ref="K24" ca="1">_xlfn.MAP($A24,$J24,_xlfn.LAMBDA(_xlpm.payPeriod,_xlpm.incomeBaseRaw, _xlpm.incomeBaseRaw-OFFSET(_xlpm.incomeBaseRaw,-1*IF(_xlpm.payPeriod&gt;0,1,0),0)))</f>
        <v>0</v>
      </c>
      <c r="L24" s="47" cm="1">
        <f t="array" aca="1" ref="L24" ca="1">_xlfn.MAP(OFFSET($L24,-1,0),$B24,$E24,$G24,$H24,$F24,$I24,$L24,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4" s="47" cm="1">
        <f t="array" aca="1" ref="M24" ca="1">_xlfn.MAP(OFFSET($L24,-1,0),$A24,$L24,$F24,$E24,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4" s="47" cm="1">
        <f t="array" ref="N24">_xlfn.MAP($E24,$F24,$K24,$M24,_xlfn.LAMBDA(_xlpm.isAnniversary,_xlpm.isActivated,_xlpm.incomeBaseDelta,_xlpm.incomeCredit,IF(AND(_xlpm.isAnniversary,NOT(_xlpm.isActivated)),MAX(0,_xlpm.incomeCredit-_xlpm.incomeBaseDelta),0)))</f>
        <v>0</v>
      </c>
      <c r="O24" s="47" cm="1">
        <f t="array" aca="1" ref="O24" ca="1">_xlfn.MAP($J24,$N24,_xlfn.LAMBDA(_xlpm.IncomeBaseRaw,_xlpm.IncomeBaseAdjustment,_xlpm.IncomeBaseRaw+_xlpm.IncomeBaseAdjustment))</f>
        <v>299982.06191463495</v>
      </c>
      <c r="P24" s="49" cm="1">
        <f t="array" aca="1" ref="P24" ca="1">_xlfn.MAP($D24,$O24,_xlfn.LAMBDA(_xlpm.cv,_xlpm.incomeBase,IF(_xlpm.cv&gt;0,_xlpm.incomeBase*MawRate,0)))</f>
        <v>18748.878869664684</v>
      </c>
      <c r="Q24" s="50" cm="1">
        <f t="array" ref="Q24">_xlfn.MAP($D24,$O24,_xlfn.LAMBDA(_xlpm.cv,_xlpm.incomeBase,IF(_xlpm.cv=0,pipRate*_xlpm.incomeBase,0)))</f>
        <v>0</v>
      </c>
      <c r="S24" s="15">
        <f t="shared" ca="1" si="0"/>
        <v>0</v>
      </c>
      <c r="T24" s="76">
        <f t="shared" si="1"/>
        <v>7.5</v>
      </c>
      <c r="U24" s="77">
        <v>0</v>
      </c>
      <c r="V24" s="77">
        <v>0</v>
      </c>
      <c r="W24" s="77">
        <v>230000</v>
      </c>
      <c r="X24" s="80">
        <v>0</v>
      </c>
      <c r="Y24" s="77">
        <v>299982</v>
      </c>
      <c r="Z24" s="81">
        <v>0</v>
      </c>
      <c r="AA24" s="81">
        <v>0</v>
      </c>
      <c r="AB24" s="77">
        <v>18749</v>
      </c>
      <c r="AC24" s="79">
        <v>0</v>
      </c>
    </row>
    <row r="25" spans="1:29" x14ac:dyDescent="0.25">
      <c r="A25" s="61">
        <v>8</v>
      </c>
      <c r="B25" s="38">
        <v>0</v>
      </c>
      <c r="C25" s="38">
        <v>0</v>
      </c>
      <c r="D25" s="38">
        <v>150000</v>
      </c>
      <c r="E25" s="62" t="b">
        <v>1</v>
      </c>
      <c r="F25" s="62" t="b">
        <v>1</v>
      </c>
      <c r="G25" s="63">
        <v>150000</v>
      </c>
      <c r="H25" s="64" cm="1">
        <f t="array" aca="1" ref="H25" ca="1">_xlfn.MAP(OFFSET($D25,-1,0),OFFSET($P25,-1,0),$C25,$D25,$F25,$P25,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5" s="64" t="b" cm="1">
        <f t="array" ref="I25">_xlfn.MAP($N25,_xlfn.LAMBDA(_xlpm.hasIncomeCredit,_xlpm.hasIncomeCredit&gt;0))</f>
        <v>0</v>
      </c>
      <c r="J25" s="63" cm="1">
        <f t="array" aca="1" ref="J25" ca="1">_xlfn.MAP(OFFSET($O25,-1,0),$E25,$G25,$B25,$H25,$O25,_xlfn.LAMBDA(_xlpm.prevIB,_xlpm.isAnniversary,_xlpm.anniversaryCv,_xlpm.purchasePayments,_xlpm.wdPenaltyMult,_xlpm.incomeBase,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5" s="63" cm="1">
        <f t="array" aca="1" ref="K25" ca="1">_xlfn.MAP($A25,$J25,_xlfn.LAMBDA(_xlpm.payPeriod,_xlpm.incomeBaseRaw, _xlpm.incomeBaseRaw-OFFSET(_xlpm.incomeBaseRaw,-1*IF(_xlpm.payPeriod&gt;0,1,0),0)))</f>
        <v>0</v>
      </c>
      <c r="L25" s="63" cm="1">
        <f t="array" aca="1" ref="L25" ca="1">_xlfn.MAP(OFFSET($L25,-1,0),$B25,$E25,$G25,$H25,$F25,$I25,$L25,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5" s="63" cm="1">
        <f t="array" aca="1" ref="M25" ca="1">_xlfn.MAP(OFFSET($L25,-1,0),$A25,$L25,$F25,$E25,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5" s="63" cm="1">
        <f t="array" ref="N25">_xlfn.MAP($E25,$F25,$K25,$M25,_xlfn.LAMBDA(_xlpm.isAnniversary,_xlpm.isActivated,_xlpm.incomeBaseDelta,_xlpm.incomeCredit,IF(AND(_xlpm.isAnniversary,NOT(_xlpm.isActivated)),MAX(0,_xlpm.incomeCredit-_xlpm.incomeBaseDelta),0)))</f>
        <v>0</v>
      </c>
      <c r="O25" s="63" cm="1">
        <f t="array" aca="1" ref="O25" ca="1">_xlfn.MAP($J25,$N25,_xlfn.LAMBDA(_xlpm.IncomeBaseRaw,_xlpm.IncomeBaseAdjustment,_xlpm.IncomeBaseRaw+_xlpm.IncomeBaseAdjustment))</f>
        <v>299982.06191463495</v>
      </c>
      <c r="P25" s="65" cm="1">
        <f t="array" aca="1" ref="P25" ca="1">_xlfn.MAP($D25,$O25,_xlfn.LAMBDA(_xlpm.cv,_xlpm.incomeBase,IF(_xlpm.cv&gt;0,_xlpm.incomeBase*MawRate,0)))</f>
        <v>18748.878869664684</v>
      </c>
      <c r="Q25" s="66" cm="1">
        <f t="array" ref="Q25">_xlfn.MAP($D25,$O25,_xlfn.LAMBDA(_xlpm.cv,_xlpm.incomeBase,IF(_xlpm.cv=0,pipRate*_xlpm.incomeBase,0)))</f>
        <v>0</v>
      </c>
      <c r="S25" s="15">
        <f t="shared" ca="1" si="0"/>
        <v>0</v>
      </c>
      <c r="T25" s="76">
        <f t="shared" si="1"/>
        <v>8</v>
      </c>
      <c r="U25" s="77">
        <v>0</v>
      </c>
      <c r="V25" s="77">
        <v>0</v>
      </c>
      <c r="W25" s="77">
        <v>150000</v>
      </c>
      <c r="X25" s="78">
        <v>150000</v>
      </c>
      <c r="Y25" s="77">
        <v>299982</v>
      </c>
      <c r="Z25" s="81">
        <v>0</v>
      </c>
      <c r="AA25" s="81">
        <v>0</v>
      </c>
      <c r="AB25" s="77">
        <v>18749</v>
      </c>
      <c r="AC25" s="79">
        <v>0</v>
      </c>
    </row>
    <row r="26" spans="1:29" x14ac:dyDescent="0.25">
      <c r="A26" s="45">
        <v>8.5</v>
      </c>
      <c r="B26" s="38">
        <v>0</v>
      </c>
      <c r="C26" s="38">
        <v>0</v>
      </c>
      <c r="D26" s="38">
        <v>150000</v>
      </c>
      <c r="E26" s="46" t="b">
        <v>0</v>
      </c>
      <c r="F26" s="46" t="b">
        <v>1</v>
      </c>
      <c r="G26" s="47">
        <v>0</v>
      </c>
      <c r="H26" s="48" cm="1">
        <f t="array" aca="1" ref="H26" ca="1">_xlfn.MAP(OFFSET($D26,-1,0),OFFSET($P26,-1,0),$C26,$D26,$F26,$P26,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6" s="48" t="b" cm="1">
        <f t="array" ref="I26">_xlfn.MAP($N26,_xlfn.LAMBDA(_xlpm.hasIncomeCredit,_xlpm.hasIncomeCredit&gt;0))</f>
        <v>0</v>
      </c>
      <c r="J26" s="47" cm="1">
        <f t="array" aca="1" ref="J26" ca="1">_xlfn.MAP(OFFSET($O26,-1,0),$E26,$G26,$B26,$H26,$O26,_xlfn.LAMBDA(_xlpm.prevIB,_xlpm.isAnniversary,_xlpm.anniversaryCv,_xlpm.purchasePayments,_xlpm.wdPenaltyMult,_xlpm.incomeBase,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6" s="47" cm="1">
        <f t="array" aca="1" ref="K26" ca="1">_xlfn.MAP($A26,$J26,_xlfn.LAMBDA(_xlpm.payPeriod,_xlpm.incomeBaseRaw, _xlpm.incomeBaseRaw-OFFSET(_xlpm.incomeBaseRaw,-1*IF(_xlpm.payPeriod&gt;0,1,0),0)))</f>
        <v>0</v>
      </c>
      <c r="L26" s="47" cm="1">
        <f t="array" aca="1" ref="L26" ca="1">_xlfn.MAP(OFFSET($L26,-1,0),$B26,$E26,$G26,$H26,$F26,$I26,$L26,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6" s="47" cm="1">
        <f t="array" aca="1" ref="M26" ca="1">_xlfn.MAP(OFFSET($L26,-1,0),$A26,$L26,$F26,$E26,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6" s="47" cm="1">
        <f t="array" ref="N26">_xlfn.MAP($E26,$F26,$K26,$M26,_xlfn.LAMBDA(_xlpm.isAnniversary,_xlpm.isActivated,_xlpm.incomeBaseDelta,_xlpm.incomeCredit,IF(AND(_xlpm.isAnniversary,NOT(_xlpm.isActivated)),MAX(0,_xlpm.incomeCredit-_xlpm.incomeBaseDelta),0)))</f>
        <v>0</v>
      </c>
      <c r="O26" s="47" cm="1">
        <f t="array" aca="1" ref="O26" ca="1">_xlfn.MAP($J26,$N26,_xlfn.LAMBDA(_xlpm.IncomeBaseRaw,_xlpm.IncomeBaseAdjustment,_xlpm.IncomeBaseRaw+_xlpm.IncomeBaseAdjustment))</f>
        <v>299982.06191463495</v>
      </c>
      <c r="P26" s="49" cm="1">
        <f t="array" aca="1" ref="P26" ca="1">_xlfn.MAP($D26,$O26,_xlfn.LAMBDA(_xlpm.cv,_xlpm.incomeBase,IF(_xlpm.cv&gt;0,_xlpm.incomeBase*MawRate,0)))</f>
        <v>18748.878869664684</v>
      </c>
      <c r="Q26" s="50" cm="1">
        <f t="array" ref="Q26">_xlfn.MAP($D26,$O26,_xlfn.LAMBDA(_xlpm.cv,_xlpm.incomeBase,IF(_xlpm.cv=0,pipRate*_xlpm.incomeBase,0)))</f>
        <v>0</v>
      </c>
      <c r="S26" s="15">
        <f t="shared" ca="1" si="0"/>
        <v>0</v>
      </c>
      <c r="T26" s="76">
        <f t="shared" si="1"/>
        <v>8.5</v>
      </c>
      <c r="U26" s="77">
        <v>0</v>
      </c>
      <c r="V26" s="77">
        <v>0</v>
      </c>
      <c r="W26" s="77">
        <v>150000</v>
      </c>
      <c r="X26" s="80">
        <v>0</v>
      </c>
      <c r="Y26" s="77">
        <v>299982</v>
      </c>
      <c r="Z26" s="81">
        <v>0</v>
      </c>
      <c r="AA26" s="81">
        <v>0</v>
      </c>
      <c r="AB26" s="77">
        <v>18749</v>
      </c>
      <c r="AC26" s="79">
        <v>0</v>
      </c>
    </row>
    <row r="27" spans="1:29" x14ac:dyDescent="0.25">
      <c r="A27" s="61">
        <v>9</v>
      </c>
      <c r="B27" s="38">
        <v>0</v>
      </c>
      <c r="C27" s="38">
        <v>0</v>
      </c>
      <c r="D27" s="38">
        <v>100000</v>
      </c>
      <c r="E27" s="62" t="b">
        <v>1</v>
      </c>
      <c r="F27" s="62" t="b">
        <v>1</v>
      </c>
      <c r="G27" s="63">
        <v>100000</v>
      </c>
      <c r="H27" s="64" cm="1">
        <f t="array" aca="1" ref="H27" ca="1">_xlfn.MAP(OFFSET($D27,-1,0),OFFSET($P27,-1,0),$C27,$D27,$F27,$P27,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7" s="64" t="b" cm="1">
        <f t="array" ref="I27">_xlfn.MAP($N27,_xlfn.LAMBDA(_xlpm.hasIncomeCredit,_xlpm.hasIncomeCredit&gt;0))</f>
        <v>0</v>
      </c>
      <c r="J27" s="63" cm="1">
        <f t="array" aca="1" ref="J27" ca="1">_xlfn.MAP(OFFSET($O27,-1,0),$E27,$G27,$B27,$H27,$O27,_xlfn.LAMBDA(_xlpm.prevIB,_xlpm.isAnniversary,_xlpm.anniversaryCv,_xlpm.purchasePayments,_xlpm.wdPenaltyMult,_xlpm.incomeBase,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7" s="63" cm="1">
        <f t="array" aca="1" ref="K27" ca="1">_xlfn.MAP($A27,$J27,_xlfn.LAMBDA(_xlpm.payPeriod,_xlpm.incomeBaseRaw, _xlpm.incomeBaseRaw-OFFSET(_xlpm.incomeBaseRaw,-1*IF(_xlpm.payPeriod&gt;0,1,0),0)))</f>
        <v>0</v>
      </c>
      <c r="L27" s="63" cm="1">
        <f t="array" aca="1" ref="L27" ca="1">_xlfn.MAP(OFFSET($L27,-1,0),$B27,$E27,$G27,$H27,$F27,$I27,$L27,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7" s="63" cm="1">
        <f t="array" aca="1" ref="M27" ca="1">_xlfn.MAP(OFFSET($L27,-1,0),$A27,$L27,$F27,$E27,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7" s="63" cm="1">
        <f t="array" ref="N27">_xlfn.MAP($E27,$F27,$K27,$M27,_xlfn.LAMBDA(_xlpm.isAnniversary,_xlpm.isActivated,_xlpm.incomeBaseDelta,_xlpm.incomeCredit,IF(AND(_xlpm.isAnniversary,NOT(_xlpm.isActivated)),MAX(0,_xlpm.incomeCredit-_xlpm.incomeBaseDelta),0)))</f>
        <v>0</v>
      </c>
      <c r="O27" s="63" cm="1">
        <f t="array" aca="1" ref="O27" ca="1">_xlfn.MAP($J27,$N27,_xlfn.LAMBDA(_xlpm.IncomeBaseRaw,_xlpm.IncomeBaseAdjustment,_xlpm.IncomeBaseRaw+_xlpm.IncomeBaseAdjustment))</f>
        <v>299982.06191463495</v>
      </c>
      <c r="P27" s="65" cm="1">
        <f t="array" aca="1" ref="P27" ca="1">_xlfn.MAP($D27,$O27,_xlfn.LAMBDA(_xlpm.cv,_xlpm.incomeBase,IF(_xlpm.cv&gt;0,_xlpm.incomeBase*MawRate,0)))</f>
        <v>18748.878869664684</v>
      </c>
      <c r="Q27" s="66" cm="1">
        <f t="array" ref="Q27">_xlfn.MAP($D27,$O27,_xlfn.LAMBDA(_xlpm.cv,_xlpm.incomeBase,IF(_xlpm.cv=0,pipRate*_xlpm.incomeBase,0)))</f>
        <v>0</v>
      </c>
      <c r="S27" s="15">
        <f t="shared" ca="1" si="0"/>
        <v>0</v>
      </c>
      <c r="T27" s="76">
        <f t="shared" si="1"/>
        <v>9</v>
      </c>
      <c r="U27" s="77">
        <v>0</v>
      </c>
      <c r="V27" s="77">
        <v>0</v>
      </c>
      <c r="W27" s="77">
        <v>100000</v>
      </c>
      <c r="X27" s="78">
        <v>100000</v>
      </c>
      <c r="Y27" s="77">
        <v>299982</v>
      </c>
      <c r="Z27" s="81">
        <v>0</v>
      </c>
      <c r="AA27" s="81">
        <v>0</v>
      </c>
      <c r="AB27" s="77">
        <v>18749</v>
      </c>
      <c r="AC27" s="79">
        <v>0</v>
      </c>
    </row>
    <row r="28" spans="1:29" x14ac:dyDescent="0.25">
      <c r="A28" s="45">
        <v>9.5</v>
      </c>
      <c r="B28" s="38">
        <v>0</v>
      </c>
      <c r="C28" s="38">
        <v>0</v>
      </c>
      <c r="D28" s="38">
        <v>100000</v>
      </c>
      <c r="E28" s="46" t="b">
        <v>0</v>
      </c>
      <c r="F28" s="46" t="b">
        <v>1</v>
      </c>
      <c r="G28" s="47">
        <v>0</v>
      </c>
      <c r="H28" s="48" cm="1">
        <f t="array" aca="1" ref="H28" ca="1">_xlfn.MAP(OFFSET($D28,-1,0),OFFSET($P28,-1,0),$C28,$D28,$F28,$P28,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8" s="48" t="b" cm="1">
        <f t="array" ref="I28">_xlfn.MAP($N28,_xlfn.LAMBDA(_xlpm.hasIncomeCredit,_xlpm.hasIncomeCredit&gt;0))</f>
        <v>0</v>
      </c>
      <c r="J28" s="47" cm="1">
        <f t="array" aca="1" ref="J28" ca="1">_xlfn.MAP(OFFSET($O28,-1,0),$E28,$G28,$B28,$H28,$O28,_xlfn.LAMBDA(_xlpm.prevIB,_xlpm.isAnniversary,_xlpm.anniversaryCv,_xlpm.purchasePayments,_xlpm.wdPenaltyMult,_xlpm.incomeBase,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8" s="47" cm="1">
        <f t="array" aca="1" ref="K28" ca="1">_xlfn.MAP($A28,$J28,_xlfn.LAMBDA(_xlpm.payPeriod,_xlpm.incomeBaseRaw, _xlpm.incomeBaseRaw-OFFSET(_xlpm.incomeBaseRaw,-1*IF(_xlpm.payPeriod&gt;0,1,0),0)))</f>
        <v>0</v>
      </c>
      <c r="L28" s="47" cm="1">
        <f t="array" aca="1" ref="L28" ca="1">_xlfn.MAP(OFFSET($L28,-1,0),$B28,$E28,$G28,$H28,$F28,$I28,$L28,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8" s="47" cm="1">
        <f t="array" aca="1" ref="M28" ca="1">_xlfn.MAP(OFFSET($L28,-1,0),$A28,$L28,$F28,$E28,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8" s="47" cm="1">
        <f t="array" ref="N28">_xlfn.MAP($E28,$F28,$K28,$M28,_xlfn.LAMBDA(_xlpm.isAnniversary,_xlpm.isActivated,_xlpm.incomeBaseDelta,_xlpm.incomeCredit,IF(AND(_xlpm.isAnniversary,NOT(_xlpm.isActivated)),MAX(0,_xlpm.incomeCredit-_xlpm.incomeBaseDelta),0)))</f>
        <v>0</v>
      </c>
      <c r="O28" s="47" cm="1">
        <f t="array" aca="1" ref="O28" ca="1">_xlfn.MAP($J28,$N28,_xlfn.LAMBDA(_xlpm.IncomeBaseRaw,_xlpm.IncomeBaseAdjustment,_xlpm.IncomeBaseRaw+_xlpm.IncomeBaseAdjustment))</f>
        <v>299982.06191463495</v>
      </c>
      <c r="P28" s="49" cm="1">
        <f t="array" aca="1" ref="P28" ca="1">_xlfn.MAP($D28,$O28,_xlfn.LAMBDA(_xlpm.cv,_xlpm.incomeBase,IF(_xlpm.cv&gt;0,_xlpm.incomeBase*MawRate,0)))</f>
        <v>18748.878869664684</v>
      </c>
      <c r="Q28" s="50" cm="1">
        <f t="array" ref="Q28">_xlfn.MAP($D28,$O28,_xlfn.LAMBDA(_xlpm.cv,_xlpm.incomeBase,IF(_xlpm.cv=0,pipRate*_xlpm.incomeBase,0)))</f>
        <v>0</v>
      </c>
      <c r="S28" s="15">
        <f t="shared" ca="1" si="0"/>
        <v>0</v>
      </c>
      <c r="T28" s="76">
        <f t="shared" si="1"/>
        <v>9.5</v>
      </c>
      <c r="U28" s="77">
        <v>0</v>
      </c>
      <c r="V28" s="77">
        <v>0</v>
      </c>
      <c r="W28" s="77">
        <v>100000</v>
      </c>
      <c r="X28" s="80">
        <v>0</v>
      </c>
      <c r="Y28" s="77">
        <v>299982</v>
      </c>
      <c r="Z28" s="81">
        <v>0</v>
      </c>
      <c r="AA28" s="81">
        <v>0</v>
      </c>
      <c r="AB28" s="77">
        <v>18749</v>
      </c>
      <c r="AC28" s="79">
        <v>0</v>
      </c>
    </row>
    <row r="29" spans="1:29" x14ac:dyDescent="0.25">
      <c r="A29" s="61">
        <v>10</v>
      </c>
      <c r="B29" s="38">
        <v>0</v>
      </c>
      <c r="C29" s="38">
        <v>0</v>
      </c>
      <c r="D29" s="38">
        <v>50000</v>
      </c>
      <c r="E29" s="62" t="b">
        <v>1</v>
      </c>
      <c r="F29" s="62" t="b">
        <v>1</v>
      </c>
      <c r="G29" s="63">
        <v>50000</v>
      </c>
      <c r="H29" s="64" cm="1">
        <f t="array" aca="1" ref="H29" ca="1">_xlfn.MAP(OFFSET($D29,-1,0),OFFSET($P29,-1,0),$C29,$D29,$F29,$P29,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9" s="64" t="b" cm="1">
        <f t="array" ref="I29">_xlfn.MAP($N29,_xlfn.LAMBDA(_xlpm.hasIncomeCredit,_xlpm.hasIncomeCredit&gt;0))</f>
        <v>0</v>
      </c>
      <c r="J29" s="63" cm="1">
        <f t="array" aca="1" ref="J29" ca="1">_xlfn.MAP(OFFSET($O29,-1,0),$E29,$G29,$B29,$H29,$O29,_xlfn.LAMBDA(_xlpm.prevIB,_xlpm.isAnniversary,_xlpm.anniversaryCv,_xlpm.purchasePayments,_xlpm.wdPenaltyMult,_xlpm.incomeBase,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9" s="63" cm="1">
        <f t="array" aca="1" ref="K29" ca="1">_xlfn.MAP($A29,$J29,_xlfn.LAMBDA(_xlpm.payPeriod,_xlpm.incomeBaseRaw, _xlpm.incomeBaseRaw-OFFSET(_xlpm.incomeBaseRaw,-1*IF(_xlpm.payPeriod&gt;0,1,0),0)))</f>
        <v>0</v>
      </c>
      <c r="L29" s="63" cm="1">
        <f t="array" aca="1" ref="L29" ca="1">_xlfn.MAP(OFFSET($L29,-1,0),$B29,$E29,$G29,$H29,$F29,$I29,$L29,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9" s="63" cm="1">
        <f t="array" aca="1" ref="M29" ca="1">_xlfn.MAP(OFFSET($L29,-1,0),$A29,$L29,$F29,$E29,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9" s="63" cm="1">
        <f t="array" ref="N29">_xlfn.MAP($E29,$F29,$K29,$M29,_xlfn.LAMBDA(_xlpm.isAnniversary,_xlpm.isActivated,_xlpm.incomeBaseDelta,_xlpm.incomeCredit,IF(AND(_xlpm.isAnniversary,NOT(_xlpm.isActivated)),MAX(0,_xlpm.incomeCredit-_xlpm.incomeBaseDelta),0)))</f>
        <v>0</v>
      </c>
      <c r="O29" s="63" cm="1">
        <f t="array" aca="1" ref="O29" ca="1">_xlfn.MAP($J29,$N29,_xlfn.LAMBDA(_xlpm.IncomeBaseRaw,_xlpm.IncomeBaseAdjustment,_xlpm.IncomeBaseRaw+_xlpm.IncomeBaseAdjustment))</f>
        <v>299982.06191463495</v>
      </c>
      <c r="P29" s="65" cm="1">
        <f t="array" aca="1" ref="P29" ca="1">_xlfn.MAP($D29,$O29,_xlfn.LAMBDA(_xlpm.cv,_xlpm.incomeBase,IF(_xlpm.cv&gt;0,_xlpm.incomeBase*MawRate,0)))</f>
        <v>18748.878869664684</v>
      </c>
      <c r="Q29" s="66" cm="1">
        <f t="array" ref="Q29">_xlfn.MAP($D29,$O29,_xlfn.LAMBDA(_xlpm.cv,_xlpm.incomeBase,IF(_xlpm.cv=0,pipRate*_xlpm.incomeBase,0)))</f>
        <v>0</v>
      </c>
      <c r="S29" s="15">
        <f t="shared" ca="1" si="0"/>
        <v>0</v>
      </c>
      <c r="T29" s="76">
        <f t="shared" si="1"/>
        <v>10</v>
      </c>
      <c r="U29" s="77">
        <v>0</v>
      </c>
      <c r="V29" s="77">
        <v>0</v>
      </c>
      <c r="W29" s="77">
        <v>50000</v>
      </c>
      <c r="X29" s="78">
        <v>50000</v>
      </c>
      <c r="Y29" s="77">
        <v>299982</v>
      </c>
      <c r="Z29" s="81">
        <v>0</v>
      </c>
      <c r="AA29" s="81">
        <v>0</v>
      </c>
      <c r="AB29" s="77">
        <v>18749</v>
      </c>
      <c r="AC29" s="79">
        <v>0</v>
      </c>
    </row>
    <row r="30" spans="1:29" x14ac:dyDescent="0.25">
      <c r="A30" s="45">
        <v>10.5</v>
      </c>
      <c r="B30" s="38">
        <v>0</v>
      </c>
      <c r="C30" s="38">
        <v>0</v>
      </c>
      <c r="D30" s="38">
        <v>50000</v>
      </c>
      <c r="E30" s="46" t="b">
        <v>0</v>
      </c>
      <c r="F30" s="46" t="b">
        <v>1</v>
      </c>
      <c r="G30" s="47">
        <v>0</v>
      </c>
      <c r="H30" s="48" cm="1">
        <f t="array" aca="1" ref="H30" ca="1">_xlfn.MAP(OFFSET($D30,-1,0),OFFSET($P30,-1,0),$C30,$D30,$F30,$P30,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0" s="48" t="b" cm="1">
        <f t="array" ref="I30">_xlfn.MAP($N30,_xlfn.LAMBDA(_xlpm.hasIncomeCredit,_xlpm.hasIncomeCredit&gt;0))</f>
        <v>0</v>
      </c>
      <c r="J30" s="47" cm="1">
        <f t="array" aca="1" ref="J30" ca="1">_xlfn.MAP(OFFSET($O30,-1,0),$E30,$G30,$B30,$H30,$O30,_xlfn.LAMBDA(_xlpm.prevIB,_xlpm.isAnniversary,_xlpm.anniversaryCv,_xlpm.purchasePayments,_xlpm.wdPenaltyMult,_xlpm.incomeBase,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0" s="47" cm="1">
        <f t="array" aca="1" ref="K30" ca="1">_xlfn.MAP($A30,$J30,_xlfn.LAMBDA(_xlpm.payPeriod,_xlpm.incomeBaseRaw, _xlpm.incomeBaseRaw-OFFSET(_xlpm.incomeBaseRaw,-1*IF(_xlpm.payPeriod&gt;0,1,0),0)))</f>
        <v>0</v>
      </c>
      <c r="L30" s="47" cm="1">
        <f t="array" aca="1" ref="L30" ca="1">_xlfn.MAP(OFFSET($L30,-1,0),$B30,$E30,$G30,$H30,$F30,$I30,$L30,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0" s="47" cm="1">
        <f t="array" aca="1" ref="M30" ca="1">_xlfn.MAP(OFFSET($L30,-1,0),$A30,$L30,$F30,$E30,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0" s="47" cm="1">
        <f t="array" ref="N30">_xlfn.MAP($E30,$F30,$K30,$M30,_xlfn.LAMBDA(_xlpm.isAnniversary,_xlpm.isActivated,_xlpm.incomeBaseDelta,_xlpm.incomeCredit,IF(AND(_xlpm.isAnniversary,NOT(_xlpm.isActivated)),MAX(0,_xlpm.incomeCredit-_xlpm.incomeBaseDelta),0)))</f>
        <v>0</v>
      </c>
      <c r="O30" s="47" cm="1">
        <f t="array" aca="1" ref="O30" ca="1">_xlfn.MAP($J30,$N30,_xlfn.LAMBDA(_xlpm.IncomeBaseRaw,_xlpm.IncomeBaseAdjustment,_xlpm.IncomeBaseRaw+_xlpm.IncomeBaseAdjustment))</f>
        <v>299982.06191463495</v>
      </c>
      <c r="P30" s="49" cm="1">
        <f t="array" aca="1" ref="P30" ca="1">_xlfn.MAP($D30,$O30,_xlfn.LAMBDA(_xlpm.cv,_xlpm.incomeBase,IF(_xlpm.cv&gt;0,_xlpm.incomeBase*MawRate,0)))</f>
        <v>18748.878869664684</v>
      </c>
      <c r="Q30" s="50" cm="1">
        <f t="array" ref="Q30">_xlfn.MAP($D30,$O30,_xlfn.LAMBDA(_xlpm.cv,_xlpm.incomeBase,IF(_xlpm.cv=0,pipRate*_xlpm.incomeBase,0)))</f>
        <v>0</v>
      </c>
      <c r="S30" s="15">
        <f t="shared" ca="1" si="0"/>
        <v>0</v>
      </c>
      <c r="T30" s="76">
        <f t="shared" si="1"/>
        <v>10.5</v>
      </c>
      <c r="U30" s="77">
        <v>0</v>
      </c>
      <c r="V30" s="77">
        <v>0</v>
      </c>
      <c r="W30" s="77">
        <v>50000</v>
      </c>
      <c r="X30" s="80">
        <v>0</v>
      </c>
      <c r="Y30" s="77">
        <v>299982</v>
      </c>
      <c r="Z30" s="81">
        <v>0</v>
      </c>
      <c r="AA30" s="81">
        <v>0</v>
      </c>
      <c r="AB30" s="77">
        <v>18749</v>
      </c>
      <c r="AC30" s="79">
        <v>0</v>
      </c>
    </row>
    <row r="31" spans="1:29" ht="15.75" thickBot="1" x14ac:dyDescent="0.3">
      <c r="A31" s="67">
        <v>11</v>
      </c>
      <c r="B31" s="52">
        <v>0</v>
      </c>
      <c r="C31" s="52">
        <v>0</v>
      </c>
      <c r="D31" s="52">
        <v>0</v>
      </c>
      <c r="E31" s="68" t="b">
        <v>1</v>
      </c>
      <c r="F31" s="68" t="b">
        <v>1</v>
      </c>
      <c r="G31" s="69">
        <v>0</v>
      </c>
      <c r="H31" s="70" cm="1">
        <f t="array" aca="1" ref="H31" ca="1">_xlfn.MAP(OFFSET($D31,-1,0),OFFSET($P31,-1,0),$C31,$D31,$F31,$P31,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1" s="70" t="b" cm="1">
        <f t="array" ref="I31">_xlfn.MAP($N31,_xlfn.LAMBDA(_xlpm.hasIncomeCredit,_xlpm.hasIncomeCredit&gt;0))</f>
        <v>0</v>
      </c>
      <c r="J31" s="69" cm="1">
        <f t="array" aca="1" ref="J31" ca="1">_xlfn.MAP(OFFSET($O31,-1,0),$E31,$G31,$B31,$H31,$O31,_xlfn.LAMBDA(_xlpm.prevIB,_xlpm.isAnniversary,_xlpm.anniversaryCv,_xlpm.purchasePayments,_xlpm.wdPenaltyMult,_xlpm.incomeBase,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1" s="69" cm="1">
        <f t="array" aca="1" ref="K31" ca="1">_xlfn.MAP($A31,$J31,_xlfn.LAMBDA(_xlpm.payPeriod,_xlpm.incomeBaseRaw, _xlpm.incomeBaseRaw-OFFSET(_xlpm.incomeBaseRaw,-1*IF(_xlpm.payPeriod&gt;0,1,0),0)))</f>
        <v>0</v>
      </c>
      <c r="L31" s="69" cm="1">
        <f t="array" aca="1" ref="L31" ca="1">_xlfn.MAP(OFFSET($L31,-1,0),$B31,$E31,$G31,$H31,$F31,$I31,$L31,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1" s="69" cm="1">
        <f t="array" aca="1" ref="M31" ca="1">_xlfn.MAP(OFFSET($L31,-1,0),$A31,$L31,$F31,$E31,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1" s="69" cm="1">
        <f t="array" ref="N31">_xlfn.MAP($E31,$F31,$K31,$M31,_xlfn.LAMBDA(_xlpm.isAnniversary,_xlpm.isActivated,_xlpm.incomeBaseDelta,_xlpm.incomeCredit,IF(AND(_xlpm.isAnniversary,NOT(_xlpm.isActivated)),MAX(0,_xlpm.incomeCredit-_xlpm.incomeBaseDelta),0)))</f>
        <v>0</v>
      </c>
      <c r="O31" s="69" cm="1">
        <f t="array" aca="1" ref="O31" ca="1">_xlfn.MAP($J31,$N31,_xlfn.LAMBDA(_xlpm.IncomeBaseRaw,_xlpm.IncomeBaseAdjustment,_xlpm.IncomeBaseRaw+_xlpm.IncomeBaseAdjustment))</f>
        <v>299982.06191463495</v>
      </c>
      <c r="P31" s="71" cm="1">
        <f t="array" ref="P31">_xlfn.MAP($D31,$O31,_xlfn.LAMBDA(_xlpm.cv,_xlpm.incomeBase,IF(_xlpm.cv&gt;0,_xlpm.incomeBase*MawRate,0)))</f>
        <v>0</v>
      </c>
      <c r="Q31" s="72" cm="1">
        <f t="array" aca="1" ref="Q31" ca="1">_xlfn.MAP($D31,$O31,_xlfn.LAMBDA(_xlpm.cv,_xlpm.incomeBase,IF(_xlpm.cv=0,pipRate*_xlpm.incomeBase,0)))</f>
        <v>11999.282476585398</v>
      </c>
      <c r="S31" s="15">
        <f t="shared" ca="1" si="0"/>
        <v>0</v>
      </c>
      <c r="T31" s="82">
        <f t="shared" si="1"/>
        <v>11</v>
      </c>
      <c r="U31" s="83">
        <v>0</v>
      </c>
      <c r="V31" s="83">
        <v>0</v>
      </c>
      <c r="W31" s="77">
        <v>0</v>
      </c>
      <c r="X31" s="84">
        <v>0</v>
      </c>
      <c r="Y31" s="83">
        <v>299982</v>
      </c>
      <c r="Z31" s="85">
        <v>0</v>
      </c>
      <c r="AA31" s="85">
        <v>0</v>
      </c>
      <c r="AB31" s="83">
        <v>0</v>
      </c>
      <c r="AC31" s="86">
        <v>11999</v>
      </c>
    </row>
  </sheetData>
  <conditionalFormatting sqref="H9:H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1" priority="1" operator="not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6F24-6E8A-417D-B464-74E43133E3EE}">
  <dimension ref="A8:R31"/>
  <sheetViews>
    <sheetView topLeftCell="A7" workbookViewId="0">
      <selection activeCell="J9" sqref="J9"/>
    </sheetView>
  </sheetViews>
  <sheetFormatPr defaultRowHeight="15" x14ac:dyDescent="0.25"/>
  <cols>
    <col min="1" max="1" width="12.28515625" customWidth="1"/>
    <col min="10" max="10" width="20.42578125" bestFit="1" customWidth="1"/>
    <col min="15" max="15" width="13.28515625" bestFit="1" customWidth="1"/>
    <col min="16" max="16" width="18" bestFit="1" customWidth="1"/>
    <col min="17" max="17" width="19" bestFit="1" customWidth="1"/>
  </cols>
  <sheetData>
    <row r="8" spans="1:18" ht="46.5" x14ac:dyDescent="0.35">
      <c r="A8" s="58" t="s">
        <v>11</v>
      </c>
      <c r="B8" s="59" t="s">
        <v>12</v>
      </c>
      <c r="C8" s="59" t="s">
        <v>26</v>
      </c>
      <c r="D8" s="59" t="s">
        <v>7</v>
      </c>
      <c r="F8" s="87" t="s">
        <v>31</v>
      </c>
      <c r="H8" s="87" t="s">
        <v>33</v>
      </c>
      <c r="J8" s="119" t="s">
        <v>32</v>
      </c>
      <c r="K8" s="119"/>
      <c r="L8" s="119"/>
      <c r="M8" s="119"/>
    </row>
    <row r="9" spans="1:18" ht="19.5" customHeight="1" x14ac:dyDescent="0.25">
      <c r="A9" s="61" cm="1">
        <f t="array" ref="A9:A31">_xlfn.ANCHORARRAY('Calculation D - MAPS'!A9)</f>
        <v>0</v>
      </c>
      <c r="B9" s="38" cm="1">
        <f t="array" ref="B9:B31">_xlfn.ANCHORARRAY('Calculation D - MAPS'!B9)</f>
        <v>100000</v>
      </c>
      <c r="C9" s="38" cm="1">
        <f t="array" ref="C9:C31">_xlfn.ANCHORARRAY('Calculation D - MAPS'!C9)</f>
        <v>0</v>
      </c>
      <c r="D9" s="38" cm="1">
        <f t="array" ref="D9:D31">_xlfn.ANCHORARRAY('Calculation D - MAPS'!D9)</f>
        <v>100000</v>
      </c>
      <c r="F9" cm="1">
        <f t="array" ref="F9:F31">_xlfn.SCAN(100,_xlfn.ANCHORARRAY(A9),_xlfn.LAMBDA(_xlpm.ACC,_xlpm.PREVIOUS,_xlpm.ACC+2*_xlpm.PREVIOUS))</f>
        <v>100</v>
      </c>
      <c r="H9" cm="1">
        <f t="array" ref="H9:H31">_xlfn.LET(_xlpm.initValue,0,
     _xlpm.array1,_xlfn.ANCHORARRAY(D9),
     _xlpm.array2,_xlfn.ANCHORARRAY(C9),
     _xlpm.function,_xlfn.LAMBDA(_xlpm.x,_xlpm.y,_xlpm.z,_xlpm.x+_xlpm.y+_xlpm.z),
     _xlpm.closure, _xlfn.MAP(_xlpm.array1,_xlpm.array2,
                  _xlfn.LAMBDA(_xlpm.a,_xlpm.b,
                         _xlfn.LAMBDA(_xlpm.c,_xlpm.function(_xlpm.a,_xlpm.b,_xlpm.c)))),
     _xlpm.processSeries,_xlfn.LAMBDA(_xlpm.prevValue,_xlpm.func,_xlpm.func(_xlpm.prevValue)),
     _xlfn.SCAN(_xlpm.initValue,_xlpm.closure,_xlpm.processSeries))</f>
        <v>100000</v>
      </c>
      <c r="J9" s="4" t="str" cm="1">
        <f t="array" ref="J9:J31">_xlfn.SCAN(_xlfn.TEXTJOIN(",",FALSE,1,2,3),_xlfn.MAP(_xlfn.ANCHORARRAY($B$9),_xlfn.ANCHORARRAY($C$9),_xlfn.ANCHORARRAY($D$9),_xlfn.LAMBDA(_xlpm.a,_xlpm.b,_xlpm.c,_xlfn.LAMBDA(_xlpm.x,
  _xlfn.LET(_xlpm.arr,_xlfn.TEXTSPLIT(_xlpm.x,","),
      _xlpm.v1_,VALUE(_xlfn.TAKE(_xlpm.arr,1,1)),
      _xlpm.v2_,VALUE(_xlfn.DROP(_xlfn.TAKE(_xlpm.arr,1,2),0,1)),
      _xlpm.v3_,VALUE(_xlfn.DROP(_xlpm.arr,0,2)),
      _xlfn.TEXTJOIN(",",TRUE,_xlfn.VALUETOTEXT(_xlpm.v1_+_xlpm.a),_xlfn.VALUETOTEXT(_xlpm.v2_+_xlpm.b),_xlfn.VALUETOTEXT(_xlpm.v3_+_xlpm.c))
     )))),_xlfn.LAMBDA(_xlpm.prevIcb,_xlpm.func,_xlpm.func(_xlpm.prevIcb)))</f>
        <v>100001,2,100003</v>
      </c>
      <c r="K9" s="4" t="str" cm="1">
        <f t="array" ref="K9:M9">_xlfn.TEXTSPLIT(J9,",")</f>
        <v>100001</v>
      </c>
      <c r="L9" s="4" t="str">
        <v>2</v>
      </c>
      <c r="M9" s="4" t="str">
        <v>100003</v>
      </c>
      <c r="O9" s="89"/>
      <c r="P9" s="90"/>
      <c r="Q9" s="90"/>
    </row>
    <row r="10" spans="1:18" x14ac:dyDescent="0.25">
      <c r="A10" s="45">
        <v>0.5</v>
      </c>
      <c r="B10" s="38">
        <v>60000</v>
      </c>
      <c r="C10" s="38">
        <v>0</v>
      </c>
      <c r="D10" s="38">
        <v>165000</v>
      </c>
      <c r="F10">
        <v>101</v>
      </c>
      <c r="H10">
        <v>265000</v>
      </c>
      <c r="J10" t="str">
        <v>160001,2,265003</v>
      </c>
      <c r="K10" s="4" t="str" cm="1">
        <f t="array" ref="K10:M10">_xlfn.TEXTSPLIT(J10,",")</f>
        <v>160001</v>
      </c>
      <c r="L10" s="4" t="str">
        <v>2</v>
      </c>
      <c r="M10" s="4" t="str">
        <v>265003</v>
      </c>
      <c r="O10" s="90"/>
      <c r="P10" s="90"/>
      <c r="Q10" s="90"/>
    </row>
    <row r="11" spans="1:18" x14ac:dyDescent="0.25">
      <c r="A11" s="61">
        <v>1</v>
      </c>
      <c r="B11" s="38">
        <v>0</v>
      </c>
      <c r="C11" s="38">
        <v>0</v>
      </c>
      <c r="D11" s="38">
        <v>170000</v>
      </c>
      <c r="F11">
        <v>103</v>
      </c>
      <c r="H11">
        <v>435000</v>
      </c>
      <c r="J11" t="str">
        <v>160001,2,435003</v>
      </c>
      <c r="K11" s="4" t="str" cm="1">
        <f t="array" ref="K11:M11">_xlfn.TEXTSPLIT(J11,",")</f>
        <v>160001</v>
      </c>
      <c r="L11" s="4" t="str">
        <v>2</v>
      </c>
      <c r="M11" s="4" t="str">
        <v>435003</v>
      </c>
      <c r="O11" s="90"/>
      <c r="P11" s="90"/>
      <c r="Q11" s="90"/>
      <c r="R11" s="88"/>
    </row>
    <row r="12" spans="1:18" x14ac:dyDescent="0.25">
      <c r="A12" s="45">
        <v>1.5</v>
      </c>
      <c r="B12" s="38">
        <v>90000</v>
      </c>
      <c r="C12" s="38">
        <v>0</v>
      </c>
      <c r="D12" s="38">
        <v>255000</v>
      </c>
      <c r="F12">
        <v>106</v>
      </c>
      <c r="H12">
        <v>690000</v>
      </c>
      <c r="J12" t="str">
        <v>250001,2,690003</v>
      </c>
      <c r="K12" s="4" t="str" cm="1">
        <f t="array" ref="K12:M12">_xlfn.TEXTSPLIT(J12,",")</f>
        <v>250001</v>
      </c>
      <c r="L12" s="4" t="str">
        <v>2</v>
      </c>
      <c r="M12" s="4" t="str">
        <v>690003</v>
      </c>
      <c r="O12" s="90"/>
      <c r="P12" s="90"/>
      <c r="Q12" s="90"/>
    </row>
    <row r="13" spans="1:18" x14ac:dyDescent="0.25">
      <c r="A13" s="61">
        <v>2</v>
      </c>
      <c r="B13" s="38">
        <v>0</v>
      </c>
      <c r="C13" s="38">
        <v>0</v>
      </c>
      <c r="D13" s="38">
        <v>287000</v>
      </c>
      <c r="F13">
        <v>110</v>
      </c>
      <c r="H13">
        <v>977000</v>
      </c>
      <c r="J13" t="str">
        <v>250001,2,977003</v>
      </c>
      <c r="K13" s="4" t="str" cm="1">
        <f t="array" ref="K13:M13">_xlfn.TEXTSPLIT(J13,",")</f>
        <v>250001</v>
      </c>
      <c r="L13" s="4" t="str">
        <v>2</v>
      </c>
      <c r="M13" s="4" t="str">
        <v>977003</v>
      </c>
      <c r="O13" s="90"/>
      <c r="P13" s="90"/>
      <c r="Q13" s="90"/>
    </row>
    <row r="14" spans="1:18" x14ac:dyDescent="0.25">
      <c r="A14" s="45">
        <v>2.5</v>
      </c>
      <c r="B14" s="38">
        <v>0</v>
      </c>
      <c r="C14" s="38">
        <v>0</v>
      </c>
      <c r="D14" s="38">
        <v>287000</v>
      </c>
      <c r="F14">
        <v>115</v>
      </c>
      <c r="H14">
        <v>1264000</v>
      </c>
      <c r="J14" t="str">
        <v>250001,2,1264003</v>
      </c>
      <c r="K14" s="4" t="str" cm="1">
        <f t="array" ref="K14:M14">_xlfn.TEXTSPLIT(J14,",")</f>
        <v>250001</v>
      </c>
      <c r="L14" s="4" t="str">
        <v>2</v>
      </c>
      <c r="M14" s="4" t="str">
        <v>1264003</v>
      </c>
      <c r="O14" s="90"/>
      <c r="P14" s="90"/>
      <c r="Q14" s="90"/>
    </row>
    <row r="15" spans="1:18" x14ac:dyDescent="0.25">
      <c r="A15" s="61">
        <v>3</v>
      </c>
      <c r="B15" s="38">
        <v>0</v>
      </c>
      <c r="C15" s="38">
        <v>0</v>
      </c>
      <c r="D15" s="38">
        <v>300000</v>
      </c>
      <c r="F15">
        <v>121</v>
      </c>
      <c r="H15">
        <v>1564000</v>
      </c>
      <c r="J15" t="str">
        <v>250001,2,1564003</v>
      </c>
      <c r="K15" s="4" t="str" cm="1">
        <f t="array" ref="K15:M15">_xlfn.TEXTSPLIT(J15,",")</f>
        <v>250001</v>
      </c>
      <c r="L15" s="4" t="str">
        <v>2</v>
      </c>
      <c r="M15" s="4" t="str">
        <v>1564003</v>
      </c>
      <c r="O15" s="90"/>
      <c r="P15" s="90"/>
      <c r="Q15" s="90"/>
    </row>
    <row r="16" spans="1:18" x14ac:dyDescent="0.25">
      <c r="A16" s="45">
        <v>3.5</v>
      </c>
      <c r="B16" s="38">
        <v>0</v>
      </c>
      <c r="C16" s="38">
        <v>5000</v>
      </c>
      <c r="D16" s="38">
        <v>305000</v>
      </c>
      <c r="F16">
        <v>128</v>
      </c>
      <c r="H16">
        <v>1874000</v>
      </c>
      <c r="J16" t="str">
        <v>250001,5002,1869003</v>
      </c>
      <c r="K16" s="4" t="str" cm="1">
        <f t="array" ref="K16:M16">_xlfn.TEXTSPLIT(J16,",")</f>
        <v>250001</v>
      </c>
      <c r="L16" s="4" t="str">
        <v>5002</v>
      </c>
      <c r="M16" s="4" t="str">
        <v>1869003</v>
      </c>
      <c r="O16" s="90"/>
      <c r="P16" s="90"/>
      <c r="Q16" s="90"/>
    </row>
    <row r="17" spans="1:17" x14ac:dyDescent="0.25">
      <c r="A17" s="61">
        <v>4</v>
      </c>
      <c r="B17" s="38">
        <v>0</v>
      </c>
      <c r="C17" s="38">
        <v>0</v>
      </c>
      <c r="D17" s="38">
        <v>312000</v>
      </c>
      <c r="F17">
        <v>136</v>
      </c>
      <c r="H17">
        <v>2186000</v>
      </c>
      <c r="J17" t="str">
        <v>250001,5002,2181003</v>
      </c>
      <c r="K17" s="4" t="str" cm="1">
        <f t="array" ref="K17:M17">_xlfn.TEXTSPLIT(J17,",")</f>
        <v>250001</v>
      </c>
      <c r="L17" s="4" t="str">
        <v>5002</v>
      </c>
      <c r="M17" s="4" t="str">
        <v>2181003</v>
      </c>
      <c r="O17" s="90"/>
      <c r="P17" s="90"/>
      <c r="Q17" s="90"/>
    </row>
    <row r="18" spans="1:17" x14ac:dyDescent="0.25">
      <c r="A18" s="45">
        <v>4.5</v>
      </c>
      <c r="B18" s="38">
        <v>0</v>
      </c>
      <c r="C18" s="38">
        <v>19500</v>
      </c>
      <c r="D18" s="38">
        <v>302000</v>
      </c>
      <c r="F18">
        <v>145</v>
      </c>
      <c r="H18">
        <v>2507500</v>
      </c>
      <c r="J18" t="str">
        <v>250001,24502,2483003</v>
      </c>
      <c r="K18" s="4" t="str" cm="1">
        <f t="array" ref="K18:M18">_xlfn.TEXTSPLIT(J18,",")</f>
        <v>250001</v>
      </c>
      <c r="L18" s="4" t="str">
        <v>24502</v>
      </c>
      <c r="M18" s="4" t="str">
        <v>2483003</v>
      </c>
      <c r="O18" s="90"/>
      <c r="P18" s="90"/>
      <c r="Q18" s="90"/>
    </row>
    <row r="19" spans="1:17" x14ac:dyDescent="0.25">
      <c r="A19" s="61">
        <v>5</v>
      </c>
      <c r="B19" s="38">
        <v>0</v>
      </c>
      <c r="C19" s="38">
        <v>0</v>
      </c>
      <c r="D19" s="38">
        <v>305000</v>
      </c>
      <c r="F19">
        <v>155</v>
      </c>
      <c r="H19">
        <v>2812500</v>
      </c>
      <c r="J19" t="str">
        <v>250001,24502,2788003</v>
      </c>
      <c r="K19" s="4" t="str" cm="1">
        <f t="array" ref="K19:M19">_xlfn.TEXTSPLIT(J19,",")</f>
        <v>250001</v>
      </c>
      <c r="L19" s="4" t="str">
        <v>24502</v>
      </c>
      <c r="M19" s="4" t="str">
        <v>2788003</v>
      </c>
      <c r="O19" s="90"/>
      <c r="P19" s="90"/>
      <c r="Q19" s="90"/>
    </row>
    <row r="20" spans="1:17" x14ac:dyDescent="0.25">
      <c r="A20" s="45">
        <v>5.5</v>
      </c>
      <c r="B20" s="38">
        <v>0</v>
      </c>
      <c r="C20" s="38">
        <v>24960</v>
      </c>
      <c r="D20" s="38">
        <v>280000</v>
      </c>
      <c r="F20">
        <v>166</v>
      </c>
      <c r="H20">
        <v>3117460</v>
      </c>
      <c r="J20" t="str">
        <v>250001,49462,3068003</v>
      </c>
      <c r="K20" s="4" t="str" cm="1">
        <f t="array" ref="K20:M20">_xlfn.TEXTSPLIT(J20,",")</f>
        <v>250001</v>
      </c>
      <c r="L20" s="4" t="str">
        <v>49462</v>
      </c>
      <c r="M20" s="4" t="str">
        <v>3068003</v>
      </c>
      <c r="O20" s="90"/>
      <c r="P20" s="90"/>
      <c r="Q20" s="90"/>
    </row>
    <row r="21" spans="1:17" x14ac:dyDescent="0.25">
      <c r="A21" s="61">
        <v>6</v>
      </c>
      <c r="B21" s="38">
        <v>0</v>
      </c>
      <c r="C21" s="38">
        <v>0</v>
      </c>
      <c r="D21" s="38">
        <v>290000</v>
      </c>
      <c r="F21">
        <v>178</v>
      </c>
      <c r="H21">
        <v>3407460</v>
      </c>
      <c r="J21" t="str">
        <v>250001,49462,3358003</v>
      </c>
      <c r="K21" s="4" t="str" cm="1">
        <f t="array" ref="K21:M21">_xlfn.TEXTSPLIT(J21,",")</f>
        <v>250001</v>
      </c>
      <c r="L21" s="4" t="str">
        <v>49462</v>
      </c>
      <c r="M21" s="4" t="str">
        <v>3358003</v>
      </c>
      <c r="O21" s="90"/>
      <c r="P21" s="90"/>
      <c r="Q21" s="90"/>
    </row>
    <row r="22" spans="1:17" x14ac:dyDescent="0.25">
      <c r="A22" s="45">
        <v>6.5</v>
      </c>
      <c r="B22" s="38">
        <v>0</v>
      </c>
      <c r="C22" s="38">
        <v>24483</v>
      </c>
      <c r="D22" s="38">
        <v>260000</v>
      </c>
      <c r="F22">
        <v>191</v>
      </c>
      <c r="H22">
        <v>3691943</v>
      </c>
      <c r="J22" t="str">
        <v>250001,73945,3618003</v>
      </c>
      <c r="K22" s="4" t="str" cm="1">
        <f t="array" ref="K22:M22">_xlfn.TEXTSPLIT(J22,",")</f>
        <v>250001</v>
      </c>
      <c r="L22" s="4" t="str">
        <v>73945</v>
      </c>
      <c r="M22" s="4" t="str">
        <v>3618003</v>
      </c>
      <c r="O22" s="90"/>
      <c r="P22" s="90"/>
      <c r="Q22" s="90"/>
    </row>
    <row r="23" spans="1:17" x14ac:dyDescent="0.25">
      <c r="A23" s="61">
        <v>7</v>
      </c>
      <c r="B23" s="38">
        <v>0</v>
      </c>
      <c r="C23" s="38">
        <v>0</v>
      </c>
      <c r="D23" s="38">
        <v>230000</v>
      </c>
      <c r="F23">
        <v>205</v>
      </c>
      <c r="H23">
        <v>3921943</v>
      </c>
      <c r="J23" t="str">
        <v>250001,73945,3848003</v>
      </c>
      <c r="K23" s="4" t="str" cm="1">
        <f t="array" ref="K23:M23">_xlfn.TEXTSPLIT(J23,",")</f>
        <v>250001</v>
      </c>
      <c r="L23" s="4" t="str">
        <v>73945</v>
      </c>
      <c r="M23" s="4" t="str">
        <v>3848003</v>
      </c>
      <c r="O23" s="90"/>
      <c r="P23" s="90"/>
      <c r="Q23" s="90"/>
    </row>
    <row r="24" spans="1:17" x14ac:dyDescent="0.25">
      <c r="A24" s="45">
        <v>7.5</v>
      </c>
      <c r="B24" s="38">
        <v>0</v>
      </c>
      <c r="C24" s="38">
        <v>0</v>
      </c>
      <c r="D24" s="38">
        <v>230000</v>
      </c>
      <c r="F24">
        <v>220</v>
      </c>
      <c r="H24">
        <v>4151943</v>
      </c>
      <c r="J24" t="str">
        <v>250001,73945,4078003</v>
      </c>
      <c r="K24" s="4" t="str" cm="1">
        <f t="array" ref="K24:M24">_xlfn.TEXTSPLIT(J24,",")</f>
        <v>250001</v>
      </c>
      <c r="L24" s="4" t="str">
        <v>73945</v>
      </c>
      <c r="M24" s="4" t="str">
        <v>4078003</v>
      </c>
      <c r="O24" s="90"/>
      <c r="P24" s="90"/>
      <c r="Q24" s="90"/>
    </row>
    <row r="25" spans="1:17" x14ac:dyDescent="0.25">
      <c r="A25" s="61">
        <v>8</v>
      </c>
      <c r="B25" s="38">
        <v>0</v>
      </c>
      <c r="C25" s="38">
        <v>0</v>
      </c>
      <c r="D25" s="38">
        <v>150000</v>
      </c>
      <c r="F25">
        <v>236</v>
      </c>
      <c r="H25">
        <v>4301943</v>
      </c>
      <c r="J25" t="str">
        <v>250001,73945,4228003</v>
      </c>
      <c r="K25" s="4" t="str" cm="1">
        <f t="array" ref="K25:M25">_xlfn.TEXTSPLIT(J25,",")</f>
        <v>250001</v>
      </c>
      <c r="L25" s="4" t="str">
        <v>73945</v>
      </c>
      <c r="M25" s="4" t="str">
        <v>4228003</v>
      </c>
      <c r="O25" s="90"/>
      <c r="P25" s="90"/>
      <c r="Q25" s="90"/>
    </row>
    <row r="26" spans="1:17" x14ac:dyDescent="0.25">
      <c r="A26" s="45">
        <v>8.5</v>
      </c>
      <c r="B26" s="38">
        <v>0</v>
      </c>
      <c r="C26" s="38">
        <v>0</v>
      </c>
      <c r="D26" s="38">
        <v>150000</v>
      </c>
      <c r="F26">
        <v>253</v>
      </c>
      <c r="H26">
        <v>4451943</v>
      </c>
      <c r="J26" t="str">
        <v>250001,73945,4378003</v>
      </c>
      <c r="K26" s="4" t="str" cm="1">
        <f t="array" ref="K26:M26">_xlfn.TEXTSPLIT(J26,",")</f>
        <v>250001</v>
      </c>
      <c r="L26" s="4" t="str">
        <v>73945</v>
      </c>
      <c r="M26" s="4" t="str">
        <v>4378003</v>
      </c>
      <c r="O26" s="90"/>
      <c r="P26" s="90"/>
      <c r="Q26" s="90"/>
    </row>
    <row r="27" spans="1:17" x14ac:dyDescent="0.25">
      <c r="A27" s="61">
        <v>9</v>
      </c>
      <c r="B27" s="38">
        <v>0</v>
      </c>
      <c r="C27" s="38">
        <v>0</v>
      </c>
      <c r="D27" s="38">
        <v>100000</v>
      </c>
      <c r="F27">
        <v>271</v>
      </c>
      <c r="H27">
        <v>4551943</v>
      </c>
      <c r="J27" t="str">
        <v>250001,73945,4478003</v>
      </c>
      <c r="K27" s="4" t="str" cm="1">
        <f t="array" ref="K27:M27">_xlfn.TEXTSPLIT(J27,",")</f>
        <v>250001</v>
      </c>
      <c r="L27" s="4" t="str">
        <v>73945</v>
      </c>
      <c r="M27" s="4" t="str">
        <v>4478003</v>
      </c>
      <c r="O27" s="90"/>
      <c r="P27" s="90"/>
      <c r="Q27" s="90"/>
    </row>
    <row r="28" spans="1:17" x14ac:dyDescent="0.25">
      <c r="A28" s="45">
        <v>9.5</v>
      </c>
      <c r="B28" s="38">
        <v>0</v>
      </c>
      <c r="C28" s="38">
        <v>0</v>
      </c>
      <c r="D28" s="38">
        <v>100000</v>
      </c>
      <c r="F28">
        <v>290</v>
      </c>
      <c r="H28">
        <v>4651943</v>
      </c>
      <c r="J28" t="str">
        <v>250001,73945,4578003</v>
      </c>
      <c r="K28" s="4" t="str" cm="1">
        <f t="array" ref="K28:M28">_xlfn.TEXTSPLIT(J28,",")</f>
        <v>250001</v>
      </c>
      <c r="L28" s="4" t="str">
        <v>73945</v>
      </c>
      <c r="M28" s="4" t="str">
        <v>4578003</v>
      </c>
      <c r="O28" s="90"/>
      <c r="P28" s="90"/>
      <c r="Q28" s="90"/>
    </row>
    <row r="29" spans="1:17" x14ac:dyDescent="0.25">
      <c r="A29" s="61">
        <v>10</v>
      </c>
      <c r="B29" s="38">
        <v>0</v>
      </c>
      <c r="C29" s="38">
        <v>0</v>
      </c>
      <c r="D29" s="38">
        <v>50000</v>
      </c>
      <c r="F29">
        <v>310</v>
      </c>
      <c r="H29">
        <v>4701943</v>
      </c>
      <c r="J29" t="str">
        <v>250001,73945,4628003</v>
      </c>
      <c r="K29" s="4" t="str" cm="1">
        <f t="array" ref="K29:M29">_xlfn.TEXTSPLIT(J29,",")</f>
        <v>250001</v>
      </c>
      <c r="L29" s="4" t="str">
        <v>73945</v>
      </c>
      <c r="M29" s="4" t="str">
        <v>4628003</v>
      </c>
      <c r="O29" s="90"/>
      <c r="P29" s="90"/>
      <c r="Q29" s="90"/>
    </row>
    <row r="30" spans="1:17" x14ac:dyDescent="0.25">
      <c r="A30" s="45">
        <v>10.5</v>
      </c>
      <c r="B30" s="38">
        <v>0</v>
      </c>
      <c r="C30" s="38">
        <v>0</v>
      </c>
      <c r="D30" s="38">
        <v>50000</v>
      </c>
      <c r="F30">
        <v>331</v>
      </c>
      <c r="H30">
        <v>4751943</v>
      </c>
      <c r="J30" t="str">
        <v>250001,73945,4678003</v>
      </c>
      <c r="K30" s="4" t="str" cm="1">
        <f t="array" ref="K30:M30">_xlfn.TEXTSPLIT(J30,",")</f>
        <v>250001</v>
      </c>
      <c r="L30" s="4" t="str">
        <v>73945</v>
      </c>
      <c r="M30" s="4" t="str">
        <v>4678003</v>
      </c>
      <c r="O30" s="90"/>
      <c r="P30" s="90"/>
      <c r="Q30" s="90"/>
    </row>
    <row r="31" spans="1:17" x14ac:dyDescent="0.25">
      <c r="A31" s="67">
        <v>11</v>
      </c>
      <c r="B31" s="52">
        <v>0</v>
      </c>
      <c r="C31" s="52">
        <v>0</v>
      </c>
      <c r="D31" s="52">
        <v>0</v>
      </c>
      <c r="F31">
        <v>353</v>
      </c>
      <c r="H31">
        <v>4751943</v>
      </c>
      <c r="J31" t="str">
        <v>250001,73945,4678003</v>
      </c>
      <c r="K31" s="4" t="str" cm="1">
        <f t="array" ref="K31:M31">_xlfn.TEXTSPLIT(J31,",")</f>
        <v>250001</v>
      </c>
      <c r="L31" s="4" t="str">
        <v>73945</v>
      </c>
      <c r="M31" s="4" t="str">
        <v>4678003</v>
      </c>
      <c r="O31" s="90"/>
      <c r="P31" s="90"/>
      <c r="Q31" s="90"/>
    </row>
  </sheetData>
  <mergeCells count="1">
    <mergeCell ref="J8:M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4F86-00F0-411F-A5E0-027A463F0046}">
  <sheetPr>
    <tabColor theme="9" tint="-0.249977111117893"/>
  </sheetPr>
  <dimension ref="A4:Y31"/>
  <sheetViews>
    <sheetView tabSelected="1" topLeftCell="I4" zoomScale="110" zoomScaleNormal="110" workbookViewId="0">
      <selection activeCell="L10" sqref="L10"/>
    </sheetView>
  </sheetViews>
  <sheetFormatPr defaultColWidth="20.5703125" defaultRowHeight="15" x14ac:dyDescent="0.25"/>
  <cols>
    <col min="3" max="3" width="17" customWidth="1"/>
    <col min="4" max="4" width="25" customWidth="1"/>
    <col min="5" max="5" width="15.28515625" customWidth="1"/>
    <col min="6" max="6" width="13.28515625" customWidth="1"/>
    <col min="7" max="7" width="12.7109375" customWidth="1"/>
    <col min="8" max="8" width="14.42578125" customWidth="1"/>
    <col min="9" max="9" width="22.42578125" customWidth="1"/>
    <col min="10" max="10" width="15" customWidth="1"/>
    <col min="11" max="11" width="13.85546875" customWidth="1"/>
    <col min="12" max="12" width="23.5703125" customWidth="1"/>
    <col min="13" max="13" width="15.7109375" customWidth="1"/>
  </cols>
  <sheetData>
    <row r="4" spans="1:25" x14ac:dyDescent="0.25">
      <c r="A4" t="s">
        <v>36</v>
      </c>
      <c r="B4" s="110" t="s">
        <v>37</v>
      </c>
    </row>
    <row r="8" spans="1:25" ht="54.75" customHeight="1" thickBot="1" x14ac:dyDescent="0.3">
      <c r="A8" s="91" t="s">
        <v>11</v>
      </c>
      <c r="B8" s="92" t="s">
        <v>12</v>
      </c>
      <c r="C8" s="92" t="s">
        <v>26</v>
      </c>
      <c r="D8" s="92" t="s">
        <v>7</v>
      </c>
      <c r="E8" s="92" t="s">
        <v>13</v>
      </c>
      <c r="F8" s="92" t="s">
        <v>14</v>
      </c>
      <c r="G8" s="92" t="str" cm="1">
        <f t="array" ref="G8:L8">{"INCOME BASE","INCOME CREDIT BASE","Maximum Annual Withdrawal Amount upon Activation","Withdrawal Penalty","Income Base Adjustment","Income Credit"}</f>
        <v>INCOME BASE</v>
      </c>
      <c r="H8" s="92" t="str">
        <v>INCOME CREDIT BASE</v>
      </c>
      <c r="I8" s="92" t="str">
        <v>Maximum Annual Withdrawal Amount upon Activation</v>
      </c>
      <c r="J8" s="92" t="str">
        <v>Withdrawal Penalty</v>
      </c>
      <c r="K8" s="92" t="str">
        <v>Income Base Adjustment</v>
      </c>
      <c r="L8" s="92" t="str">
        <v>Income Credit</v>
      </c>
      <c r="M8" s="93" t="s">
        <v>10</v>
      </c>
      <c r="O8" s="10" t="s">
        <v>19</v>
      </c>
      <c r="P8" s="73" t="s">
        <v>11</v>
      </c>
      <c r="Q8" s="74" t="s">
        <v>12</v>
      </c>
      <c r="R8" s="74" t="s">
        <v>26</v>
      </c>
      <c r="S8" s="74" t="s">
        <v>30</v>
      </c>
      <c r="T8" s="74" t="s">
        <v>8</v>
      </c>
      <c r="U8" s="74" t="s">
        <v>9</v>
      </c>
      <c r="V8" s="74" t="s">
        <v>4</v>
      </c>
      <c r="W8" s="74" t="s">
        <v>5</v>
      </c>
      <c r="X8" s="74" t="s">
        <v>3</v>
      </c>
      <c r="Y8" s="75" t="s">
        <v>10</v>
      </c>
    </row>
    <row r="9" spans="1:25" x14ac:dyDescent="0.25">
      <c r="A9" s="111" cm="1">
        <f t="array" ref="A9:A31">_xlfn.SEQUENCE(Periods,,0,1/2)</f>
        <v>0</v>
      </c>
      <c r="B9" s="112" cm="1">
        <f t="array" ref="B9:B31">AnswersDyn[Purchase Payments]</f>
        <v>100000</v>
      </c>
      <c r="C9" s="112" cm="1">
        <f t="array" ref="C9:C31">AnswersDyn[Withdrawal Taken]</f>
        <v>0</v>
      </c>
      <c r="D9" s="112" cm="1">
        <f t="array" ref="D9:D31">AnswersDyn[Assumed Contract Value]</f>
        <v>100000</v>
      </c>
      <c r="E9" s="94" t="b" cm="1">
        <f t="array" ref="E9:E31">VA.IsAnniversary(_xlfn.ANCHORARRAY(A9))</f>
        <v>1</v>
      </c>
      <c r="F9" s="94" t="b" cm="1">
        <f t="array" ref="F9:F31">VA.IsActivated(_xlfn.ANCHORARRAY(A9),ActivationPeriod)</f>
        <v>0</v>
      </c>
      <c r="G9" s="98" cm="1">
        <f t="array" ref="G9:L31">_xlfn.DROP(Utils.MultiSCAN({100000,100000,100000,0},
      _xlfn.HSTACK(_xlfn.ANCHORARRAY($A9),_xlfn.ANCHORARRAY($C9),_xlfn.ANCHORARRAY( $D$9),_xlfn.ANCHORARRAY( $E9),_xlfn.ANCHORARRAY( $F9),_xlfn.ANCHORARRAY( $B9),_xlfn.SEQUENCE(Periods,,MawRate,0)),VA.MawStack),0,1)</f>
        <v>100000</v>
      </c>
      <c r="H9" s="98">
        <v>100000</v>
      </c>
      <c r="I9" s="98">
        <v>6250</v>
      </c>
      <c r="J9" s="102">
        <v>1</v>
      </c>
      <c r="K9" s="98">
        <v>0</v>
      </c>
      <c r="L9" s="98">
        <v>0</v>
      </c>
      <c r="M9" s="106" cm="1">
        <f t="array" ref="M9:M31">_xlfn.MAP(_xlfn.ANCHORARRAY($D$9),_xlfn.CHOOSECOLS(_xlfn.ANCHORARRAY($G$9),1),_xlfn.SEQUENCE(Periods,,pipRate,0),VA.ProtectedIncomePayment)</f>
        <v>0</v>
      </c>
      <c r="O9" s="15">
        <f t="shared" ref="O9:O14" si="0">TRUNC(SUM(G9,H9,I9,L9,M9)-SUM(U9:Y9),0)</f>
        <v>0</v>
      </c>
      <c r="P9" s="76">
        <v>0</v>
      </c>
      <c r="Q9" s="77">
        <v>100000</v>
      </c>
      <c r="R9" s="77">
        <v>0</v>
      </c>
      <c r="S9" s="77">
        <v>100000</v>
      </c>
      <c r="T9" s="78">
        <v>0</v>
      </c>
      <c r="U9" s="77">
        <v>100000</v>
      </c>
      <c r="V9" s="77">
        <v>100000</v>
      </c>
      <c r="W9" s="77">
        <v>0</v>
      </c>
      <c r="X9" s="77">
        <v>6250</v>
      </c>
      <c r="Y9" s="79">
        <v>0</v>
      </c>
    </row>
    <row r="10" spans="1:25" x14ac:dyDescent="0.25">
      <c r="A10" s="113">
        <v>0.5</v>
      </c>
      <c r="B10" s="114">
        <v>60000</v>
      </c>
      <c r="C10" s="114">
        <v>0</v>
      </c>
      <c r="D10" s="114">
        <v>165000</v>
      </c>
      <c r="E10" s="95" t="b">
        <v>0</v>
      </c>
      <c r="F10" s="95" t="b">
        <v>0</v>
      </c>
      <c r="G10" s="99">
        <v>160000</v>
      </c>
      <c r="H10" s="99">
        <v>160000</v>
      </c>
      <c r="I10" s="99">
        <v>10000</v>
      </c>
      <c r="J10" s="103">
        <v>1</v>
      </c>
      <c r="K10" s="99">
        <v>0</v>
      </c>
      <c r="L10" s="99">
        <v>0</v>
      </c>
      <c r="M10" s="107">
        <v>0</v>
      </c>
      <c r="O10" s="15">
        <f t="shared" si="0"/>
        <v>0</v>
      </c>
      <c r="P10" s="76">
        <f>P9+0.5</f>
        <v>0.5</v>
      </c>
      <c r="Q10" s="77">
        <v>60000</v>
      </c>
      <c r="R10" s="77">
        <v>0</v>
      </c>
      <c r="S10" s="77">
        <v>165000</v>
      </c>
      <c r="T10" s="78">
        <v>0</v>
      </c>
      <c r="U10" s="77">
        <v>160000</v>
      </c>
      <c r="V10" s="77">
        <v>160000</v>
      </c>
      <c r="W10" s="77">
        <v>0</v>
      </c>
      <c r="X10" s="77">
        <v>10000</v>
      </c>
      <c r="Y10" s="79">
        <v>0</v>
      </c>
    </row>
    <row r="11" spans="1:25" x14ac:dyDescent="0.25">
      <c r="A11" s="115">
        <v>1</v>
      </c>
      <c r="B11" s="116">
        <v>0</v>
      </c>
      <c r="C11" s="116">
        <v>0</v>
      </c>
      <c r="D11" s="116">
        <v>170000</v>
      </c>
      <c r="E11" s="96" t="b">
        <v>1</v>
      </c>
      <c r="F11" s="96" t="b">
        <v>0</v>
      </c>
      <c r="G11" s="100">
        <v>170000</v>
      </c>
      <c r="H11" s="100">
        <v>170000</v>
      </c>
      <c r="I11" s="100">
        <v>10625</v>
      </c>
      <c r="J11" s="104">
        <v>1</v>
      </c>
      <c r="K11" s="100">
        <v>0</v>
      </c>
      <c r="L11" s="100">
        <v>8400</v>
      </c>
      <c r="M11" s="108">
        <v>0</v>
      </c>
      <c r="O11" s="15">
        <f t="shared" si="0"/>
        <v>0</v>
      </c>
      <c r="P11" s="76">
        <f t="shared" ref="P11:P31" si="1">P10+0.5</f>
        <v>1</v>
      </c>
      <c r="Q11" s="77">
        <v>0</v>
      </c>
      <c r="R11" s="77">
        <v>0</v>
      </c>
      <c r="S11" s="77">
        <v>170000</v>
      </c>
      <c r="T11" s="78">
        <v>170000</v>
      </c>
      <c r="U11" s="77">
        <v>170000</v>
      </c>
      <c r="V11" s="77">
        <v>170000</v>
      </c>
      <c r="W11" s="77">
        <v>8400</v>
      </c>
      <c r="X11" s="77">
        <v>10625</v>
      </c>
      <c r="Y11" s="79">
        <v>0</v>
      </c>
    </row>
    <row r="12" spans="1:25" x14ac:dyDescent="0.25">
      <c r="A12" s="113">
        <v>1.5</v>
      </c>
      <c r="B12" s="114">
        <v>90000</v>
      </c>
      <c r="C12" s="114">
        <v>0</v>
      </c>
      <c r="D12" s="114">
        <v>255000</v>
      </c>
      <c r="E12" s="95" t="b">
        <v>0</v>
      </c>
      <c r="F12" s="95" t="b">
        <v>0</v>
      </c>
      <c r="G12" s="99">
        <v>260000</v>
      </c>
      <c r="H12" s="99">
        <v>260000</v>
      </c>
      <c r="I12" s="99">
        <v>16250</v>
      </c>
      <c r="J12" s="103">
        <v>1</v>
      </c>
      <c r="K12" s="99">
        <v>0</v>
      </c>
      <c r="L12" s="99">
        <v>0</v>
      </c>
      <c r="M12" s="107">
        <v>0</v>
      </c>
      <c r="O12" s="15">
        <f t="shared" si="0"/>
        <v>0</v>
      </c>
      <c r="P12" s="76">
        <f t="shared" si="1"/>
        <v>1.5</v>
      </c>
      <c r="Q12" s="77">
        <v>90000</v>
      </c>
      <c r="R12" s="77">
        <v>0</v>
      </c>
      <c r="S12" s="77">
        <v>255000</v>
      </c>
      <c r="T12" s="78">
        <v>0</v>
      </c>
      <c r="U12" s="77">
        <v>260000</v>
      </c>
      <c r="V12" s="77">
        <v>260000</v>
      </c>
      <c r="W12" s="77">
        <v>0</v>
      </c>
      <c r="X12" s="77">
        <v>16250</v>
      </c>
      <c r="Y12" s="79">
        <v>0</v>
      </c>
    </row>
    <row r="13" spans="1:25" x14ac:dyDescent="0.25">
      <c r="A13" s="115">
        <v>2</v>
      </c>
      <c r="B13" s="116">
        <v>0</v>
      </c>
      <c r="C13" s="116">
        <v>0</v>
      </c>
      <c r="D13" s="116">
        <v>287000</v>
      </c>
      <c r="E13" s="96" t="b">
        <v>1</v>
      </c>
      <c r="F13" s="96" t="b">
        <v>0</v>
      </c>
      <c r="G13" s="100">
        <v>287000</v>
      </c>
      <c r="H13" s="100">
        <v>287000</v>
      </c>
      <c r="I13" s="100">
        <v>17937.5</v>
      </c>
      <c r="J13" s="104">
        <v>1</v>
      </c>
      <c r="K13" s="100">
        <v>0</v>
      </c>
      <c r="L13" s="100">
        <v>13650</v>
      </c>
      <c r="M13" s="108">
        <v>0</v>
      </c>
      <c r="O13" s="15">
        <f t="shared" si="0"/>
        <v>0</v>
      </c>
      <c r="P13" s="76">
        <f t="shared" si="1"/>
        <v>2</v>
      </c>
      <c r="Q13" s="77">
        <v>0</v>
      </c>
      <c r="R13" s="77">
        <v>0</v>
      </c>
      <c r="S13" s="77">
        <v>287000</v>
      </c>
      <c r="T13" s="78">
        <v>287000</v>
      </c>
      <c r="U13" s="77">
        <v>287000</v>
      </c>
      <c r="V13" s="77">
        <v>287000</v>
      </c>
      <c r="W13" s="77">
        <v>13650</v>
      </c>
      <c r="X13" s="77">
        <v>17938</v>
      </c>
      <c r="Y13" s="79">
        <v>0</v>
      </c>
    </row>
    <row r="14" spans="1:25" x14ac:dyDescent="0.25">
      <c r="A14" s="113">
        <v>2.5</v>
      </c>
      <c r="B14" s="114">
        <v>0</v>
      </c>
      <c r="C14" s="114">
        <v>0</v>
      </c>
      <c r="D14" s="114">
        <v>287000</v>
      </c>
      <c r="E14" s="95" t="b">
        <v>0</v>
      </c>
      <c r="F14" s="95" t="b">
        <v>0</v>
      </c>
      <c r="G14" s="99">
        <v>287000</v>
      </c>
      <c r="H14" s="99">
        <v>287000</v>
      </c>
      <c r="I14" s="99">
        <v>17937.5</v>
      </c>
      <c r="J14" s="103">
        <v>1</v>
      </c>
      <c r="K14" s="99">
        <v>0</v>
      </c>
      <c r="L14" s="99">
        <v>0</v>
      </c>
      <c r="M14" s="107">
        <v>0</v>
      </c>
      <c r="O14" s="15">
        <f t="shared" si="0"/>
        <v>0</v>
      </c>
      <c r="P14" s="76">
        <f t="shared" si="1"/>
        <v>2.5</v>
      </c>
      <c r="Q14" s="77">
        <v>0</v>
      </c>
      <c r="R14" s="77">
        <v>0</v>
      </c>
      <c r="S14" s="77">
        <v>287000</v>
      </c>
      <c r="T14" s="80">
        <v>0</v>
      </c>
      <c r="U14" s="77">
        <v>287000</v>
      </c>
      <c r="V14" s="77">
        <v>287000</v>
      </c>
      <c r="W14" s="77">
        <v>0</v>
      </c>
      <c r="X14" s="77">
        <v>17938</v>
      </c>
      <c r="Y14" s="79">
        <v>0</v>
      </c>
    </row>
    <row r="15" spans="1:25" x14ac:dyDescent="0.25">
      <c r="A15" s="115">
        <v>3</v>
      </c>
      <c r="B15" s="116">
        <v>0</v>
      </c>
      <c r="C15" s="116">
        <v>0</v>
      </c>
      <c r="D15" s="116">
        <v>300000</v>
      </c>
      <c r="E15" s="96" t="b">
        <v>1</v>
      </c>
      <c r="F15" s="96" t="b">
        <v>0</v>
      </c>
      <c r="G15" s="100">
        <v>302067.5</v>
      </c>
      <c r="H15" s="100">
        <v>287000</v>
      </c>
      <c r="I15" s="100">
        <v>18879.21875</v>
      </c>
      <c r="J15" s="104">
        <v>1</v>
      </c>
      <c r="K15" s="100">
        <v>2067.5</v>
      </c>
      <c r="L15" s="100">
        <v>15067.5</v>
      </c>
      <c r="M15" s="108">
        <v>0</v>
      </c>
      <c r="O15" s="15">
        <f>TRUNC(SUM(G15,H15,I15,L15,M15)-SUM(U15:Y15),0)</f>
        <v>0</v>
      </c>
      <c r="P15" s="76">
        <f t="shared" si="1"/>
        <v>3</v>
      </c>
      <c r="Q15" s="77">
        <v>0</v>
      </c>
      <c r="R15" s="77">
        <v>0</v>
      </c>
      <c r="S15" s="77">
        <v>300000</v>
      </c>
      <c r="T15" s="78">
        <v>300000</v>
      </c>
      <c r="U15" s="77">
        <v>302068</v>
      </c>
      <c r="V15" s="77">
        <v>287000</v>
      </c>
      <c r="W15" s="77">
        <v>15068</v>
      </c>
      <c r="X15" s="77">
        <v>18879</v>
      </c>
      <c r="Y15" s="79">
        <v>0</v>
      </c>
    </row>
    <row r="16" spans="1:25" x14ac:dyDescent="0.25">
      <c r="A16" s="113">
        <v>3.5</v>
      </c>
      <c r="B16" s="114">
        <v>0</v>
      </c>
      <c r="C16" s="114">
        <v>5000</v>
      </c>
      <c r="D16" s="114">
        <v>305000</v>
      </c>
      <c r="E16" s="95" t="b">
        <v>0</v>
      </c>
      <c r="F16" s="95" t="b">
        <v>0</v>
      </c>
      <c r="G16" s="99">
        <v>297115.57377049181</v>
      </c>
      <c r="H16" s="99">
        <v>282295.08196721313</v>
      </c>
      <c r="I16" s="99">
        <v>18569.723360655738</v>
      </c>
      <c r="J16" s="103">
        <v>0.98360655737704916</v>
      </c>
      <c r="K16" s="99">
        <v>0</v>
      </c>
      <c r="L16" s="99">
        <v>0</v>
      </c>
      <c r="M16" s="107">
        <v>0</v>
      </c>
      <c r="O16" s="15">
        <f t="shared" ref="O16:O31" si="2">TRUNC(SUM(G16,H16,I16,L16,M16)-SUM(U16:Y16),0)</f>
        <v>0</v>
      </c>
      <c r="P16" s="76">
        <f t="shared" si="1"/>
        <v>3.5</v>
      </c>
      <c r="Q16" s="77">
        <v>0</v>
      </c>
      <c r="R16" s="77">
        <v>5000</v>
      </c>
      <c r="S16" s="77">
        <v>305000</v>
      </c>
      <c r="T16" s="78">
        <v>0</v>
      </c>
      <c r="U16" s="77">
        <v>297116</v>
      </c>
      <c r="V16" s="77">
        <v>282295</v>
      </c>
      <c r="W16" s="77">
        <v>0</v>
      </c>
      <c r="X16" s="77">
        <v>18570</v>
      </c>
      <c r="Y16" s="79">
        <v>0</v>
      </c>
    </row>
    <row r="17" spans="1:25" x14ac:dyDescent="0.25">
      <c r="A17" s="115">
        <v>4</v>
      </c>
      <c r="B17" s="116">
        <v>0</v>
      </c>
      <c r="C17" s="116">
        <v>0</v>
      </c>
      <c r="D17" s="116">
        <v>312000</v>
      </c>
      <c r="E17" s="96" t="b">
        <v>1</v>
      </c>
      <c r="F17" s="96" t="b">
        <v>0</v>
      </c>
      <c r="G17" s="100">
        <v>312000</v>
      </c>
      <c r="H17" s="100">
        <v>312000</v>
      </c>
      <c r="I17" s="100">
        <v>19500</v>
      </c>
      <c r="J17" s="104">
        <v>1</v>
      </c>
      <c r="K17" s="100">
        <v>0</v>
      </c>
      <c r="L17" s="100">
        <v>14820.491803278688</v>
      </c>
      <c r="M17" s="108">
        <v>0</v>
      </c>
      <c r="O17" s="15">
        <f t="shared" si="2"/>
        <v>0</v>
      </c>
      <c r="P17" s="76">
        <f t="shared" si="1"/>
        <v>4</v>
      </c>
      <c r="Q17" s="77">
        <v>0</v>
      </c>
      <c r="R17" s="77">
        <v>0</v>
      </c>
      <c r="S17" s="77">
        <v>312000</v>
      </c>
      <c r="T17" s="78">
        <v>312000</v>
      </c>
      <c r="U17" s="77">
        <v>312000</v>
      </c>
      <c r="V17" s="77">
        <v>312000</v>
      </c>
      <c r="W17" s="77">
        <v>14820</v>
      </c>
      <c r="X17" s="77">
        <v>19500</v>
      </c>
      <c r="Y17" s="79">
        <v>0</v>
      </c>
    </row>
    <row r="18" spans="1:25" x14ac:dyDescent="0.25">
      <c r="A18" s="113">
        <v>4.5</v>
      </c>
      <c r="B18" s="114">
        <v>0</v>
      </c>
      <c r="C18" s="114">
        <v>19500</v>
      </c>
      <c r="D18" s="114">
        <v>302000</v>
      </c>
      <c r="E18" s="95" t="b">
        <v>0</v>
      </c>
      <c r="F18" s="95" t="b">
        <v>1</v>
      </c>
      <c r="G18" s="99">
        <v>312000</v>
      </c>
      <c r="H18" s="99">
        <v>0</v>
      </c>
      <c r="I18" s="99">
        <v>19500</v>
      </c>
      <c r="J18" s="103">
        <v>1</v>
      </c>
      <c r="K18" s="99">
        <v>0</v>
      </c>
      <c r="L18" s="99">
        <v>0</v>
      </c>
      <c r="M18" s="107">
        <v>0</v>
      </c>
      <c r="O18" s="15">
        <f t="shared" si="2"/>
        <v>0</v>
      </c>
      <c r="P18" s="76">
        <f t="shared" si="1"/>
        <v>4.5</v>
      </c>
      <c r="Q18" s="77">
        <v>0</v>
      </c>
      <c r="R18" s="77">
        <v>19500</v>
      </c>
      <c r="S18" s="77">
        <v>302000</v>
      </c>
      <c r="T18" s="80">
        <v>0</v>
      </c>
      <c r="U18" s="77">
        <v>312000</v>
      </c>
      <c r="V18" s="81">
        <v>0</v>
      </c>
      <c r="W18" s="81">
        <v>0</v>
      </c>
      <c r="X18" s="77">
        <v>19500</v>
      </c>
      <c r="Y18" s="79">
        <v>0</v>
      </c>
    </row>
    <row r="19" spans="1:25" x14ac:dyDescent="0.25">
      <c r="A19" s="115">
        <v>5</v>
      </c>
      <c r="B19" s="116">
        <v>0</v>
      </c>
      <c r="C19" s="116">
        <v>0</v>
      </c>
      <c r="D19" s="116">
        <v>305000</v>
      </c>
      <c r="E19" s="96" t="b">
        <v>1</v>
      </c>
      <c r="F19" s="96" t="b">
        <v>1</v>
      </c>
      <c r="G19" s="100">
        <v>312000</v>
      </c>
      <c r="H19" s="100">
        <v>0</v>
      </c>
      <c r="I19" s="100">
        <v>19500</v>
      </c>
      <c r="J19" s="104">
        <v>1</v>
      </c>
      <c r="K19" s="100">
        <v>0</v>
      </c>
      <c r="L19" s="100">
        <v>0</v>
      </c>
      <c r="M19" s="108">
        <v>0</v>
      </c>
      <c r="O19" s="15">
        <f t="shared" si="2"/>
        <v>0</v>
      </c>
      <c r="P19" s="76">
        <f t="shared" si="1"/>
        <v>5</v>
      </c>
      <c r="Q19" s="77">
        <v>0</v>
      </c>
      <c r="R19" s="77">
        <v>0</v>
      </c>
      <c r="S19" s="77">
        <v>305000</v>
      </c>
      <c r="T19" s="78">
        <v>305000</v>
      </c>
      <c r="U19" s="77">
        <v>312000</v>
      </c>
      <c r="V19" s="81">
        <v>0</v>
      </c>
      <c r="W19" s="81">
        <v>0</v>
      </c>
      <c r="X19" s="77">
        <v>19500</v>
      </c>
      <c r="Y19" s="79">
        <v>0</v>
      </c>
    </row>
    <row r="20" spans="1:25" x14ac:dyDescent="0.25">
      <c r="A20" s="113">
        <v>5.5</v>
      </c>
      <c r="B20" s="114">
        <v>0</v>
      </c>
      <c r="C20" s="114">
        <v>24960</v>
      </c>
      <c r="D20" s="114">
        <v>280000</v>
      </c>
      <c r="E20" s="95" t="b">
        <v>0</v>
      </c>
      <c r="F20" s="95" t="b">
        <v>1</v>
      </c>
      <c r="G20" s="99">
        <v>306033.20490367775</v>
      </c>
      <c r="H20" s="99">
        <v>0</v>
      </c>
      <c r="I20" s="99">
        <v>19127.075306479859</v>
      </c>
      <c r="J20" s="103">
        <v>0.98087565674255695</v>
      </c>
      <c r="K20" s="99">
        <v>0</v>
      </c>
      <c r="L20" s="99">
        <v>0</v>
      </c>
      <c r="M20" s="107">
        <v>0</v>
      </c>
      <c r="O20" s="15">
        <f t="shared" si="2"/>
        <v>0</v>
      </c>
      <c r="P20" s="76">
        <f t="shared" si="1"/>
        <v>5.5</v>
      </c>
      <c r="Q20" s="77">
        <v>0</v>
      </c>
      <c r="R20" s="77">
        <v>24960</v>
      </c>
      <c r="S20" s="77">
        <v>280000</v>
      </c>
      <c r="T20" s="78">
        <v>0</v>
      </c>
      <c r="U20" s="77">
        <v>306033</v>
      </c>
      <c r="V20" s="81">
        <v>0</v>
      </c>
      <c r="W20" s="81">
        <v>0</v>
      </c>
      <c r="X20" s="77">
        <v>19127</v>
      </c>
      <c r="Y20" s="79">
        <v>0</v>
      </c>
    </row>
    <row r="21" spans="1:25" x14ac:dyDescent="0.25">
      <c r="A21" s="115">
        <v>6</v>
      </c>
      <c r="B21" s="116">
        <v>0</v>
      </c>
      <c r="C21" s="116">
        <v>0</v>
      </c>
      <c r="D21" s="116">
        <v>290000</v>
      </c>
      <c r="E21" s="96" t="b">
        <v>1</v>
      </c>
      <c r="F21" s="96" t="b">
        <v>1</v>
      </c>
      <c r="G21" s="100">
        <v>306033.20490367775</v>
      </c>
      <c r="H21" s="100">
        <v>0</v>
      </c>
      <c r="I21" s="100">
        <v>19127.075306479859</v>
      </c>
      <c r="J21" s="104">
        <v>1</v>
      </c>
      <c r="K21" s="100">
        <v>0</v>
      </c>
      <c r="L21" s="100">
        <v>0</v>
      </c>
      <c r="M21" s="108">
        <v>0</v>
      </c>
      <c r="O21" s="15">
        <f t="shared" si="2"/>
        <v>0</v>
      </c>
      <c r="P21" s="76">
        <f t="shared" si="1"/>
        <v>6</v>
      </c>
      <c r="Q21" s="77">
        <v>0</v>
      </c>
      <c r="R21" s="77">
        <v>0</v>
      </c>
      <c r="S21" s="77">
        <v>290000</v>
      </c>
      <c r="T21" s="78">
        <v>290000</v>
      </c>
      <c r="U21" s="77">
        <v>306033</v>
      </c>
      <c r="V21" s="81">
        <v>0</v>
      </c>
      <c r="W21" s="81">
        <v>0</v>
      </c>
      <c r="X21" s="77">
        <v>19127</v>
      </c>
      <c r="Y21" s="79">
        <v>0</v>
      </c>
    </row>
    <row r="22" spans="1:25" x14ac:dyDescent="0.25">
      <c r="A22" s="113">
        <v>6.5</v>
      </c>
      <c r="B22" s="114">
        <v>0</v>
      </c>
      <c r="C22" s="114">
        <v>24483</v>
      </c>
      <c r="D22" s="114">
        <v>260000</v>
      </c>
      <c r="E22" s="95" t="b">
        <v>0</v>
      </c>
      <c r="F22" s="95" t="b">
        <v>1</v>
      </c>
      <c r="G22" s="99">
        <v>299982.06191463495</v>
      </c>
      <c r="H22" s="99">
        <v>0</v>
      </c>
      <c r="I22" s="99">
        <v>18748.878869664684</v>
      </c>
      <c r="J22" s="103">
        <v>0.98022716851608516</v>
      </c>
      <c r="K22" s="99">
        <v>0</v>
      </c>
      <c r="L22" s="99">
        <v>0</v>
      </c>
      <c r="M22" s="107">
        <v>0</v>
      </c>
      <c r="O22" s="15">
        <f t="shared" si="2"/>
        <v>0</v>
      </c>
      <c r="P22" s="76">
        <f t="shared" si="1"/>
        <v>6.5</v>
      </c>
      <c r="Q22" s="77">
        <v>0</v>
      </c>
      <c r="R22" s="77">
        <v>24483</v>
      </c>
      <c r="S22" s="77">
        <v>260000</v>
      </c>
      <c r="T22" s="78">
        <v>0</v>
      </c>
      <c r="U22" s="77">
        <v>299982</v>
      </c>
      <c r="V22" s="81">
        <v>0</v>
      </c>
      <c r="W22" s="81">
        <v>0</v>
      </c>
      <c r="X22" s="77">
        <v>18749</v>
      </c>
      <c r="Y22" s="79">
        <v>0</v>
      </c>
    </row>
    <row r="23" spans="1:25" x14ac:dyDescent="0.25">
      <c r="A23" s="115">
        <v>7</v>
      </c>
      <c r="B23" s="116">
        <v>0</v>
      </c>
      <c r="C23" s="116">
        <v>0</v>
      </c>
      <c r="D23" s="116">
        <v>230000</v>
      </c>
      <c r="E23" s="96" t="b">
        <v>1</v>
      </c>
      <c r="F23" s="96" t="b">
        <v>1</v>
      </c>
      <c r="G23" s="100">
        <v>299982.06191463495</v>
      </c>
      <c r="H23" s="100">
        <v>0</v>
      </c>
      <c r="I23" s="100">
        <v>18748.878869664684</v>
      </c>
      <c r="J23" s="104">
        <v>1</v>
      </c>
      <c r="K23" s="100">
        <v>0</v>
      </c>
      <c r="L23" s="100">
        <v>0</v>
      </c>
      <c r="M23" s="108">
        <v>0</v>
      </c>
      <c r="O23" s="15">
        <f t="shared" si="2"/>
        <v>0</v>
      </c>
      <c r="P23" s="76">
        <f t="shared" si="1"/>
        <v>7</v>
      </c>
      <c r="Q23" s="77">
        <v>0</v>
      </c>
      <c r="R23" s="77">
        <v>0</v>
      </c>
      <c r="S23" s="77">
        <v>230000</v>
      </c>
      <c r="T23" s="78">
        <v>230000</v>
      </c>
      <c r="U23" s="77">
        <v>299982</v>
      </c>
      <c r="V23" s="81">
        <v>0</v>
      </c>
      <c r="W23" s="81">
        <v>0</v>
      </c>
      <c r="X23" s="77">
        <v>18749</v>
      </c>
      <c r="Y23" s="79">
        <v>0</v>
      </c>
    </row>
    <row r="24" spans="1:25" x14ac:dyDescent="0.25">
      <c r="A24" s="113">
        <v>7.5</v>
      </c>
      <c r="B24" s="114">
        <v>0</v>
      </c>
      <c r="C24" s="114">
        <v>0</v>
      </c>
      <c r="D24" s="114">
        <v>230000</v>
      </c>
      <c r="E24" s="95" t="b">
        <v>0</v>
      </c>
      <c r="F24" s="95" t="b">
        <v>1</v>
      </c>
      <c r="G24" s="99">
        <v>299982.06191463495</v>
      </c>
      <c r="H24" s="99">
        <v>0</v>
      </c>
      <c r="I24" s="99">
        <v>18748.878869664684</v>
      </c>
      <c r="J24" s="103">
        <v>1</v>
      </c>
      <c r="K24" s="99">
        <v>0</v>
      </c>
      <c r="L24" s="99">
        <v>0</v>
      </c>
      <c r="M24" s="107">
        <v>0</v>
      </c>
      <c r="O24" s="15">
        <f t="shared" si="2"/>
        <v>0</v>
      </c>
      <c r="P24" s="76">
        <f t="shared" si="1"/>
        <v>7.5</v>
      </c>
      <c r="Q24" s="77">
        <v>0</v>
      </c>
      <c r="R24" s="77">
        <v>0</v>
      </c>
      <c r="S24" s="77">
        <v>230000</v>
      </c>
      <c r="T24" s="80">
        <v>0</v>
      </c>
      <c r="U24" s="77">
        <v>299982</v>
      </c>
      <c r="V24" s="81">
        <v>0</v>
      </c>
      <c r="W24" s="81">
        <v>0</v>
      </c>
      <c r="X24" s="77">
        <v>18749</v>
      </c>
      <c r="Y24" s="79">
        <v>0</v>
      </c>
    </row>
    <row r="25" spans="1:25" x14ac:dyDescent="0.25">
      <c r="A25" s="115">
        <v>8</v>
      </c>
      <c r="B25" s="116">
        <v>0</v>
      </c>
      <c r="C25" s="116">
        <v>0</v>
      </c>
      <c r="D25" s="116">
        <v>150000</v>
      </c>
      <c r="E25" s="96" t="b">
        <v>1</v>
      </c>
      <c r="F25" s="96" t="b">
        <v>1</v>
      </c>
      <c r="G25" s="100">
        <v>299982.06191463495</v>
      </c>
      <c r="H25" s="100">
        <v>0</v>
      </c>
      <c r="I25" s="100">
        <v>18748.878869664684</v>
      </c>
      <c r="J25" s="104">
        <v>1</v>
      </c>
      <c r="K25" s="100">
        <v>0</v>
      </c>
      <c r="L25" s="100">
        <v>0</v>
      </c>
      <c r="M25" s="108">
        <v>0</v>
      </c>
      <c r="O25" s="15">
        <f t="shared" si="2"/>
        <v>0</v>
      </c>
      <c r="P25" s="76">
        <f t="shared" si="1"/>
        <v>8</v>
      </c>
      <c r="Q25" s="77">
        <v>0</v>
      </c>
      <c r="R25" s="77">
        <v>0</v>
      </c>
      <c r="S25" s="77">
        <v>150000</v>
      </c>
      <c r="T25" s="78">
        <v>150000</v>
      </c>
      <c r="U25" s="77">
        <v>299982</v>
      </c>
      <c r="V25" s="81">
        <v>0</v>
      </c>
      <c r="W25" s="81">
        <v>0</v>
      </c>
      <c r="X25" s="77">
        <v>18749</v>
      </c>
      <c r="Y25" s="79">
        <v>0</v>
      </c>
    </row>
    <row r="26" spans="1:25" x14ac:dyDescent="0.25">
      <c r="A26" s="113">
        <v>8.5</v>
      </c>
      <c r="B26" s="114">
        <v>0</v>
      </c>
      <c r="C26" s="114">
        <v>0</v>
      </c>
      <c r="D26" s="114">
        <v>150000</v>
      </c>
      <c r="E26" s="95" t="b">
        <v>0</v>
      </c>
      <c r="F26" s="95" t="b">
        <v>1</v>
      </c>
      <c r="G26" s="99">
        <v>299982.06191463495</v>
      </c>
      <c r="H26" s="99">
        <v>0</v>
      </c>
      <c r="I26" s="99">
        <v>18748.878869664684</v>
      </c>
      <c r="J26" s="103">
        <v>1</v>
      </c>
      <c r="K26" s="99">
        <v>0</v>
      </c>
      <c r="L26" s="99">
        <v>0</v>
      </c>
      <c r="M26" s="107">
        <v>0</v>
      </c>
      <c r="O26" s="15">
        <f t="shared" si="2"/>
        <v>0</v>
      </c>
      <c r="P26" s="76">
        <f t="shared" si="1"/>
        <v>8.5</v>
      </c>
      <c r="Q26" s="77">
        <v>0</v>
      </c>
      <c r="R26" s="77">
        <v>0</v>
      </c>
      <c r="S26" s="77">
        <v>150000</v>
      </c>
      <c r="T26" s="80">
        <v>0</v>
      </c>
      <c r="U26" s="77">
        <v>299982</v>
      </c>
      <c r="V26" s="81">
        <v>0</v>
      </c>
      <c r="W26" s="81">
        <v>0</v>
      </c>
      <c r="X26" s="77">
        <v>18749</v>
      </c>
      <c r="Y26" s="79">
        <v>0</v>
      </c>
    </row>
    <row r="27" spans="1:25" x14ac:dyDescent="0.25">
      <c r="A27" s="115">
        <v>9</v>
      </c>
      <c r="B27" s="116">
        <v>0</v>
      </c>
      <c r="C27" s="116">
        <v>0</v>
      </c>
      <c r="D27" s="116">
        <v>100000</v>
      </c>
      <c r="E27" s="96" t="b">
        <v>1</v>
      </c>
      <c r="F27" s="96" t="b">
        <v>1</v>
      </c>
      <c r="G27" s="100">
        <v>299982.06191463495</v>
      </c>
      <c r="H27" s="100">
        <v>0</v>
      </c>
      <c r="I27" s="100">
        <v>18748.878869664684</v>
      </c>
      <c r="J27" s="104">
        <v>1</v>
      </c>
      <c r="K27" s="100">
        <v>0</v>
      </c>
      <c r="L27" s="100">
        <v>0</v>
      </c>
      <c r="M27" s="108">
        <v>0</v>
      </c>
      <c r="O27" s="15">
        <f t="shared" si="2"/>
        <v>0</v>
      </c>
      <c r="P27" s="76">
        <f t="shared" si="1"/>
        <v>9</v>
      </c>
      <c r="Q27" s="77">
        <v>0</v>
      </c>
      <c r="R27" s="77">
        <v>0</v>
      </c>
      <c r="S27" s="77">
        <v>100000</v>
      </c>
      <c r="T27" s="78">
        <v>100000</v>
      </c>
      <c r="U27" s="77">
        <v>299982</v>
      </c>
      <c r="V27" s="81">
        <v>0</v>
      </c>
      <c r="W27" s="81">
        <v>0</v>
      </c>
      <c r="X27" s="77">
        <v>18749</v>
      </c>
      <c r="Y27" s="79">
        <v>0</v>
      </c>
    </row>
    <row r="28" spans="1:25" x14ac:dyDescent="0.25">
      <c r="A28" s="113">
        <v>9.5</v>
      </c>
      <c r="B28" s="114">
        <v>0</v>
      </c>
      <c r="C28" s="114">
        <v>0</v>
      </c>
      <c r="D28" s="114">
        <v>100000</v>
      </c>
      <c r="E28" s="95" t="b">
        <v>0</v>
      </c>
      <c r="F28" s="95" t="b">
        <v>1</v>
      </c>
      <c r="G28" s="99">
        <v>299982.06191463495</v>
      </c>
      <c r="H28" s="99">
        <v>0</v>
      </c>
      <c r="I28" s="99">
        <v>18748.878869664684</v>
      </c>
      <c r="J28" s="103">
        <v>1</v>
      </c>
      <c r="K28" s="99">
        <v>0</v>
      </c>
      <c r="L28" s="99">
        <v>0</v>
      </c>
      <c r="M28" s="107">
        <v>0</v>
      </c>
      <c r="O28" s="15">
        <f t="shared" si="2"/>
        <v>0</v>
      </c>
      <c r="P28" s="76">
        <f t="shared" si="1"/>
        <v>9.5</v>
      </c>
      <c r="Q28" s="77">
        <v>0</v>
      </c>
      <c r="R28" s="77">
        <v>0</v>
      </c>
      <c r="S28" s="77">
        <v>100000</v>
      </c>
      <c r="T28" s="80">
        <v>0</v>
      </c>
      <c r="U28" s="77">
        <v>299982</v>
      </c>
      <c r="V28" s="81">
        <v>0</v>
      </c>
      <c r="W28" s="81">
        <v>0</v>
      </c>
      <c r="X28" s="77">
        <v>18749</v>
      </c>
      <c r="Y28" s="79">
        <v>0</v>
      </c>
    </row>
    <row r="29" spans="1:25" x14ac:dyDescent="0.25">
      <c r="A29" s="115">
        <v>10</v>
      </c>
      <c r="B29" s="116">
        <v>0</v>
      </c>
      <c r="C29" s="116">
        <v>0</v>
      </c>
      <c r="D29" s="116">
        <v>50000</v>
      </c>
      <c r="E29" s="96" t="b">
        <v>1</v>
      </c>
      <c r="F29" s="96" t="b">
        <v>1</v>
      </c>
      <c r="G29" s="100">
        <v>299982.06191463495</v>
      </c>
      <c r="H29" s="100">
        <v>0</v>
      </c>
      <c r="I29" s="100">
        <v>18748.878869664684</v>
      </c>
      <c r="J29" s="104">
        <v>1</v>
      </c>
      <c r="K29" s="100">
        <v>0</v>
      </c>
      <c r="L29" s="100">
        <v>0</v>
      </c>
      <c r="M29" s="108">
        <v>0</v>
      </c>
      <c r="O29" s="15">
        <f t="shared" si="2"/>
        <v>0</v>
      </c>
      <c r="P29" s="76">
        <f t="shared" si="1"/>
        <v>10</v>
      </c>
      <c r="Q29" s="77">
        <v>0</v>
      </c>
      <c r="R29" s="77">
        <v>0</v>
      </c>
      <c r="S29" s="77">
        <v>50000</v>
      </c>
      <c r="T29" s="78">
        <v>50000</v>
      </c>
      <c r="U29" s="77">
        <v>299982</v>
      </c>
      <c r="V29" s="81">
        <v>0</v>
      </c>
      <c r="W29" s="81">
        <v>0</v>
      </c>
      <c r="X29" s="77">
        <v>18749</v>
      </c>
      <c r="Y29" s="79">
        <v>0</v>
      </c>
    </row>
    <row r="30" spans="1:25" x14ac:dyDescent="0.25">
      <c r="A30" s="113">
        <v>10.5</v>
      </c>
      <c r="B30" s="114">
        <v>0</v>
      </c>
      <c r="C30" s="114">
        <v>0</v>
      </c>
      <c r="D30" s="114">
        <v>50000</v>
      </c>
      <c r="E30" s="95" t="b">
        <v>0</v>
      </c>
      <c r="F30" s="95" t="b">
        <v>1</v>
      </c>
      <c r="G30" s="99">
        <v>299982.06191463495</v>
      </c>
      <c r="H30" s="99">
        <v>0</v>
      </c>
      <c r="I30" s="99">
        <v>18748.878869664684</v>
      </c>
      <c r="J30" s="103">
        <v>1</v>
      </c>
      <c r="K30" s="99">
        <v>0</v>
      </c>
      <c r="L30" s="99">
        <v>0</v>
      </c>
      <c r="M30" s="107">
        <v>0</v>
      </c>
      <c r="O30" s="15">
        <f t="shared" si="2"/>
        <v>0</v>
      </c>
      <c r="P30" s="76">
        <f t="shared" si="1"/>
        <v>10.5</v>
      </c>
      <c r="Q30" s="77">
        <v>0</v>
      </c>
      <c r="R30" s="77">
        <v>0</v>
      </c>
      <c r="S30" s="77">
        <v>50000</v>
      </c>
      <c r="T30" s="80">
        <v>0</v>
      </c>
      <c r="U30" s="77">
        <v>299982</v>
      </c>
      <c r="V30" s="81">
        <v>0</v>
      </c>
      <c r="W30" s="81">
        <v>0</v>
      </c>
      <c r="X30" s="77">
        <v>18749</v>
      </c>
      <c r="Y30" s="79">
        <v>0</v>
      </c>
    </row>
    <row r="31" spans="1:25" ht="15.75" thickBot="1" x14ac:dyDescent="0.3">
      <c r="A31" s="117">
        <v>11</v>
      </c>
      <c r="B31" s="118">
        <v>0</v>
      </c>
      <c r="C31" s="118">
        <v>0</v>
      </c>
      <c r="D31" s="118">
        <v>0</v>
      </c>
      <c r="E31" s="97" t="b">
        <v>1</v>
      </c>
      <c r="F31" s="97" t="b">
        <v>1</v>
      </c>
      <c r="G31" s="101">
        <v>299982.06191463495</v>
      </c>
      <c r="H31" s="101">
        <v>0</v>
      </c>
      <c r="I31" s="101">
        <v>0</v>
      </c>
      <c r="J31" s="105">
        <v>1</v>
      </c>
      <c r="K31" s="101">
        <v>0</v>
      </c>
      <c r="L31" s="101">
        <v>0</v>
      </c>
      <c r="M31" s="109">
        <v>11999.282476585398</v>
      </c>
      <c r="O31" s="15">
        <f t="shared" si="2"/>
        <v>0</v>
      </c>
      <c r="P31" s="82">
        <f t="shared" si="1"/>
        <v>11</v>
      </c>
      <c r="Q31" s="83">
        <v>0</v>
      </c>
      <c r="R31" s="83">
        <v>0</v>
      </c>
      <c r="S31" s="77">
        <v>0</v>
      </c>
      <c r="T31" s="84">
        <v>0</v>
      </c>
      <c r="U31" s="83">
        <v>299982</v>
      </c>
      <c r="V31" s="85">
        <v>0</v>
      </c>
      <c r="W31" s="85">
        <v>0</v>
      </c>
      <c r="X31" s="83">
        <v>0</v>
      </c>
      <c r="Y31" s="86">
        <v>11999</v>
      </c>
    </row>
  </sheetData>
  <conditionalFormatting sqref="O9:O31">
    <cfRule type="cellIs" dxfId="0" priority="1" operator="notEqual">
      <formula>0</formula>
    </cfRule>
  </conditionalFormatting>
  <hyperlinks>
    <hyperlink ref="B4" r:id="rId1" xr:uid="{E425AFBF-2A56-42D9-8B6D-7F9C3BDAA16B}"/>
  </hyperlinks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5DB7-5343-42A7-9B43-4F5ABF1C0673}">
  <dimension ref="D2:H14"/>
  <sheetViews>
    <sheetView workbookViewId="0">
      <selection activeCell="E3" sqref="E3:E5"/>
    </sheetView>
  </sheetViews>
  <sheetFormatPr defaultRowHeight="15" x14ac:dyDescent="0.25"/>
  <cols>
    <col min="4" max="4" width="50.7109375" bestFit="1" customWidth="1"/>
  </cols>
  <sheetData>
    <row r="2" spans="4:8" x14ac:dyDescent="0.25">
      <c r="D2" t="s">
        <v>11</v>
      </c>
    </row>
    <row r="3" spans="4:8" x14ac:dyDescent="0.25">
      <c r="D3" t="s">
        <v>12</v>
      </c>
      <c r="E3">
        <v>100000</v>
      </c>
    </row>
    <row r="4" spans="4:8" x14ac:dyDescent="0.25">
      <c r="D4" t="s">
        <v>26</v>
      </c>
      <c r="E4">
        <v>0</v>
      </c>
    </row>
    <row r="5" spans="4:8" x14ac:dyDescent="0.25">
      <c r="D5" t="s">
        <v>7</v>
      </c>
      <c r="E5">
        <v>100000</v>
      </c>
      <c r="F5">
        <v>100000</v>
      </c>
      <c r="G5">
        <v>0</v>
      </c>
      <c r="H5">
        <v>100000</v>
      </c>
    </row>
    <row r="6" spans="4:8" x14ac:dyDescent="0.25">
      <c r="D6" t="s">
        <v>13</v>
      </c>
    </row>
    <row r="7" spans="4:8" x14ac:dyDescent="0.25">
      <c r="D7" t="s">
        <v>14</v>
      </c>
    </row>
    <row r="8" spans="4:8" x14ac:dyDescent="0.25">
      <c r="D8" t="s">
        <v>38</v>
      </c>
    </row>
    <row r="9" spans="4:8" x14ac:dyDescent="0.25">
      <c r="D9" t="s">
        <v>39</v>
      </c>
    </row>
    <row r="10" spans="4:8" x14ac:dyDescent="0.25">
      <c r="D10" t="s">
        <v>3</v>
      </c>
    </row>
    <row r="11" spans="4:8" x14ac:dyDescent="0.25">
      <c r="D11" t="s">
        <v>28</v>
      </c>
    </row>
    <row r="12" spans="4:8" x14ac:dyDescent="0.25">
      <c r="D12" t="s">
        <v>21</v>
      </c>
    </row>
    <row r="13" spans="4:8" x14ac:dyDescent="0.25">
      <c r="D13" t="s">
        <v>1</v>
      </c>
    </row>
    <row r="14" spans="4:8" x14ac:dyDescent="0.25">
      <c r="D14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CwAewAiAHAAYQB0AGgAIgA6ACIALwBwAHIAbwBqAGUAYwB0AHMALwBVAHQAaQBsAHMAIgAsACIAdABlAHgAdAAiADoAIgAvAC8ARgBpAG4AZABzACAAdABoAGUAIAByAG8AbwB0ACAAbwBmACAAYQAgAHAAbwBsAHkAbgBvAG0AaQBhAGwAIABnAGkAdgBlAG4AIABhAG4AIABpAG4AaQB0AGkAYQBsACAAZwB1AGUAcwBzACwAIAB0AGgAZQAgAHAAbwBsAHkAbgBvAG0AaQBhAGwALAAgAGkAdABzACAAZABlAHIAaQB2AGEAdABpAHYAZQAsACAAYQBuAGQAIABhACAAdABvAGwAZQByAGEAbgBjAGUAIABcAG4ALwAvAEUAeABhAG0AcABsAGUAIABDAGEAbABsADoAIABOAGUAdwB0AG8AbgBSAGEAcABoAHMAbwBuACgAMwAsAEwAQQBNAEIARABBACgAeAAsACgAeAAtADEAKQBeADIAKQAsAEwAQQBNAEIARABBACgAeAAsADIAKgAoAHgALQAxACkAKQAsADAALgAwADAAMAAwADEAKQBcAG4AIAAgACAAIAAgACAAIAAgACAAIAAgACAAIAAgACAALwAvAE4AZQB3AHQAbwBuAFIAYQBwAGgAcwBvAG4AKAAzACwATABBAE0AQgBEAEEAKAB4ACwAKAB4AC0AMQApAF4AMgApACwATABBAE0AQgBEAEEAKAB4ACwAMgAqACgAeAAtADEAKQApACwAKQAgACAAXABuAE4AZQB3AHQAbwBuAFIAYQBwAGgAcwBvAG4AIAA9ACAATABhAG0AYgBkAGEAKABnAHUAZQBzAHMALAB5ACwAZAB5ACwAdABvAGwAZQByAGEAbgBjAGUAXwAsAFwAbgAgACAAIAAgACAAIAAgACAAIAAgACAAIAAgACAAIAAgACAAIAAgACAAIAAgACAAIABMAGUAdAAoAHgAbgAsACAAZwB1AGUAcwBzACwAXABuACAAIAAgACAAIAAgACAAIAAgACAAIAAgACAAIAAgACAAIAAgACAAIAAgACAAIAAgACAAIAAgACAAdABvAGwAZQByAGEAbgBjAGUALABJAEYAKABJAFMATwBNAEkAVABUAEUARAAoAHQAbwBsAGUAcgBhAG4AYwBlAF8AKQAsADAALgAwADAAMAAxACwAdABvAGwAZQByAGEAbgBjAGUAXwApACwAXABuACAAIAAgACAAIAAgACAAIAAgACAAIAAgACAAIAAgACAAIAAgACAAIAAgACAAIAAgACAAIAAgACAAeABuAF8AMQAsACAAeABuACAALQAgAHkAKAB4AG4AKQAvAGQAeQAoAHgAbgApACwAXABuACAAIAAgACAAIAAgACAAIAAgACAAIAAgACAAIAAgACAAIAAgACAAIAAgACAAIAAgACAAIAAgACAAaQBmACgAQQBCAFMAKAB4AG4AXwAxACAALQAgAHgAbgApADwAIAB0AG8AbABlAHIAYQBuAGMAZQAsAHgAbgAsACAATgBlAHcAdABvAG4AUgBhAHAAaABzAG8AbgAoAHgAbgBfADEALAB5ACwAZAB5ACwAdABvAGwAZQByAGEAbgBjAGUAKQApACkAKQA7AFwAbgAgACAAIAAgACAAIAAgACAAIAAgACAAIAAgACAAIAAgACAAIAAgACAAIAAgACAAIAAgACAAIAAgAFwAbgBNAG8AcgB0AFMAbwBhAE8AcgBnAEEAZABkAHIAZQBzAHMAIAA9ACAAXAAiAGgAdAB0AHAAcwA6AC8ALwBtAG8AcgB0AC4AcwBvAGEALgBvAHIAZwAvAGQAYQB0AGEALwBcACIAOwBcAG4AZQByAHIAbwByAE0AZQBzAHMAYQBnAGUAIAA9ACAAXAAiAEQAbwBlAHMAIABOAG8AdAAgAEUAeABpAHMAdABcACIAOwBcAG4AXABuAC8ALwBFAHgAYQBtAHAAbABlACAAQwBhAGwAbABzADoAXABuAC8ALwAgACAAIAAgAD0ARwBlAHQATQBvAHIAdABTAG8AYQBPAHIAZwBUAGEAYgBsAGUASQBkAHMAQQBuAGQATgBhAG0AZQBzACgAMQApACAAdABvACAAZwBlAHQAIAB0AGgAZQAgAHQAYQBiAGwAZQAgAHcAaQB0AGgAIABpAGQAIABhAG4AZAAgAG4AYQBtAGUALgBcAG4ALwAvACAAIAAgACAAPQBHAGUAdABNAG8AcgB0AFMAbwBhAE8AcgBnAFQAYQBiAGwAZQBJAGQAcwBBAG4AZABOAGEAbQBlAHMAKABTAEUAUQBVAEUATgBDAEUAKAAxADAAMAAsACwAMQApACkAIAB0AG8AIABnAGUAdAAgAGEAIABsAGkAcwB0ACAAbwBmACAAdABhAGIAbABlACAAaQBkAHMAIABhAG4AZAAgAG4AYQBtAGUAcwAuACAAIAAgACAAIAAgACAAXABuAEcAZQB0AE0AbwByAHQAUwBvAGEATwByAGcAVABhAGIAbABlAEkAZABzAEEAbgBkAE4AYQBtAGUAcwAgACAAPQAgAEwAQQBNAEIARABBACgAdABhAGIAbABlAE4AdQBtAGIAZQByACwAXABuACAAIAAgACAAIAAgACAAIAAgACAAIAAgACAAIAAgACAAIAAgACAAIAAgACAAIAAgACAAIAAgACAAIAAgACAAIAAgAEwARQBUACgAIAAgACAAZgBpAGwAZQBOAGEAbQBlACwAIABNAG8AcgB0AFMAbwBhAE8AcgBnAEEAZABkAHIAZQBzAHMAIAAmACAAXAAiAHQAXAAiACYAdABhAGIAbABlAE4AdQBtAGIAZQByACYAXAAiAC4AeABtAGwAXAAiACwAXABuACAAIAAgACAAIAAgACAAIAAgACAAIAAgACAAIAAgACAAIAAgACAAIAAgACAAIAAgACAAIAAgACAAIAAgACAAIAAgACAAIAAgACAAIAAgACAAeABwAGEAdABoACwAXAAiAC8ALwBUAGEAYgBsAGUATgBhAG0AZQBcACIALABcAG4AIAAgACAAIAAgACAAIAAgACAAIAAgACAAIAAgACAAIAAgACAAIAAgACAAIAAgACAAIAAgACAAIAAgACAAIAAgACAAIAAgACAAIAAgACAAIABmAGkAbAB0AGUAcgBlAGQAWABtAGwALABGAEkATABUAEUAUgBYAE0ATAAoAFcARQBCAFMARQBSAFYASQBDAEUAKABGAGkAbABlAE4AYQBtAGUAKQAsAHgAcABhAHQAaAApACwAXABuACAAIAAgACAAIAAgACAAIAAgACAAIAAgACAAIAAgACAAIAAgACAAIAAgACAAIAAgACAAIAAgACAAIAAgACAAIAAgACAAIAAgACAAIAAgACAAaQB0AGUAbQAxACwAIAB0AGEAYgBsAGUATgB1AG0AYgBlAHIALABcAG4AIAAgACAAIAAgACAAIAAgACAAIAAgACAAIAAgACAAIAAgACAAIAAgACAAIAAgACAAIAAgACAAIAAgACAAIAAgACAAIAAgACAAIAAgACAAIABpAHQAZQBtADIALAAgAEkARgBFAFIAUgBPAFIAKABmAGkAbAB0AGUAcgBlAGQAWABtAGwALABlAHIAcgBvAHIATQBlAHMAcwBhAGcAZQApACwAXABuACAAIAAgACAAIAAgACAAIAAgACAAIAAgACAAIAAgACAAIAAgACAAIAAgACAAIAAgACAAIAAgACAAIAAgACAAIAAgACAAIAAgACAASABTAFQAQQBDAEsAKABpAHQAZQBtADEALABpAHQAZQBtADIAKQBcAG4AIAAgACAAIAAgACAAIAAgACAAIAAgACAAIAAgACAAIAAgACAAIAAgACAAIAAgACAAIAAgACAAIAAgACAAIAAgACAAIAAgACAAIAApACkAOwBcAG4ALwAvAEUAeABhAG0AcABsAGUAIABDAGEAbABsADoAXABuAC8ALwAgACAAIAAgAEYAaQBsAHQAZQByAE0AbwByAHQAUwBvAGEATwByAGcAQQBjAHQAaQB2AGUAVABhAGIAbABlAEkAZABzAEEAbgBkAE4AYQBtAGUAcwAoACQAQQAkADIAIwApACAAdABvACAAZgBpAGwAdABlAHIAIAB0AGgAZQAgAGwAaQBzAHQAIABvAGYAIAB0AGEAYgBsAGUAcwAgAGQAbwB3AG4AIAB0AGgAZQAgAG8AbgBlAHMAIAB0AGgAYQB0ACAAZQB4AGkAcwB0ACwAIAB3AGgAZQByAGUAIABBADIAIwAgAGMAbwBuAHQAYQBpAG4AcwAgAC8ALwAgAC8ALwA9AEcAZQB0AE0AbwByAHQAUwBvAGEATwByAGcAVABhAGIAbABlAEkAZABzAEEAbgBkAE4AYQBtAGUAcwAoAFMARQBRAFUARQBOAEMARQAoADEAMAAwACwALAAxACkAKQBcAG4ARgBpAGwAdABlAHIATQBvAHIAdABTAG8AYQBPAHIAZwBBAGMAdABpAHYAZQBUAGEAYgBsAGUASQBkAHMAQQBuAGQATgBhAG0AZQBzACAAPQAgAEwAYQBtAGIAZABhACgAdAB3AG8AQwBvAGwAdQBtAG4AQQByAHIAYQB5ACwAXABuACAAIAAgACAAIAAgACAAIAAgACAAIAAgACAAIAAgACAAIAAgACAAIAAgACAAIAAgACAAIAAgACAAIAAgACAAIAAgACAAIAAgACAAIAAgACAAIAAgACAAIAAgACAAIABMAEUAVAAoACAAcgAsAHQAdwBvAEMAbwBsAHUAbQBuAEEAcgByAGEAeQAsAFwAbgAgACAAIAAgACAAIAAgACAAIAAgACAAIAAgACAAIAAgACAAIAAgACAAIAAgACAAIAAgACAAIAAgACAAIAAgACAAIAAgACAAIAAgACAAIAAgACAAIAAgACAAIAAgACAAIAAgACAAIABGAEkATABUAEUAUgAoAHIALABPAEYARgBTAEUAVAAoAHIALAAwACwAMQAsACwAMQApACAAPAA+AGUAcgByAG8AcgBNAGUAcwBzAGEAZwBlACkAKQApADsAXABuACAAIAAgACAAIAAgACAAIAAgACAAIAAgACAAIAAgACAAIAAgACAAIAAgACAAIAAgACAAIAAgACAAIAAgACAAIAAgACAAIAAgACAAIAAgACAAIAAgACAAIAAgACAAIAAgACAAIAAgAFwAbgAvAC8ARQB4AGEAbQBwAGwAZQAgAEMAYQBsAGwAOgBcAG4ALwAvACAAIAAgACAARwBlAHQATQBvAHIAdABhAGwAaQB0AHkAVABhAGIAbABlACgAMQA0ACwALAApACAAdABvACAAcgBlAHQAcgBpAGUAdgBlACAAdABoAGUAIAB0AGEAYgBsAGUAIAB3AGkAdABoACAASQBkACAAMQA0ACwAIABtAGkAbgAgAGEAZwBlACAAMAAsACAAYQBuAGQAIABtAGEAeAAgAGEAZwBlACAAMQAyADAALgBcAG4ALwAvACAAIAAgACAARwBlAHQATQBvAHIAdABhAGwAaQB0AHkAVABhAGIAbABlACgAMQAzACwAMQAwACwAMQAwADAAKQAgAHQAbwAgAHIAZQB0AHIAaQBlAHYAZQAgAHQAaABlACAAdABhAGIAbABlACAAdwBpAHQAaAAgAEkAZAAgADEAMwAsACAAbQBpAG4AIABhAGcAZQAgADEAMAAsACAAYQBuAGQAIABtAGEAeAAgAGEAZwBlACAAMQAwAC4AXAB0AFwAdABcAHQAXAB0AFwAdABcAHQAIAAgAFwAbgBHAGUAdABNAG8AcgB0AGEAbABpAHQAeQBUAGEAYgBsAGUAIAA9AEwAQQBNAEIARABBACgAVABhAGIAbABlAEkARAAsAE0AaQBuAEEAZwBlAF8ALABNAGEAeABBAGcAZQBfACwAXABuACAAIAAgACAAIAAgACAAIAAgACAAIAAgACAAIAAgACAAIAAgACAAIAAgACAAIAAgACAAIAAgACAATABFAFQAKABNAGkAbgBBAGcAZQAsACAASQBGACgASQBTAE8ATQBJAFQAVABFAEQAKABNAGkAbgBBAGcAZQBfACkALAAwACwATQBpAG4AQQBnAGUAXwApACwAXABuACAAIAAgACAAIAAgACAAIAAgACAAIAAgACAAIAAgACAAIAAgACAAIAAgACAAIAAgACAAIAAgACAAIAAgACAAIABNAGEAeABBAGcAZQAsACAASQBGACgASQBTAE8ATQBJAFQAVABFAEQAKABNAGEAeABBAGcAZQBfACkALAAxADIAMAAsAE0AYQB4AEEAZwBlAF8AKQAsAFwAbgAgACAAIAAgACAAIAAgACAAIAAgACAAIAAgACAAIAAgACAAIAAgACAAIAAgACAAIAAgACAAIAAgACAAIAAgACAARgBpAGwAZQBUAHkAcABlACwAXAAiAC4AeABtAGwAXAAiACwAXABuACAAIAAgACAAIAAgACAAIAAgACAAIAAgACAAIAAgACAAIAAgACAAIAAgACAAIAAgACAAIAAgACAAIAAgACAAIABTAGUAYQByAGMAaABTAHQAcgBpAG4AZwAsAFwAIgAvAC8AQAB0ACAAfAAgAC8ALwBZAFwAIgAsAFwAbgAgACAAIAAgACAAIAAgACAAIAAgACAAIAAgACAAIAAgACAAIAAgACAAIAAgACAAIAAgACAAIAAgACAAIAAgACAAVABhAGIAbABlAE4AYQBtAGUALABFAE4AQwBPAEQARQBVAFIATAAoAFwAIgB0AFwAIgAmAFQAYQBiAGwAZQBJAEQAKQAsAFwAbgAgACAAIAAgACAAIAAgACAAIAAgACAAIAAgACAAIAAgACAAIAAgACAAIAAgACAAIAAgACAAIAAgACAAIAAgACAATQBvAHIAdABUAGIAbAAsACAAVwBSAEEAUABSAE8AVwBTACgARgBJAEwAVABFAFIAWABNAEwAKABXAEUAQgBTAEUAUgBWAEkAQwBFACgATQBvAHIAdABTAG8AYQBPAHIAZwBBAGQAZAByAGUAcwBzACAAJgBUAGEAYgBsAGUATgBhAG0AZQAgACYAIABGAGkAbABlAFQAeQBwAGUAKQAsACAAUwBlAGEAcgBjAGgAUwB0AHIAaQBuAGcAKQAsACAAMgApACwAXABuACAAIAAgACAAIAAgACAAIAAgACAAIAAgACAAIAAgACAAIAAgACAAIAAgACAAIAAgACAAIAAgACAAIAAgACAAIABGAEkATABUAEUAUgAoAE0AbwByAHQAVABiAGwALAAgACgASQBOAEQARQBYACgATQBvAHIAdABUAGIAbAAsACAAMAAsACAAMgApACAAPgAgAE0AaQBuAEEAZwBlACkAIAAqACAAKABJAE4ARABFAFgAKABNAG8AcgB0AFQAYgBsACwAIAAwACwAIAAyACkAIAA8ACAATQBhAHgAQQBnAGUAKQApACkAKQA7AFwAbgAvAC8AQwBvAG0AYgBvAFMAYwBhAG4AIAB3AGkAbABsACAAYQBsAGwAIABzAGMAYQBuACAAbQB1AGwAdABpAHAAbABlACAAYQByAHIAYQB5AHMALgAgAFQAaABlACAAcwB1AHAAcABsAGkAZQBkACAAZgB1AG4AYwB0AGkAbwBuACAAcwBoAG8AdQBsAGQAIABoAGEAdgBlACAAMQAgAG0AbwByAGUAIABwAGEAcgBhAG0AZQB0AGUAcgAgAHQAaABhAG4AIAB0AGgAZQAgAGEAcgByAGEAeQBzACAAIAAgACAAIAAgACAAIAAgACAAIAAgACAAIAAgACAAIAAgACAAIAAgACAAIAAgACAAIAAgAC8ALwBUAGgAZQAgAHAAYQByAGEAbQBlAHQAZQByACAAdABoAGEAdAAgAHQAYQBrAGUAcwAgAHQAaABlACAAcAByAGUAdgBpAG8AdQBzACAAdgBhAGwAdQBlACAAcwBoAG8AdQBsAGQAIABhAGwAdwBhAHkAcwAgAGIAZQAgAHQAaABlACAAbABhAHMAdAAgAG8AbgBlACAAaQBuACAAdABoAGUAIABmAHUAbgBjAHQAaQBvAG4ALgBcAG4AXABuAC8ALwBTAGMAYQBuACAAMgAgAGEAcgByAGEAeQBzACAAYQBuAGQAIAB0AGgAZQAgAGYAdQBuAGMAdABpAG8AbgAgAHIAZQBxAHUAaQByAGUAcwAgADMAIABwAGEAcgBhAG0AZQB0AGUAcgBzAFwAbgBDAG8AbQBiAG8AUwBDAEEATgAyACAAPQBMAEEATQBCAEQAQQAoAGkAbgBpAHQAVgBhAGwAdQBlACwAYQByAHIAYQB5ADEALABhAHIAcgBhAHkAMgAsAGYAdQBuAGMAdABpAG8AbgAsAFwAbgAgACAAIAAgACAAIAAgACAAIAAgACAAIAAgACAAIAAgACAAIAAgAEwARQBUACgAYwBsAG8AcwB1AHIAZQAsACAATQBBAFAAKABhAHIAcgBhAHkAMQAsAGEAcgByAGEAeQAyACwAXABuACAAIAAgACAAIAAgACAAIAAgACAAIAAgACAAIAAgACAAIAAgACAAIAAgACAAIAAgACAAIAAgACAAIAAgACAAIAAgACAAIAAgACAAIABMAEEATQBCAEQAQQAoAGEALABiACwAXABuACAAIAAgACAAIAAgACAAIAAgACAAIAAgACAAIAAgACAAIAAgACAAIAAgACAAIAAgACAAIAAgACAAIAAgACAAIAAgACAAIAAgACAAIAAgACAAIAAgACAAIAAgAEwAQQBNAEIARABBACgAYwAsAGYAdQBuAGMAdABpAG8AbgAoAGEALABiACwAYw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MwAgAGEAcgByAGEAeQBzACAAYQBuAGQAIAB0AGgAZQAgAGYAdQBuAGMAdABpAG8AbgAgAHIAZQBxAHUAaQByAGUAcwAgADQAIABwAGEAcgBhAG0AZQB0AGUAcgBzAFwAbgBDAG8AbQBiAG8AUwBDAEEATgAzACAAPQBMAEEATQBCAEQAQQAoAGkAbgBpAHQAVgBhAGwAdQBlACwAYQByAHIAYQB5ADEALABhAHIAcgBhAHkAMgAsAGEAcgByAGEAeQAzACwAZgB1AG4AYwB0AGkAbwBuACwAXABuACAAIAAgACAAIAAgACAAIAAgACAAIAAgACAAIAAgACAAIAAgACAATABFAFQAKABjAGwAbwBzAHUAcgBlACwAIABNAEEAUAAoAGEAcgByAGEAeQAxACwAYQByAHIAYQB5ADIALABhAHIAcgBhAHkAMwAsAFwAbgAgACAAIAAgACAAIAAgACAAIAAgACAAIAAgACAAIAAgACAAIAAgACAAIAAgACAAIAAgACAAIAAgACAAIAAgACAAIAAgACAAIAAgACAATABBAE0AQgBEAEEAKABhACwAYgAsAGMALABcAG4AIAAgACAAIAAgACAAIAAgACAAIAAgACAAIAAgACAAIAAgACAAIAAgACAAIAAgACAAIAAgACAAIAAgACAAIAAgACAAIAAgACAAIAAgACAAIAAgACAAIAAgACAATABBAE0AQgBEAEEAKABkACwAZgB1AG4AYwB0AGkAbwBuACgAYQAsAGIALABjACwAZA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AAgAGEAcgByAGEAeQBzACAAYQBuAGQAIAB0AGgAZQAgAGYAdQBuAGMAdABpAG8AbgAgAHIAZQBxAHUAaQByAGUAcwAgADUAIABwAGEAcgBhAG0AZQB0AGUAcgBzAFwAbgBDAG8AbQBiAG8AUwBDAEEATgA0ACAAPQBMAEEATQBCAEQAQQAoAGkAbgBpAHQAVgBhAGwAdQBlACwAYQByAHIAYQB5ADEALABhAHIAcgBhAHkAMgAsAGEAcgByAGEAeQAzACwAYQByAHIAYQB5ADQALABmAHUAbgBjAHQAaQBvAG4ALABcAG4AIAAgACAAIAAgACAAIAAgACAAIAAgACAAIAAgACAAIAAgACAAIABMAEUAVAAoAGMAbABvAHMAdQByAGUALAAgAE0AQQBQACgAYQByAHIAYQB5ADEALABhAHIAcgBhAHkAMgAsAGEAcgByAGEAeQAzACwAYQByAHIAYQB5ADQALABcAG4AIAAgACAAIAAgACAAIAAgACAAIAAgACAAIAAgACAAIAAgACAAIAAgACAAIAAgACAAIAAgACAAIAAgACAAIAAgACAAIAAgACAAIAAgAEwAQQBNAEIARABBACgAYQAsAGIALABjACwAZAAsAFwAbgAgACAAIAAgACAAIAAgACAAIAAgACAAIAAgACAAIAAgACAAIAAgACAAIAAgACAAIAAgACAAIAAgACAAIAAgACAAIAAgACAAIAAgACAAIAAgACAAIAAgACAAIABMAEEATQBCAEQAQQAoAGUALABmAHUAbgBjAHQAaQBvAG4AKABhACwAYgAsAGMALABkACwAZQ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QAgAGEAcgByAGEAeQBzACAAYQBuAGQAIAB0AGgAZQAgAGYAdQBuAGMAdABpAG8AbgAgAHIAZQBxAHUAaQByAGUAcwAgADYAIABwAGEAcgBhAG0AZQB0AGUAcgBzAFwAbgBDAG8AbQBiAG8AUwBDAEEATgA1ACAAPQBMAEEATQBCAEQAQQAoAGkAbgBpAHQAVgBhAGwAdQBlACwAYQByAHIAYQB5ADEALABhAHIAcgBhAHkAMgAsAGEAcgByAGEAeQAzACwAYQByAHIAYQB5ADQALABhAHIAcgBhAHkANQAsAGYAdQBuAGMAdABpAG8AbgAsAFwAbgAgACAAIAAgACAAIAAgACAAIAAgACAAIAAgACAAIAAgACAAIAAgAEwARQBUACgAYwBsAG8AcwB1AHIAZQAsACAATQBBAFAAKABhAHIAcgBhAHkAMQAsAGEAcgByAGEAeQAyACwAYQByAHIAYQB5ADMALABhAHIAcgBhAHkANAAsAGEAcgByAGEAeQA1ACwAXABuACAAIAAgACAAIAAgACAAIAAgACAAIAAgACAAIAAgACAAIAAgACAAIAAgACAAIAAgACAAIAAgACAAIAAgACAAIAAgACAAIAAgACAAIABMAEEATQBCAEQAQQAoAGEALABiACwAYwAsAGQALABlACwAXABuACAAIAAgACAAIAAgACAAIAAgACAAIAAgACAAIAAgACAAIAAgACAAIAAgACAAIAAgACAAIAAgACAAIAAgACAAIAAgACAAIAAgACAAIAAgACAAIAAgACAAIAAgAEwAQQBNAEIARABBACgAZgAsAGYAdQBuAGMAdABpAG8AbgAoAGEALABiACwAYwAsAGQALABlACwAZg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gAgAGEAcgByAGEAeQBzACAAYQBuAGQAIAB0AGgAZQAgAGYAdQBuAGMAdABpAG8AbgAgAHIAZQBxAHUAaQByAGUAcwAgADcAIABwAGEAcgBhAG0AZQB0AGUAcgBzAFwAbgBDAG8AbQBiAG8AUwBDAEEATgA2ACAAPQBMAEEATQBCAEQAQQAoAGkAbgBpAHQAVgBhAGwAdQBlACwAYQByAHIAYQB5ADEALABhAHIAcgBhAHkAMgAsAGEAcgByAGEAeQAzACwAYQByAHIAYQB5ADQALABhAHIAcgBhAHkANQAsAGEAcgByAGEAeQA2ACwAZgB1AG4AYwB0AGkAbwBuACwAXABuACAAIAAgACAAIAAgACAAIAAgACAAIAAgACAAIAAgACAAIAAgACAATABFAFQAKABjAGwAbwBzAHUAcgBlACwAIABNAEEAUAAoAGEAcgByAGEAeQAxACwAYQByAHIAYQB5ADIALABhAHIAcgBhAHkAMwAsAGEAcgByAGEAeQA0ACwAYQByAHIAYQB5ADUALABhAHIAcgBhAHkANgAsAFwAbgAgACAAIAAgACAAIAAgACAAIAAgACAAIAAgACAAIAAgACAAIAAgACAAIAAgACAAIAAgACAAIAAgACAAIAAgACAAIAAgACAAIAAgACAATABBAE0AQgBEAEEAKABhACwAYgAsAGMALABkACwAZQAsAGYALABMAEEATQBCAEQAQQAoAGcALABmAHUAbgBjAHQAaQBvAG4AKABhACwAYgAsAGMALABkACwAZQAsAGYALABnACkAKQApACkALABcAG4AIAAgACAAIAAgACAAIAAgACAAIAAgACAAIAAgACAAIAAgACAAIAAgACAAIAAgAHAAcgBvAGMAZQBzAHMAUwBlAHIAaQBlAHMALABMAEEATQBCAEQAQQAoAHAAcgBlAHYAVgBhAGwAdQBlACwAZgB1AG4AYwAsAGYAdQBuAGMAKABwAHIAZQB2AFYAYQBsAHUAZQApACkALABcAG4AIAAgACAAIAAgACAAIAAgACAAIAAgACAAIAAgACAAIAAgACAAIABTAEMAQQBOACgAaQBuAGkAdABWAGEAbAB1AGUALABjAGwAbwBzAHUAcgBlACwAcAByAG8AYwBlAHMAcwBTAGUAcgBpAGUAcwApACkAKQA7AFwAbgBcAG4AXABuAC8ALwBTAGgAbwByAHQAIABjAHUAdAAgAGYAbwByACAAQwBIAE8ATwBTAEUAQwBPAEwAUwBcAG4AQwBDACAAPQAgAEwAQQBNAEIARABBACgAQQByAHIAYQB5ACwAaQBuAGQAZQB4ACwAQwBIAE8ATwBTAEUAQwBPAEwAUwAoAEEAcgByAGEAeQAsAGkAbgBkAGUAeAApACkAOwBcAG4AXABuAC8ALwBUAGgAaQBzACAAZgB1AG4AYwB0AGkAbwBuACAAYgByAGUAYQBrAHMAIABhACAAcgBvAHcAIABpAG4AdABvACAAcABhAHIAYQBtAGUAdABlAHIAcwAgAGkAbgB0AG8AIABhACAAZgB1AG4AYwB0AGkAbwBuAC4AXABuAC8ALwBUAGgAaQBzACAAbQBhAHkAIABuAGUAZQBkACAAdABvACAAYgBlACAAdQBwAGQAYQB0AGUAZAAgAGkAZgAgAGEAIABmAHUAbgBjAHQAaQBvAG4AIABoAGEAcwAgAG0AbwByAGUAIAB0AGgAYQBuACAAMQA1ACAAcABhAHIAYQBtAGUAdABlAHIAcwAuAFwAbgBUAHUAcABsAGkAegBlAHIAIAA9ACAATABBAE0AQgBEAEEAKABhAHIAcgBhAHkALABmAHUAbgBjAHQAaQBvAG4ALABMAEUAVAAoAGYALABmAHUAbgBjAHQAaQBvAG4ALAB2ACwAQwBIAE8ATwBTAEUAUgBPAFcAUwAoAGEAcgByAGEAeQAsADEAKQAsAFMAVwBJAFQAQwBIACgAQwBPAEwAVQBNAE4AUwAoAGEAcgByAGEAeQApACwAXABuADEALABmACgAQwBDACgAdgAsADEAKQApACwAXABuADIALABmACgAQwBDACgAdgAsADEAKQAsAEMAQwAoAHYALAAyACkAKQAsAFwAbgAzACwAZgAoAEMAQwAoAHYALAAxACkALABDAEMAKAB2ACwAMgApACwAQwBDACgAdgAsADMAKQApACwAXABuADQALABmACgAQwBDACgAdgAsADEAKQAsAEMAQwAoAHYALAAyACkALABDAEMAKAB2ACwAMwApACwAQwBDACgAdgAsADQAKQApACwAXABuADUALABmACgAQwBDACgAdgAsADEAKQAsAEMAQwAoAHYALAAyACkALABDAEMAKAB2ACwAMwApACwAQwBDACgAdgAsADQAKQAsAEMAQwAoAHYALAA1ACkAKQAsAFwAbgA2ACwAZgAoAEMAQwAoAHYALAAxACkALABDAEMAKAB2ACwAMgApACwAQwBDACgAdgAsADMAKQAsAEMAQwAoAHYALAA0ACkALABDAEMAKAB2ACwANQApACwAQwBDACgAdgAsADYAKQApACwAXABuADcALABmACgAQwBDACgAdgAsADEAKQAsAEMAQwAoAHYALAAyACkALABDAEMAKAB2ACwAMwApACwAQwBDACgAdgAsADQAKQAsAEMAQwAoAHYALAA1ACkALABDAEMAKAB2ACwANgApACwAQwBDACgAdgAsADcAKQApACwAXABuADgALABmACgAQwBDACgAdgAsADEAKQAsAEMAQwAoAHYALAAyACkALABDAEMAKAB2ACwAMwApACwAQwBDACgAdgAsADQAKQAsAEMAQwAoAHYALAA1ACkALABDAEMAKAB2ACwANgApACwAQwBDACgAdgAsADcAKQAsAEMAQwAoAHYALAA4ACkAKQAsAFwAbgA5ACwAZgAoAEMAQwAoAHYALAAxACkALABDAEMAKAB2ACwAMgApACwAQwBDACgAdgAsADMAKQAsAEMAQwAoAHYALAA0ACkALABDAEMAKAB2ACwANQApACwAQwBDACgAdgAsADYAKQAsAEMAQwAoAHYALAA3ACkALABDAEMAKAB2ACwAOAApACwAQwBDACgAdgAsADkAKQApACwAXABuADEAMAAsAGYAKABDAEMAKAB2ACwAMQApACwAQwBDACgAdgAsADIAKQAsAEMAQwAoAHYALAAzACkALABDAEMAKAB2ACwANAApACwAQwBDACgAdgAsADUAKQAsAEMAQwAoAHYALAA2ACkALABDAEMAKAB2ACwANwApACwAQwBDACgAdgAsADgAKQAsAEMAQwAoAHYALAA5ACkALABDAEMAKAB2ACwAMQAwACkAKQAsAFwAbgAxADEALABmACgAQwBDACgAdgAsADEAKQAsAEMAQwAoAHYALAAyACkALABDAEMAKAB2ACwAMwApACwAQwBDACgAdgAsADQAKQAsAEMAQwAoAHYALAA1ACkALABDAEMAKAB2ACwANgApACwAQwBDACgAdgAsADcAKQAsAEMAQwAoAHYALAA4ACkALABDAEMAKAB2ACwAOQApACwAQwBDACgAdgAsADEAMAApACwAQwBDACgAdgAsADEAMQApACkALABcAG4AMQAyACwAZgAoAEMAQwAoAHYALAAxACkALABDAEMAKAB2ACwAMgApACwAQwBDACgAdgAsADMAKQAsAEMAQwAoAHYALAA0ACkALABDAEMAKAB2ACwANQApACwAQwBDACgAdgAsADYAKQAsAEMAQwAoAHYALAA3ACkALABDAEMAKAB2ACwAOAApACwAQwBDACgAdgAsADkAKQAsAEMAQwAoAHYALAAxADAAKQAsAEMAQwAoAHYALAAxADEAKQAsAEMAQwAoAHYALAAxADIAKQApACwAXABuADEAMwAsAGYAKABDAEMAKAB2ACwAMQApACwAQwBDACgAdgAsADIAKQAsAEMAQwAoAHYALAAzACkALABDAEMAKAB2ACwANAApACwAQwBDACgAdgAsADUAKQAsAEMAQwAoAHYALAA2ACkALABDAEMAKAB2ACwANwApACwAQwBDACgAdgAsADgAKQAsAEMAQwAoAHYALAA5ACkALABDAEMAKAB2ACwAMQAwACkALABDAEMAKAB2ACwAMQAxACkALABDAEMAKAB2ACwAMQAyACkALABDAEMAKAB2ACwAMQAzACkAKQAsAFwAbgAxADQALABmACgAQwBDACgAdgAsADEAKQAsAEMAQwAoAHYALAAyACkALABDAEMAKAB2ACwAMwApACwAQwBDACgAdgAsADQAKQAsAEMAQwAoAHYALAA1ACkALABDAEMAKAB2ACwANgApACwAQwBDACgAdgAsADcAKQAsAEMAQwAoAHYALAA4ACkALABDAEMAKAB2ACwAOQApACwAQwBDACgAdgAsADEAMAApACwAQwBDACgAdgAsADEAMQApACwAQwBDACgAdgAsADEAMgApACwAQwBDACgAdgAsADEAMwApACwAQwBDACgAdgAsADEANAApACkALABcAG4AMQA1ACwAZgAoAEMAQwAoAHYALAAxACkALABDAEMAKAB2ACwAMgApACwAQwBDACgAdgAsADMAKQAsAEMAQwAoAHYALAA0ACkALABDAEMAKAB2ACwANQApACwAQwBDACgAdgAsADYAKQAsAEMAQwAoAHYALAA3ACkALABDAEMAKAB2ACwAOAApACwAQwBDACgAdgAsADkAKQAsAEMAQwAoAHYALAAxADAAKQAsAEMAQwAoAHYALAAxADEAKQAsAEMAQwAoAHYALAAxADIAKQAsAEMAQwAoAHYALAAxADMAKQAsAEMAQwAoAHYALAAxADQAKQAsAEMAQwAoAHYALAAxADUAKQApACwAZgAoACkAKQApACkAOwBcAG4AXABuAC8ALwBUAGgAaQBzACAAZgB1AG4AYwB0AGkAbwBuACAAbQBpAG0AaQBjAHMAIABhACAAUwBDAEEATgAsACAAYgB1AHQAIAB0AGgAZQAgAGkAbgBpAHQAaQBhAGwAXwB2AGEAbAB1AGUAIABpAHMAIABhAG4AIABhAHIAcgBhAHkAIABjAGEAbABsAGUAZAAgAGkAbgBpAHQAaQBhAGwAXwB2AGEAbAB1AGUAXwBhAHIAcgBhAHkALgBcAG4ALwAvAFQAaABlACAAYQByAHIAYQB5ACAAaQBzACAAYQAgAGcAcgBvAHUAcAAgAG8AZgAgAGMAbwBsAHUAbQBuAHMAIAB0AG8AIAB3AG8AcgBrACAAdABoAHIAbwB1AGcAaAAgAGEAdAAgAGUAYQBjAGgAIAByAG8AdwAuAFwAbgAvAC8AVABoAGUAIABMAEEATQBCAEQAQQAgAGYAdQBuAGMAdABpAG8AbgAgAG0AdQBzAHQAIAByAGUAdAB1AHIAbgAgAGEAIABjAG8AbAB1AG0AbgAgAGEAcgByAGEAeQAuACAAVABoAGUAIABjAG8AbAB1AG0AbgAgAGEAcgByAGEAeQAgAG0AdQBzAHQAIABiAGUAIABhAHQAIABsAGUAYQBzAHQAIABhAHMAIABsAG8AbgBnACAAYQBzACAAdABoAGUAIABpAG4AaQB0AGkAYQBsAF8AdgBhAGwAdQBlAF8AYQByAHIAYQB5AC4AXABuAE0AdQBsAHQAaQBTAEMAQQBOACAAPQBMAEEATQBCAEQAQQAoAGkAbgBpAHQAaQBhAGwAXwB2AGEAbAB1AGUAXwBhAHIAcgBhAHkALABhAHIAcgBhAHkALABmAHUAbgBjAHQAaQBvAG4ALABcAG4AIAAgACAAIAAgACAAIAAgACAAIAAgACAAIAAgACAAIAAgACAAIAAgACAAIAAgAEwARQBUACgAcAByAGUAdgBfAHMAaQB6AGUALABDAE8ATABVAE0ATgBTACgAaQBuAGkAdABpAGEAbABfAHYAYQBsAHUAZQBfAGEAcgByAGEAeQApACwAXABuACAAIAAgACAAIAAgACAAIAAgACAAIAAgACAAIAAgACAAIAAgACAAIAAgACAAIAAgACAAIAAgAGEAcgByAF8AcwBpAHoAZQAsAFIATwBXAFMAKABhAHIAcgBhAHkAKQAsAFwAbgAgACAAIAAgACAAIAAgACAAIAAgACAAIAAgACAAIAAgACAAIAAgACAAIAAgACAAIAAgACAAIABwAGEAcgBhAF8AdgBlAGMAdABvAHIALABIAFMAVABBAEMASwAoAEMASABPAE8AUwBFAFIATwBXAFMAKABpAG4AaQB0AGkAYQBsAF8AdgBhAGwAdQBlAF8AYQByAHIAYQB5ACwAMQApACwAQwBIAE8ATwBTAEUAUgBPAFcAUwAoAGEAcgByAGEAeQAsADEAKQApACwAXABuACAAIAAgACAAIAAgACAAIAAgACAAIAAgACAAIAAgACAAIAAgACAAIAAgACAAIAAgACAAIAAgAHIAZQBzAHUAbAB0ACwAIABUAHUAcABsAGkAegBlAHIAKABwAGEAcgBhAF8AdgBlAGMAdABvAHIALABmAHUAbgBjAHQAaQBvAG4AKQAsAFwAbgAgACAAIAAgACAAIAAgACAAIAAgACAAIAAgACAAIAAgACAAIAAgACAAIAAgACAAIAAgACAAIABoAG8AbABkAG8AdgBlAHIALABUAEEASwBFACgAcgBlAHMAdQBsAHQALAAxACwAcAByAGUAdgBfAHMAaQB6AGUAKQAsAFwAbgAgACAAIAAgACAAIAAgACAAIAAgACAAIAAgACAAIAAgACAAIAAgACAAIAAgACAAIAAgACAAIABJAEYAKABhAHIAcgBfAHMAaQB6AGUALQAxAD0AMAAsAHIAZQBzAHUAbAB0ACwAVgBTAFQAQQBDAEsAKAByAGUAcwB1AGwAdAAsACAATQB1AGwAdABpAFMAYwBhAG4AKABoAG8AbABkAG8AdgBlAHIALABEAFIATwBQACgAYQByAHIAYQB5ACwAMQApACwAZgB1AG4AYwB0AGkAbwBuACkAKQApACkAKQA7AFwAbgBcAG4ALwAvAFQAaABpAHMAIABmAHUAbgBjAHQAaQBvAG4AIABtAGkAbQBpAGMAcwAgAGEAIABTAEMAQQBOACwAIABiAHUAdAAgAHQAaABlACAAaQBuAGkAdABpAGEAbABfAHYAYQBsAHUAZQAgAGkAcwAgAGEAbgAgAGEAcgByAGEAeQAgAGMAYQBsAGwAZQBkACAAaQBuAGkAdABpAGEAbABfAHYAYQBsAHUAZQBfAGEAcgByAGEAeQAuAFwAbgAvAC8AVABoAGUAIABhAHIAcgBhAHkAIABpAHMAIABhACAAZwByAG8AdQBwACAAbwBmACAAYwBvAGwAdQBtAG4AcwAgAHQAbwAgAHcAbwByAGsAIAB0AGgAcgBvAHUAZwBoACAAYQB0ACAAZQBhAGMAaAAgAHIAbwB3AC4AXABuAC8ALwBUAGgAZQAgAEwAQQBNAEIARABBACAAZgB1AG4AYwB0AGkAbwBuACAAbQB1AHMAdAAgAHIAZQB0AHUAcgBuACAAYQAgAGMAbwBsAHUAbQBuACAAYQByAHIAYQB5AC4AIABUAGgAZQAgAGMAbwBsAHUAbQBuACAAYQByAHIAYQB5ACAAbQB1AHMAdAAgAGIAZQAgAGEAdAAgAGwAZQBhAHMAdAAgAGEAcwAgAGwAbwBuAGcAIABhAHMAIAB0AGgAZQAgAGkAbgBpAHQAaQBhAGwAXwB2AGEAbAB1AGUAXwBhAHIAcgBhAHkALgBcAHQAXAB0AFwAdABcAHQAXAB0ACAAIAAgAFwAbgAvAC8ASQBsAGwAdQBzAHQAcgBhAHQAZQAgAHcAbwByAGsAcwAgAGwAaQBrAGUAIABNAHUAbABpAHQAUwBDAEEATgAgAGEAbgBkACAAYQBkAGQAcwAgAGEAIABoAGUAYQBkAGUAcgAgAGEAdAAgAHQAaABlACAAdABvAHAALgBcAG4ASQBsAGwAdQBzAHQAcgBhAHQAZQAgAD0ATABBAE0AQgBEAEEAKABpAG4AaQB0AGkAYQBsAF8AdgBhAGwAdQBlAF8AYQByAHIAYQB5ACwAYQByAHIAYQB5ACwAZgB1AG4AYwB0AGkAbwBuACwAaABlAGEAZABlAHIALABWAFMAVABBAEMASwAoAGgAZQBhAGQAZQByACwATQB1AGwAdABpAFMAYwBhAG4AKABpAG4AaQB0AGkAYQBsAF8AdgBhAGwAdQBlAF8AYQByAHIAYQB5ACwAYQByAHIAYQB5ACwAZgB1AG4AYwB0AGkAbwBuACkAKQApADsAIgB9ACwAewAiAHAAYQB0AGgAIgA6ACIALwBwAHIAbwBqAGUAYwB0AHMALwBWAEEAIgAsACIAdABlAHgAdAAiADoAIgBXAGkAdABoAGQAcgBhAHcAYQBsAFAAZQBuAGEAbAB0AHkAIAA9ACAATABBAE0AQgBEAEEAKABpAHMAQQBjAHQAaQB2AGEAdABlAGQALAB3AGQAVABhAGsAZQBuACwAcABDAHYALABjAHYALABwAE0AYQB3ACwAXABuACAAIAAgACAAIAAgACAAIAAgACAAIAAgACAAIAAgACAAIAAgACAAIAAgACAAIAAgACAAIABMAEUAVAAoAG4AbwBXAGQALAAgADEALABcAG4AIAAgACAAIAAgACAAIAAgACAAIAAgACAAIAAgACAAIAAgACAAIAAgACAAIAAgACAAIAAgACAAIAAgACAAcAByAGUAQQBjAHQAaQB2AGEAdABpAG8AbgBXAGQALAAgADEAIAAtACAATQBBAFgAKAAwACwAIAB3AGQAVABhAGsAZQBuACAALQAgAHAATQBhAHcAKQAgAC8AIAAoAHAAQwB2ACAALQAgAHAATQBhAHcAKQAsAFwAbgAgACAAIAAgACAAIAAgACAAIAAgACAAIAAgACAAIAAgACAAIAAgACAAIAAgACAAIAAgACAAIAAgACAAIABwAG8AcwB0AEEAYwB0AGkAdgBhAHQAaQBvAG4AVwBkACwAIAAxACAALQAgAHcAZABUAGEAawBlAG4AIAAvACAAYwB2ACwAXABuACAAIAAgACAAIAAgACAAIAAgACAAIAAgACAAIAAgACAAIAAgACAAIAAgACAAIAAgACAAIAAgACAAIAAgAEkARgAoAHcAZABUAGEAawBlAG4AIAA8AD4AIAAwACwAIABJAEYAKABpAHMAQQBjAHQAaQB2AGEAdABlAGQALAAgAHAAcgBlAEEAYwB0AGkAdgBhAHQAaQBvAG4AVwBkACwAIABwAG8AcwB0AEEAYwB0AGkAdgBhAHQAaQBvAG4AVwBkACkALAAgAG4AbwBXAGQAKQApACkAOwBcAG4AIABcAG4ASQBuAGMAbwBtAGUAQwByAGUAZABpAHQAQgBhAHMAZQAgAD0AIABMAEEATQBCAEQAQQAoAGkAcwBBAGMAdABpAHYAYQB0AGUAZAAsAGkAcwBBAG4AbgBpAHYAZQByAHMAYQByAHkALABoAGEAcwBJAG4AYwBvAG0AZQBDAHIAZQBkAGkAdAAsAGEAbgBuAGkAdgBlAHIAcwBhAHIAeQBDAHYALABwAHUAcgBjAGgAYQBzAGUAUABhAHkAbQBlAG4AdABzACwAdwBkAFAAZQBuAGEAbAB0AHkATQB1AGwAdAAsAHAAcgBlAHYASQBuAGMAbwBtAGUAQwByAGUAZABpAHQAQgBhAHMAZQAsAFwAbgAgACAAIAAgACAAIAAgACAAIAAgACAAIAAgACAAIAAgACAAIAAgACAAIAAgACAAIAAgACAASQBGACgATgBPAFQAKABpAHMAQQBjAHQAaQB2AGEAdABlAGQAKQAsAFwAbgAgACAAIAAgACAAIAAgACAAIAAgACAAIAAgACAAIAAgACAAIAAgACAAIAAgACAAIAAgACAAIAAgACAAIAAgACAAIAAgAEkARgAoAGgAYQBzAEkAbgBjAG8AbQBlAEMAcgBlAGQAaQB0ACwAcAByAGUAdgBJAG4AYwBvAG0AZQBDAHIAZQBkAGkAdABCAGEAcwBlACwAXABuACAAIAAgACAAIAAgACAAIAAgACAAIAAgACAAIAAgACAAIAAgACAAIAAgACAAIAAgACAAIAAgACAAIAAgACAAIAAgACAAIAAgACAAIAAgACAAIAAgAEkARgAoAGkAcwBBAG4AbgBpAHYAZQByAHMAYQByAHkALABcAG4AIAAgACAAIAAgACAAIAAgACAAIAAgACAAIAAgACAAIAAgACAAIAAgACAAIAAgACAAIAAgACAAIAAgACAAIAAgACAAIAAgACAAIAAgACAAIAAgACAAIAAgACAAIAAgACAATQBBAFgAKABwAHIAZQB2AEkAbgBjAG8AbQBlAEMAcgBlAGQAaQB0AEIAYQBzAGUALABhAG4AbgBpAHYAZQByAHMAYQByAHkAQwB2ACsAcAB1AHIAYwBoAGEAcwBlAFAAYQB5AG0AZQBuAHQAcwApACwAXABuACAAIAAgACAAIAAgACAAIAAgACAAIAAgACAAIAAgACAAIAAgACAAIAAgACAAIAAgACAAIAAgACAAIAAgACAAIAAgACAAIAAgACAAIAAgACAAIAAgACAAIAAgACAAIAAgAHAAcgBlAHYASQBuAGMAbwBtAGUAQwByAGUAZABpAHQAQgBhAHMAZQArAHAAdQByAGMAaABhAHMAZQBQAGEAeQBtAGUAbgB0AHMAKQApACoAdwBkAFAAZQBuAGEAbAB0AHkATQB1AGwAdAAsADAAKQApADsAXABuACAAIAAgACAAIAAgACAAIAAgACAAIAAgACAAIAAgACAAIAAgACAAIAAgACAAIAAgACAAIAAgACAAIAAgACAAIAAgACAAIAAgACAAIAAgACAAIAAgACAAIAAgACAAIAAgAFwAbgBJAG4AYwBvAG0AZQBDAHIAZQBkAGkAdAAgAD0AIABMAEEATQBCAEQAQQAoAHAAYQB5AFAAZQByAGkAbwBkACwAcAByAGUAdgBJAG4AYwBvAG0AZQBDAHIAZQBkAGkAdABCAGEAcwBlACwAaQBzAEEAYwB0AGkAdgBhAHQAZQBkACwAaQBzAEEAbgBuAGkAdgBlAHIAcwBhAHIAeQAsAFwAbgAgACAAIAAgACAAIAAgACAAIAAgACAAIAAgACAAIAAgACAAIAAgACAAIAAgAEwARQBUACgAcABpAGMAYgAsAEkARgAoAHAAYQB5AFAAZQByAGkAbwBkAD4AMAAsAHAAcgBlAHYASQBuAGMAbwBtAGUAQwByAGUAZABpAHQAQgBhAHMAZQAsADAAKQAsAFwAbgAgACAAIAAgACAAIAAgACAAIAAgACAAIAAgACAAIAAgACAAIAAgACAAIAAgACAAIAAgACAAaQBzAFAAcgBlAFMAeQBzAFcAZABPAG4AQQBuAG4AaQB2AGUAcgBzAGEAcgB5ACwAQQBOAEQAKABOAE8AVAAoAGkAcwBBAGMAdABpAHYAYQB0AGUAZAApACwAaQBzAEEAbgBuAGkAdgBlAHIAcwBhAHIAeQApACwAXABuACAAIAAgACAAIAAgACAAIAAgACAAIAAgACAAIAAgACAAIAAgACAAIAAgACAAIAAgACAAIAAgACAAIAAgAEkARgAoAGkAcwBQAHIAZQBTAHkAcwBXAGQATwBuAEEAbgBuAGkAdgBlAHIAcwBhAHIAeQAsAHAAaQBjAGIAKgBJAG4AYwBDAHIAZQBkAFIAYQB0AGUALAAwACkAKQApADsAXABuAFwAbgBNAGEAdwBTAHQAYQBjAGsAIAA9ACAATABBAE0AQgBEAEEAKABwAHIAZQB2AEMAdgAsAHAAcgBlAHYASQBCACwAcAByAGUAdgBJAEMAQgAsAHAAcgBlAHYATQBhAHcAYQAsAHAAYQB5AFAAZQByAGkAbwBkACwAdwBkAFQAYQBrAGUAbgAsAGMAdgAsAGkAcwBBAG4AbgBpAHYAZQByAHMAYQByAHkALABpAHMAQQBjAHQAaQB2AGEAdABlAGQALABwAHUAcgBjAGgAYQBzAGUAUABhAHkAbQBlAG4AdABzACwAbQBhAHcAZABSAGEAdABlACwAIABcAG4AIAAgACAAIAAgACAAIAAgACAAIAAgACAAIAAgACAAIABMAEUAVAAoAG4AbwBXAGQALAAgADEALABcAG4AIAAgACAAIAAgACAAIAAgACAAIAAgACAAIAAgACAAIAAgACAAIAAgAGEAbgBuAGkAdgBlAHIAcwBhAHIAeQBDAHYALABJAEYAKABPAFIAKABOAE8AVAAoAGkAcwBBAG4AbgBpAHYAZQByAHMAYQByAHkAKQAsAHAAYQB5AFAAZQByAGkAbwBkAD0AMAApACwAMAAsAGMAdgApACwAXABuACAAIAAgACAAIAAgACAAIAAgACAAIAAgACAAIAAgACAAIAAgACAAIAB3AGQAUABlAG4AYQBsAHQAeQBNAHUAbAB0ACwAIABXAGkAdABoAGQAcgBhAHcAYQBsAFAAZQBuAGEAbAB0AHkAKABpAHMAQQBjAHQAaQB2AGEAdABlAGQALAB3AGQAVABhAGsAZQBuACwAcAByAGUAdgBDAHYALABjAHYALABwAHIAZQB2AE0AYQB3AGEAKQAsAFwAbgAgACAAIAAgACAAIAAgACAAIAAgACAAIAAgACAAIAAgACAAIAAgACAAaQBuAGkAdABpAGEAbABDAHUAcgByAEkAQgAsACAASQBGACgAaQBzAEEAbgBuAGkAdgBlAHIAcwBhAHIAeQAsACAATQBBAFgAKABwAHIAZQB2AEkAQgAsACAAYQBuAG4AaQB2AGUAcgBzAGEAcgB5AEMAdgAgACsAIABwAHUAcgBjAGgAYQBzAGUAUABhAHkAbQBlAG4AdABzACkALAAgAHAAcgBlAHYASQBCACAAKwAgAHAAdQByAGMAaABhAHMAZQBQAGEAeQBtAGUAbgB0AHMAKQAgACoAIAB3AGQAUABlAG4AYQBsAHQAeQBNAHUAbAB0ACwAXABuACAAIAAgACAAIAAgACAAIAAgACAAIAAgACAAIAAgACAAIAAgACAAIABkAGUAbAB0AGEALAAgAGkAbgBpAHQAaQBhAGwAQwB1AHIAcgBJAEIAIAAtACAAcAByAGUAdgBJAEIALABcAG4AIAAgACAAIAAgACAAIAAgACAAIAAgACAAIAAgACAAIAAgACAAIAAgAGkAbgBjAG8AbQBlAEMAcgBlAGQAaQB0ACwAIABJAG4AYwBvAG0AZQBDAHIAZQBkAGkAdAAoAHAAYQB5AFAAZQByAGkAbwBkACwAcAByAGUAdgBJAEMAQgAsAGkAcwBBAGMAdABpAHYAYQB0AGUAZAAsAGkAcwBBAG4AbgBpAHYAZQByAHMAYQByAHkAKQAsAFwAbgAgACAAIAAgACAAIAAgACAAIAAgACAAIAAgACAAIAAgACAAIAAgACAAYQBkAGoAdQBzAHQAbQBlAG4AdAAsACAASQBGACgAQQBOAEQAKABpAHMAQQBuAG4AaQB2AGUAcgBzAGEAcgB5ACwAIABOAE8AVAAoAGkAcwBBAGMAdABpAHYAYQB0AGUAZAApACkALAAgAE0AQQBYACgAMAAsACAAaQBuAGMAbwBtAGUAQwByAGUAZABpAHQAIAAtACAAZABlAGwAdABhACkALAAgADAAKQAsAFwAbgAgACAAIAAgACAAIAAgACAAIAAgACAAIAAgACAAIAAgACAAIAAgACAAaABhAHMASQBuAGMAbwBtAGUAQwByAGUAZABpAHQALABhAGQAagB1AHMAdABtAGUAbgB0AD4AMAAsAFwAbgAgACAAIAAgACAAIAAgACAAIAAgACAAIAAgACAAIAAgACAAIAAgACAAaQBuAGMAbwBtAGUAQwByAGUAZABpAHQAQgBhAHMAZQAsACAASQBuAGMAbwBtAGUAQwByAGUAZABpAHQAQgBhAHMAZQAoAGkAcwBBAGMAdABpAHYAYQB0AGUAZAAsAGkAcwBBAG4AbgBpAHYAZQByAHMAYQByAHkALABoAGEAcwBJAG4AYwBvAG0AZQBDAHIAZQBkAGkAdAAsAGEAbgBuAGkAdgBlAHIAcwBhAHIAeQBDAHYALABwAHUAcgBjAGgAYQBzAGUAUABhAHkAbQBlAG4AdABzACwAdwBkAFAAZQBuAGEAbAB0AHkATQB1AGwAdAAsAHAAcgBlAHYASQBDAEIAKQAsAFwAbgAgACAAIAAgACAAIAAgACAAIAAgACAAIAAgACAAIAAgACAAIAAgACAAaQBuAGMAbwBtAGUAQgBhAHMAZQAsACAAaQBuAGkAdABpAGEAbABDAHUAcgByAEkAQgAgACsAIABhAGQAagB1AHMAdABtAGUAbgB0ACwAXABuACAAIAAgACAAIAAgACAAIAAgACAAIAAgACAAIAAgACAAIAAgACAAIABtAGEAdwBhACwAIABJAEYAKABjAHYAIAA+ACAAMAAsACAAaQBuAGMAbwBtAGUAQgBhAHMAZQAgACoAIABtAGEAdwBkAFIAYQB0AGUALAAgADAAKQAsAFwAbgAgACAAIAAgACAAIAAgACAAIAAgACAAIAAgACAAIAAgACAAIAAgACAASABTAFQAQQBDAEsAKABjAHYALAAgAGkAbgBjAG8AbQBlAEIAYQBzAGUALABpAG4AYwBvAG0AZQBDAHIAZQBkAGkAdABCAGEAcwBlACwAbQBhAHcAYQAsAHcAZABQAGUAbgBhAGwAdAB5AE0AdQBsAHQALAAgAGEAZABqAHUAcwB0AG0AZQBuAHQALAAgAGkAbgBjAG8AbQBlAEMAcgBlAGQAaQB0ACkAKQApADsAXABuAFwAbgBQAHIAbwB0AGUAYwB0AGUAZABJAG4AYwBvAG0AZQBQAGEAeQBtAGUAbgB0ACAAPQAgAEwAQQBNAEIARABBACgAYwB2ACwAaQBuAGMAbwBtAGUAQgBhAHMAZQAsAHAAaQBwAF8AcgBhAHQAZQAsAEkARgAoAGMAdgA9ADAALABwAGkAcABfAHIAYQB0AGUAKgBpAG4AYwBvAG0AZQBCAGEAcwBlACwAMAApACkAOwBcAG4AXABuAEkAcwBBAG4AbgBpAHYAZQByAHMAYQByAHkAIAA9ACAATABBAE0AQgBEAEEAKABwAGEAeQBQAGUAcgBpAG8AZAAsAHAAYQB5AFAAZQByAGkAbwBkAC0ASQBOAFQAKABwAGEAeQBQAGUAcgBpAG8AZAApAD0AMAApADsAXABuAFwAbgBJAHMAQQBjAHQAaQB2AGEAdABlAGQAIAA9ACAATABBAE0AQgBEAEEAKABwAGEAeQBQAGUAcgBpAG8AZAAsAGEAYwB0AGkAdgBhAHQAaQBvAG4AUABlAHIAaQBvAGQALABwAGEAeQBQAGUAcgBpAG8AZAA+AD0AYQBjAHQAaQB2AGEAdABpAG8AbgBQAGUAcgBpAG8AZAApADsAXABuAFwAbgBcAG4ALwAvAFMAaQBtAHAAbABlACAAaQBuAHQAZQByAGUAcwB0ACAAZgBvAHIAbQB1AGwAYQBcAHQAXAB0AFwAbgBTAGkAbQBwAGwAZQAgAD0AIABMAEEATQBCAEQAQQAoAHQAaQBtAGUALAByAGEAdABlACwAKAAxACsAcgBhAHQAZQAqAEkATgBUACgAdABpAG0AZQApACkAKQA7AFwAbgAiAH0AXQAsACIAcAByAG8AagBlAGMAdABOAGEAbQBlAHMAIgA6AFsAIgBVAHQAaQBsAHMALgBOAGUAdwB0AG8AbgBSAGEAcABoAHMAbwBuACIALAAiAFUAdABpAGwAcwAuAE0AbwByAHQAUwBvAGEATwByAGcAQQBkAGQAcgBlAHMAcwAiACwAIgBVAHQAaQBsAHMALgBlAHIAcgBvAHIATQBlAHMAcwBhAGcAZQAiACwAIgBVAHQAaQBsAHMALgBHAGUAdABNAG8AcgB0AFMAbwBhAE8AcgBnAFQAYQBiAGwAZQBJAGQAcwBBAG4AZABOAGEAbQBlAHMAIgAsACIAVQB0AGkAbABzAC4ARgBpAGwAdABlAHIATQBvAHIAdABTAG8AYQBPAHIAZwBBAGMAdABpAHYAZQBUAGEAYgBsAGUASQBkAHMAQQBuAGQATgBhAG0AZQBzACIALAAiAFUAdABpAGwAcwAuAEcAZQB0AE0AbwByAHQAYQBsAGkAdAB5AFQAYQBiAGwAZQAiACwAIgBVAHQAaQBsAHMALgBDAG8AbQBiAG8AUwBDAEEATgAyACIALAAiAFUAdABpAGwAcwAuAEMAbwBtAGIAbwBTAEMAQQBOADMAIgAsACIAVQB0AGkAbABzAC4AQwBvAG0AYgBvAFMAQwBBAE4ANAAiACwAIgBVAHQAaQBsAHMALgBDAG8AbQBiAG8AUwBDAEEATgA1ACIALAAiAFUAdABpAGwAcwAuAEMAbwBtAGIAbwBTAEMAQQBOADYAIgAsACIAVQB0AGkAbABzAC4AQwBDACIALAAiAFUAdABpAGwAcwAuAFQAdQBwAGwAaQB6AGUAcgAiACwAIgBVAHQAaQBsAHMALgBNAHUAbAB0AGkAUwBDAEEATgAiACwAIgBVAHQAaQBsAHMALgBJAGwAbAB1AHMAdAByAGEAdABlACIALAAiAFYAQQAuAFcAaQB0AGgAZAByAGEAdwBhAGwAUABlAG4AYQBsAHQAeQAiACwAIgBWAEEALgBJAG4AYwBvAG0AZQBDAHIAZQBkAGkAdABCAGEAcwBlACIALAAiAFYAQQAuAEkAbgBjAG8AbQBlAEMAcgBlAGQAaQB0ACIALAAiAFYAQQAuAE0AYQB3AFMAdABhAGMAawAiACwAIgBWAEEALgBQAHIAbwB0AGUAYwB0AGUAZABJAG4AYwBvAG0AZQBQAGEAeQBtAGUAbgB0ACIALAAiAFYAQQAuAEkAcwBBAG4AbgBpAHYAZQByAHMAYQByAHkAIgAsACIAVgBBAC4ASQBzAEEAYwB0AGkAdgBhAHQAZQBkACIALAAiAFYAQQAuAFMAaQBtAHAAbABlACIAXQAsACIAbABvAGMAYQBsAGUAIgA6AHsAIgBsAGkAcwB0AFMAZQBwAGEAcgBhAHQAbwByACIAOgAiACwAIgAsACIAcgBvAHcAUwBlAHAAYQByAGEAdABvAHIAIgA6ACIAOwAiACwAIgBjAG8AbAB1AG0AbgBTAGUAcABhAHIAYQB0AG8AcgAiADoAIgAsACIALAAiAHQAaABvAHUAcwBhAG4AZABzAFMAZQBwAGEAcgBhAHQAbwByACIAOgAiACwAIgAsACIAdABoAG8AdQBzAGEAbgBkAHMAUABvAHMAaQB0AGkAbwBuAHMAIgA6AFsAMwBdACwAIgBkAGUAYwBpAG0AYQBsAFMAZQBwAGEAcgBhAHQAbwByACIAOgAiAC4AIgAsACIAZABhAHQAZQBPAHIAZABlAHIAIgA6ACIATQBEAFkAIgAsACIAYwB1AHIAcgBlAG4AYwB5AFMAeQBtAGIAbwBsACIAOgAiACQAIgAsACIAaQBzAEMAdQByAHIAZQBuAGMAeQBTAHkAbQBiAG8AbABMAGUAYQBkACIAOgB0AHIAdQBlACwAIgBpAHMAQwB1AHIAcgBlAG4AYwB5AFMAZQBwAEIAeQBTAHAAYQBjAGUAIgA6AGYAYQBsAHMAZQAsACIAcgBvAHcATABlAHQAdABlAHIAIgA6ACIAUgAiACwAIgBjAG8AbAB1AG0AbgBMAGUAdAB0AGUAcgAiADoAIgBDACIALAAiAHIAYwBMAGUAZgB0AEIAcgBhAGMAawBlAHQAIgA6ACIAWwAiACwAIgByAGMAUgBpAGcAaAB0AEIAcgBhAGMAawBlAHQAIgA6ACIAXQAiACwAIgBzAHQAYQB0AGUAbQBlAG4AdABTAGUAcABhAHIAYQB0AG8AcgAiADoAIgA7ACIALAAiAGwAbwBjAGEAbABlAE4AYQBtAGUAIgA6ACIAZQBuAC0AdQBzACIAfQB9AA==</AFEJSONBlob>
</file>

<file path=customXml/itemProps1.xml><?xml version="1.0" encoding="utf-8"?>
<ds:datastoreItem xmlns:ds="http://schemas.openxmlformats.org/officeDocument/2006/customXml" ds:itemID="{BAB9D61B-AD4B-417F-97A6-AC978A12C9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Prospectus</vt:lpstr>
      <vt:lpstr>Glossary</vt:lpstr>
      <vt:lpstr>Example Doc</vt:lpstr>
      <vt:lpstr>How It Works</vt:lpstr>
      <vt:lpstr>Orders of Operation</vt:lpstr>
      <vt:lpstr>Calculation D - Classic</vt:lpstr>
      <vt:lpstr>Calc D - Classic No Offset</vt:lpstr>
      <vt:lpstr>Calculation D - MAPS</vt:lpstr>
      <vt:lpstr>Scan Examples</vt:lpstr>
      <vt:lpstr>Calculation D - Dynamics</vt:lpstr>
      <vt:lpstr>Sheet1</vt:lpstr>
      <vt:lpstr>'Calc D - Classic No Offset'!ActivationPeriod</vt:lpstr>
      <vt:lpstr>ActivationPeriod</vt:lpstr>
      <vt:lpstr>'Calc D - Classic No Offset'!IncCredRate</vt:lpstr>
      <vt:lpstr>IncCredRate</vt:lpstr>
      <vt:lpstr>'Calc D - Classic No Offset'!MawRate</vt:lpstr>
      <vt:lpstr>MawRate</vt:lpstr>
      <vt:lpstr>Periods</vt:lpstr>
      <vt:lpstr>'Calc D - Classic No Offset'!pipRate</vt:lpstr>
      <vt:lpstr>pipRate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Bryon Robidoux</dc:creator>
  <cp:lastModifiedBy>Bryon Robidoux</cp:lastModifiedBy>
  <dcterms:created xsi:type="dcterms:W3CDTF">2020-11-27T19:30:22Z</dcterms:created>
  <dcterms:modified xsi:type="dcterms:W3CDTF">2024-12-07T02:37:57Z</dcterms:modified>
</cp:coreProperties>
</file>