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Product Catalog" sheetId="2" r:id="rId5"/>
    <sheet state="visible" name="My Cart" sheetId="3" r:id="rId6"/>
    <sheet state="visible" name="Product details" sheetId="4" r:id="rId7"/>
    <sheet state="visible" name="Payment Screen" sheetId="5" r:id="rId8"/>
    <sheet state="visible" name="Promotional Voucher" sheetId="6" r:id="rId9"/>
    <sheet state="visible" name="Personnal Information" sheetId="7" r:id="rId10"/>
    <sheet state="visible" name="Favorite Products" sheetId="8" r:id="rId11"/>
    <sheet state="visible" name="Order history" sheetId="9" r:id="rId12"/>
    <sheet state="visible" name="Address Management" sheetId="10" r:id="rId13"/>
  </sheets>
  <definedNames/>
  <calcPr/>
</workbook>
</file>

<file path=xl/sharedStrings.xml><?xml version="1.0" encoding="utf-8"?>
<sst xmlns="http://schemas.openxmlformats.org/spreadsheetml/2006/main" count="6576" uniqueCount="4027">
  <si>
    <t>Total case</t>
  </si>
  <si>
    <t>Pass</t>
  </si>
  <si>
    <t>Fail</t>
  </si>
  <si>
    <t>Untest</t>
  </si>
  <si>
    <t>Code</t>
  </si>
  <si>
    <t>Function</t>
  </si>
  <si>
    <t>Description</t>
  </si>
  <si>
    <t>Pre-condition</t>
  </si>
  <si>
    <t>Test Steps</t>
  </si>
  <si>
    <t>Test Data</t>
  </si>
  <si>
    <t>Expected result</t>
  </si>
  <si>
    <t>Actual result</t>
  </si>
  <si>
    <t>Status</t>
  </si>
  <si>
    <t>Notes</t>
  </si>
  <si>
    <t>HP01</t>
  </si>
  <si>
    <t>UI</t>
  </si>
  <si>
    <t>Check Vtech logo</t>
  </si>
  <si>
    <t>The Home Page has uploaded complete information of the components.</t>
  </si>
  <si>
    <t>Navigate to Home Page
Check that the Vtech logo is displayed at the correct size, position, and is not blurred or missing</t>
  </si>
  <si>
    <t>- Displays correct size, logo position and is not blurred or missing from Vtech</t>
  </si>
  <si>
    <t>Run rate</t>
  </si>
  <si>
    <t>HP02</t>
  </si>
  <si>
    <t>Check search input</t>
  </si>
  <si>
    <t xml:space="preserve">Navigate to Home Page
Check the size,border color , background and placement of search box display correctly </t>
  </si>
  <si>
    <t>- display correct size, background color, border color and position of search box</t>
  </si>
  <si>
    <t>- Correct: Size, position
- Incorrect: Background color, border color and border-radius</t>
  </si>
  <si>
    <t>Pass rate</t>
  </si>
  <si>
    <t>HP03</t>
  </si>
  <si>
    <t>Check plahoder in search input</t>
  </si>
  <si>
    <t xml:space="preserve">Navigate to home page
Check the plahoder text size, position, and color in the search box display correctly </t>
  </si>
  <si>
    <t>- display correct size, position, font color of plahoder in search box</t>
  </si>
  <si>
    <t xml:space="preserve">- Correct: Size, position
- Incorrect: The color of the icon and the text in the placeholder are not the same
</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</si>
  <si>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</si>
  <si>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HP04</t>
  </si>
  <si>
    <t>Test banner's auto-scroll ability</t>
  </si>
  <si>
    <t>Navigate to Homepage
Test Banner for good horizontal auto-scrolling</t>
  </si>
  <si>
    <t>- good horizontal scrolling ability of banner</t>
  </si>
  <si>
    <t>HP05</t>
  </si>
  <si>
    <t>Check the banner image</t>
  </si>
  <si>
    <t>Navigate to the home page
Check that the banner images are displayed at the correct size and position and that they are not blurred, obscured or missing</t>
  </si>
  <si>
    <t>- display correct size, position and ensure banner images are not blurred, obscured or missing</t>
  </si>
  <si>
    <t xml:space="preserve">- Correct: Position, noy blurred
- Incorrect: Border-radius, size </t>
  </si>
  <si>
    <t>HP06</t>
  </si>
  <si>
    <t>Check the dotindicator of banner</t>
  </si>
  <si>
    <t>Navigate to the home page
Check that the dotindicator of banner are displayed at the correct size and position and color</t>
  </si>
  <si>
    <t>- Display correct size, position and color of dotindicator</t>
  </si>
  <si>
    <t>AUTHOR:</t>
  </si>
  <si>
    <t>Nhung</t>
  </si>
  <si>
    <t>HP07</t>
  </si>
  <si>
    <t>Check the ability when users swipe the banner to the right or left</t>
  </si>
  <si>
    <t>Navigate to Home Page
Swipe banner left or right
Check banner display smoothly when scrolling</t>
  </si>
  <si>
    <t>- good ability when users swipe banner images to the right or left</t>
  </si>
  <si>
    <t>HP08</t>
  </si>
  <si>
    <t>Check out the list containing popular brands</t>
  </si>
  <si>
    <t>Navigate to Home Page
Check the correct placement and size of the list containing popular brands</t>
  </si>
  <si>
    <t>- display correct position and size of list containing famous brands</t>
  </si>
  <si>
    <t>- It is not displayed yet.</t>
  </si>
  <si>
    <t>HP09</t>
  </si>
  <si>
    <t>Check the space between the brands item</t>
  </si>
  <si>
    <t>Navigate to Home Page
Check the brand Items displayed with even spacing</t>
  </si>
  <si>
    <t>- show even spacing between brands</t>
  </si>
  <si>
    <t>HP10</t>
  </si>
  <si>
    <t>Check the Flash Sale title container, sale time and view all link (position, size)</t>
  </si>
  <si>
    <t xml:space="preserve">Navigate to the home page
Check the position, size of the Flash Sell title container, sell time and view all link display correctly </t>
  </si>
  <si>
    <t>- display correct position, size of "Flash Sell" title container, sell time and view all link</t>
  </si>
  <si>
    <t>- It is not fully displayed</t>
  </si>
  <si>
    <t>HP11</t>
  </si>
  <si>
    <t>Check "Flash sale" title</t>
  </si>
  <si>
    <t xml:space="preserve">Navigate to Home
Check the font size, position and color the "Flash Sell" Title display correctly </t>
  </si>
  <si>
    <t>- display correct size, position, and font color of "Flash Sell" title</t>
  </si>
  <si>
    <t>HP12</t>
  </si>
  <si>
    <t>Check the correct runtime display area on the Flash sell list view screen</t>
  </si>
  <si>
    <t>Navigate to home page
Check  the correct runtime with the time in the Flash Sell list view screen</t>
  </si>
  <si>
    <t>- The running time display area matches the time on the Flash sell list view screen</t>
  </si>
  <si>
    <t>HP13</t>
  </si>
  <si>
    <t>Check "Sell time" text</t>
  </si>
  <si>
    <t xml:space="preserve">Navigate to the home page
Check the position, size, and color of the sell time text display correctly </t>
  </si>
  <si>
    <t>- display correct position, size and font color of sell time</t>
  </si>
  <si>
    <t>HP14</t>
  </si>
  <si>
    <t>Check link text "See all"</t>
  </si>
  <si>
    <t>Navigate to Home Page
Check the "See All" link for correct size, position, and color</t>
  </si>
  <si>
    <t>- display correct size, position and font color of "See all" link</t>
  </si>
  <si>
    <t>HP15</t>
  </si>
  <si>
    <t xml:space="preserve">Check "Flash Sell" product list (positon and size)
</t>
  </si>
  <si>
    <t>Navigate to Home Page
Check the correct size and position of the "Flash Sell" product list</t>
  </si>
  <si>
    <t>- display correct size and position of Flash Sell product list</t>
  </si>
  <si>
    <t>HP16</t>
  </si>
  <si>
    <t>Check the distance between products</t>
  </si>
  <si>
    <t>Navigate to Home Page
Check for correct spacing between products in the list</t>
  </si>
  <si>
    <t>- display correct spacing between products in the list</t>
  </si>
  <si>
    <t>HP17</t>
  </si>
  <si>
    <t>Check the size of product item card</t>
  </si>
  <si>
    <t>Navigate to Home Page
Check for correct size of product item card</t>
  </si>
  <si>
    <t>- display correct size of each product card</t>
  </si>
  <si>
    <t>- Smaller than designed</t>
  </si>
  <si>
    <t>HP18</t>
  </si>
  <si>
    <t>Check the percentage display area on a product item</t>
  </si>
  <si>
    <t>Navigate to Home Page
Check the correct display of percentage area on a product item</t>
  </si>
  <si>
    <t>- display correct percentage display area on 1 product item</t>
  </si>
  <si>
    <t>HP19</t>
  </si>
  <si>
    <t>Check the favorite icon is displayed</t>
  </si>
  <si>
    <t>Navigate to Home Page
Check the correct display of the favorite icon on a product item</t>
  </si>
  <si>
    <t>- display correct the favorite icon on 1 product item</t>
  </si>
  <si>
    <t>HP20</t>
  </si>
  <si>
    <t>Check product image display area</t>
  </si>
  <si>
    <t>Navigate to Home Page
Check the product image is displayed correctly in a product item</t>
  </si>
  <si>
    <t>- display correct product image in 1 product category</t>
  </si>
  <si>
    <t>HP21</t>
  </si>
  <si>
    <t>Check new label display area for new products</t>
  </si>
  <si>
    <t>Navigate to Home Page
Check the correct display area for the "New" label for new products</t>
  </si>
  <si>
    <t>- display correct "New" label display area for new products</t>
  </si>
  <si>
    <t>HP22</t>
  </si>
  <si>
    <t>Check the product name display area</t>
  </si>
  <si>
    <t xml:space="preserve">Navigate to home page
Verify the size, position, and color of the image name display correctly </t>
  </si>
  <si>
    <t>- display correct size, position, color of product name display area</t>
  </si>
  <si>
    <t>HP23</t>
  </si>
  <si>
    <t>Check the product brand display area</t>
  </si>
  <si>
    <t xml:space="preserve">Navigate to Home Page
Check the size, position, and color of the product brand display correctly </t>
  </si>
  <si>
    <t>- display correct size, position, color of brand display area</t>
  </si>
  <si>
    <t>HP24</t>
  </si>
  <si>
    <t>Check the product price display area</t>
  </si>
  <si>
    <t>Navigate to Home Page
Check the display size, position, color of the product price display correctly</t>
  </si>
  <si>
    <t>- size, position, color of product price display area</t>
  </si>
  <si>
    <t>HP25</t>
  </si>
  <si>
    <t>Check the product's original price display area</t>
  </si>
  <si>
    <t xml:space="preserve">Navigate to the home page
Check the correct size, position, and format of the product's original price display correctly </t>
  </si>
  <si>
    <t>- display correct size, position, format of the product's original price display area</t>
  </si>
  <si>
    <t>HP26</t>
  </si>
  <si>
    <t>Check the icon cart of each item is correct</t>
  </si>
  <si>
    <t xml:space="preserve">Navigate to the home page
Check the correct size, position, background color display correctly </t>
  </si>
  <si>
    <t xml:space="preserve">- Display correct size, position, background color </t>
  </si>
  <si>
    <t>HP27</t>
  </si>
  <si>
    <t>Check the display to ensure the available product quantity is shown correctly in the designated area (size, text color, position)</t>
  </si>
  <si>
    <t>Navigate to the home page
Check the available product quantity is shown correctly in the designated area.</t>
  </si>
  <si>
    <t>- the available product quantity is shown correctly in the designated area.</t>
  </si>
  <si>
    <t>HP28</t>
  </si>
  <si>
    <t>Check page scrolling</t>
  </si>
  <si>
    <t>Navigate to Home Page
Scroll up or down
The  "Home Page" scrolls smoothly</t>
  </si>
  <si>
    <t>- good page scrolling</t>
  </si>
  <si>
    <t>HP29</t>
  </si>
  <si>
    <t>Check the "Popular Products" title</t>
  </si>
  <si>
    <t>Navigate to Home Page
Check that the "Popular Products" title is displayed in the correct size, position, and color</t>
  </si>
  <si>
    <t>- display the correct size, position and color of the "Popular Products" title</t>
  </si>
  <si>
    <t>HP30</t>
  </si>
  <si>
    <t>Check the link text "See all"</t>
  </si>
  <si>
    <t xml:space="preserve">Navigate to Home Page
Check the position, size, and color of the "See All" text link display correctly </t>
  </si>
  <si>
    <t>- display correct size, position, color of "See all" text link</t>
  </si>
  <si>
    <t>HP31</t>
  </si>
  <si>
    <t>Check the "Popular Products" list display area</t>
  </si>
  <si>
    <t xml:space="preserve">Navigate to Home Page
Check the size and position of the "Popular Products" list display correctly </t>
  </si>
  <si>
    <t>- the size and position of the "Popular Products" list display correctly</t>
  </si>
  <si>
    <t>HP32</t>
  </si>
  <si>
    <t>Check out the horizontal scrolling capability to see popular lists</t>
  </si>
  <si>
    <t>Navigate to Homepage
Check out the good horizontal scrolling to see the popular product list</t>
  </si>
  <si>
    <t>- good horizontal scrolling to view popular product list</t>
  </si>
  <si>
    <t>HP33</t>
  </si>
  <si>
    <t>Check the display area of ​​the product category title</t>
  </si>
  <si>
    <t xml:space="preserve">Navigate to Home Page
Check the size, position, and display area of ​​the "Product Categories" title display correctly </t>
  </si>
  <si>
    <t>- display the correct size, position and display area of ​​the "Product Category" title</t>
  </si>
  <si>
    <t>HP34</t>
  </si>
  <si>
    <t>Check the category scroll bar display area</t>
  </si>
  <si>
    <t xml:space="preserve">Navigate to Home Page
Check the size and position of the category scroll bar display correctly </t>
  </si>
  <si>
    <t>- display correct size and position of category scroll bar display area</t>
  </si>
  <si>
    <t>HP35</t>
  </si>
  <si>
    <t>Check the product catalog list (position and size)</t>
  </si>
  <si>
    <t xml:space="preserve">Navigate to Home Page
Check the  size and position of product categories list display correctly </t>
  </si>
  <si>
    <t>- display correct size and position of product categories list</t>
  </si>
  <si>
    <t>- The alignment is inconsistent</t>
  </si>
  <si>
    <t>Ô chổ này em giải thích lại giúp anh nhé, sao em đang làm tới phần sản phẩm phổ biến rồi em lại quay lại phần flash sale nhỉ</t>
  </si>
  <si>
    <t>HP36</t>
  </si>
  <si>
    <t>Check the ability to load product list when swiping up</t>
  </si>
  <si>
    <t>Navigate to Home
Verify the ability to refresh the list when swiping up</t>
  </si>
  <si>
    <t>- good list refresh on swipe up</t>
  </si>
  <si>
    <t>- The list not refreshed</t>
  </si>
  <si>
    <t>HP37</t>
  </si>
  <si>
    <t>Check the red favorite icon if the product has been previously favorited</t>
  </si>
  <si>
    <t>Navigate to Homepage
Check the correct color of the favorites icon when the product has been added to the favorites list</t>
  </si>
  <si>
    <t>- The color of the favorite icon is changed to red when the product has been in the previous favorite list.</t>
  </si>
  <si>
    <t>HP38</t>
  </si>
  <si>
    <t>Scroll ngang</t>
  </si>
  <si>
    <t>HP39</t>
  </si>
  <si>
    <t>DANH SÁCH THƯƠN HIỆU</t>
  </si>
  <si>
    <t>Check to display "Please try again later" message when there is an error from server</t>
  </si>
  <si>
    <t>Navigate to Home Page
Check to display the "Please try again later" message when there is a server error while loading the list</t>
  </si>
  <si>
    <t>- show "Please try again later" message when there is an error from server why loading the list</t>
  </si>
  <si>
    <t>HP40</t>
  </si>
  <si>
    <t>Check list loading when network is weak</t>
  </si>
  <si>
    <t>Navigate to Home Page
Check if "Please Try Again Later" message is displayed when the network is weak</t>
  </si>
  <si>
    <t>- display "Please try again later" message when network is weak</t>
  </si>
  <si>
    <t>HP41</t>
  </si>
  <si>
    <t>FLASH SELL</t>
  </si>
  <si>
    <t>Check when list is empty</t>
  </si>
  <si>
    <t>Navigate to Home Page
Check displays "No Results Found" message and displays blank interface</t>
  </si>
  <si>
    <t>- show "No results found" message and show blank interface</t>
  </si>
  <si>
    <t>HP42</t>
  </si>
  <si>
    <t>Check that the product information is displayed correctly in the list.</t>
  </si>
  <si>
    <t>Navigate to the home page
Check that the product information is displayed correctly in the list</t>
  </si>
  <si>
    <t>- The product information is displayed correctly in the list</t>
  </si>
  <si>
    <t>HP43</t>
  </si>
  <si>
    <t>Check when a product is sold out but still in flash shell</t>
  </si>
  <si>
    <t>Navigate to home page
Verify that the product is out of stock and the user cannot place an order</t>
  </si>
  <si>
    <t>- Shows that the product is out of stock and the user cannot place an order.</t>
  </si>
  <si>
    <t>HP44</t>
  </si>
  <si>
    <t>Check the "Please try again later" message  when there is an error from the server while loading the "Flash Sell" list</t>
  </si>
  <si>
    <t>Navigate to Home Page
Check to display the "Please try again later" message when there is a server error while loading the list</t>
  </si>
  <si>
    <t>- Displays "Please try again later" message when there is an error from the server while the loading list</t>
  </si>
  <si>
    <t>HP45</t>
  </si>
  <si>
    <t>HP46</t>
  </si>
  <si>
    <t>Check if the list is automatically updated in real time when the Flash sell time expires or the number of available products is updated</t>
  </si>
  <si>
    <t>Navigate to Homepage
Check the list is automatically updated in real time when Flash sell time expires or the available quantity is updated after the user makes a purchase</t>
  </si>
  <si>
    <t>- The list is automatically updated in real time when the Flash sell time expires or the number of available products is updated after a user makes a purchase</t>
  </si>
  <si>
    <t>HP47</t>
  </si>
  <si>
    <t>Test the handling when the list has many items, make sure there is no lag</t>
  </si>
  <si>
    <t>Navigate to Home Page
Check for fast loading when the list has many items and no lag</t>
  </si>
  <si>
    <t>- fast loading capability when the list has many items and no lag</t>
  </si>
  <si>
    <t>HP48</t>
  </si>
  <si>
    <t>Check after the flash sale ends the time display area will be refreshed</t>
  </si>
  <si>
    <t>Navigate to the home page
Check the Flash Sell end time display area, the time display area will be refreshed</t>
  </si>
  <si>
    <t>- When the Flash Sale end time display area is completed, the time display area will be refreshed.</t>
  </si>
  <si>
    <t>HP49</t>
  </si>
  <si>
    <t>Check after the flash sale period ends, the Flash shell list is refreshed</t>
  </si>
  <si>
    <t>Navigate to Home Page
Check the Flash Sell list which is refreshed after the Flash Sell period ends</t>
  </si>
  <si>
    <t>- Flash Sell list is refreshed after Flash Sell period ends</t>
  </si>
  <si>
    <t>HP50</t>
  </si>
  <si>
    <t>Products in the Flash Sale list cannot be duplicated.</t>
  </si>
  <si>
    <t>Navigate to the home page
Check that the products in the list are not duplicated</t>
  </si>
  <si>
    <t>- Products in the list will not be duplicated</t>
  </si>
  <si>
    <t>HP51</t>
  </si>
  <si>
    <t>Check when clicking "View all", the system navigates to the "Flash Sell" page</t>
  </si>
  <si>
    <t>Navigate to Home Page
Check the system displays the Flash Sell list page when clicking "View All"</t>
  </si>
  <si>
    <t>- The system displays the Flash Sale list page when clicking "View all"</t>
  </si>
  <si>
    <t>HP52</t>
  </si>
  <si>
    <t>Check that out of stock products will be shown with out of stock label and hide available products</t>
  </si>
  <si>
    <t>Navigate to home page
Check out of stock products will be displayed out of stock label and hide available products</t>
  </si>
  <si>
    <t>- Out of stock products will be displayed with an out of stock label and the number of available products will be hidden.</t>
  </si>
  <si>
    <t>HP53</t>
  </si>
  <si>
    <t>TÌM KIẾM_FLASH SELL</t>
  </si>
  <si>
    <t>Check the list of returned products that contain the search keyword and are on the flash sell list</t>
  </si>
  <si>
    <t>Navigate to the home page
Click on the search area
Enter the search keyword
Click the search "Button"
Check the display of the returned list of products containing the search keyword and are in the Flash Sell list</t>
  </si>
  <si>
    <t>- Displays a list of products that contain the search keyword and are on the Flash Sell list.</t>
  </si>
  <si>
    <t>HP54</t>
  </si>
  <si>
    <t>Check when the system displays "No results found" when no data containing the search keyword exists</t>
  </si>
  <si>
    <t>Navigate to the home page
Click on the search area
Enter search keywords
Click the search "Button"
Check the system displays "No results found" when there is no data containing the search keywords</t>
  </si>
  <si>
    <t>- The system displays "No results found" when there is no data containing the search keyword.</t>
  </si>
  <si>
    <t>HP55</t>
  </si>
  <si>
    <t>Check the system keeps screen when user enters keywords as blanks</t>
  </si>
  <si>
    <t>Navigate to the home page
Click on the search area
Enter search keywords as blanks
Click the search "Button"
Check the system to keep the page status</t>
  </si>
  <si>
    <t>- the system keeps the page status</t>
  </si>
  <si>
    <t>HP56</t>
  </si>
  <si>
    <t>Check the system deletes search data when clicking the close icon</t>
  </si>
  <si>
    <t>Navigate to the home page
Click on the search area
Enter search keywords
Click on the close icon to the right of the search box
Check the system deletes search data when clicking on the close icon</t>
  </si>
  <si>
    <t>- the system deletes search data when clicking the close icon</t>
  </si>
  <si>
    <t>HP57</t>
  </si>
  <si>
    <t>GỢI Ý_TÌM KIẾM</t>
  </si>
  <si>
    <t>Check the suggestions displayed when the user types a keyword that matches the data</t>
  </si>
  <si>
    <t>Navigate to the home page
Click on the search box
Enter search keywords
Check the system to display suggestions that match the keyword</t>
  </si>
  <si>
    <t>- The system displays suggestions that match the search keywords.</t>
  </si>
  <si>
    <t>HP58</t>
  </si>
  <si>
    <t>Check that the displayed suggestions are not duplicated.</t>
  </si>
  <si>
    <t>Navigate to the home page
Click on the search box
Enter search keywords
Check the system to display suggestions that match the keyword</t>
  </si>
  <si>
    <t>HP59</t>
  </si>
  <si>
    <t>Check the display of suggestions on the search bar when the user selects an item in the suggestion list</t>
  </si>
  <si>
    <t>Navigate to the home page
Click on the search box
Enter a search kyword
Select a suggestion from the suggestion list
Check the system to display the selected suggestion on the search bar</t>
  </si>
  <si>
    <t>- the system displays selected suggestions on the search bar</t>
  </si>
  <si>
    <t>HP60</t>
  </si>
  <si>
    <t>Check to display "No results found" message when suggestion list is empty</t>
  </si>
  <si>
    <t>Navigate to the Home page
Click on the search box
Enter search keywords
Check for "No results found" when the suggestion list is empty</t>
  </si>
  <si>
    <t>- the system says "No results found" when the suggestion list is empty</t>
  </si>
  <si>
    <t>HP61</t>
  </si>
  <si>
    <t xml:space="preserve">Check the system redirects to "Related Products" page when user performs keyword search containing data and search keyword is displayed on search bar  </t>
  </si>
  <si>
    <t>The Home Page has uploaded complete information of the components. 
The product list is not empty</t>
  </si>
  <si>
    <t>Navigate to the Home page
Click on the search box
Enter the search keyword
Click on the "Search" button
Check the system to navigate to the "Related Products" page and display the keyword on the search bar</t>
  </si>
  <si>
    <t>- The system navigates to the "Related Products" page and displays the keyword on the search bar</t>
  </si>
  <si>
    <t>HP62</t>
  </si>
  <si>
    <t>SẢN PHẨM</t>
  </si>
  <si>
    <t>Display correct information according to the content in each product category</t>
  </si>
  <si>
    <t>Navigate to the home page
Check that the content information of each product in the list is displayed correctly</t>
  </si>
  <si>
    <t>- The content information of each product in the list is displayed accurately</t>
  </si>
  <si>
    <t>HP63</t>
  </si>
  <si>
    <t>Check the display of "Out of stock" message for products that are out of stock</t>
  </si>
  <si>
    <t>Navigate to Home Page
Check if "Out of Stock" message is displayed for out of stock products</t>
  </si>
  <si>
    <t>- display "Out of stock" message for products that are out of stock</t>
  </si>
  <si>
    <t>HP64</t>
  </si>
  <si>
    <t>Check that when selecting an item in the list, the item's detail page displays the correct information.</t>
  </si>
  <si>
    <t>Navigate to the Home page
Click on a product item in the product list
Check the system displays the product detail page and confirm that the product information is displayed correctly</t>
  </si>
  <si>
    <t>- The system displays the product detail page and confirms that the product information is displayed correctly.</t>
  </si>
  <si>
    <t>HP65</t>
  </si>
  <si>
    <t>Check the display of the "Add to Cart" dialog when the user clicks on the add to cart icon on a product item</t>
  </si>
  <si>
    <t>Navigate to the home page
Click on the cart icon on a product item
Check the "Add to Cart" dialog box</t>
  </si>
  <si>
    <t>- show "Add to cart" dialog when user clicks on "add to cart" icon on a product item</t>
  </si>
  <si>
    <t>HP66</t>
  </si>
  <si>
    <t>Check that product information and total are displayed correctly on the "Add to Cart" dialog box</t>
  </si>
  <si>
    <t>Navigate to the home page
Click on the cart icon on a product item
Check that the product information is displayed completely and accurately and that the total is displayed correctly on the "Add to Cart" dialog</t>
  </si>
  <si>
    <t>- The product information and total amount are displayed correctly corresponding to the product added on the "Add to Cart" dialog box</t>
  </si>
  <si>
    <t>HP67</t>
  </si>
  <si>
    <t>Check to display "Add Successful" message when user presses "Add to Cart" button in "Add to Cart" dialog</t>
  </si>
  <si>
    <t>Navigate to the home page
Click on the cart icon on a product item
Click the "Add to Cart" button
Check to display the "Add Successful" message when the user clicks the "Add to Cart" button</t>
  </si>
  <si>
    <t>- Display the message "Added successfully" when the user clicks the "Add to cart" button</t>
  </si>
  <si>
    <t>HP68</t>
  </si>
  <si>
    <t>Check the quantity decrease when user presses the (-) button</t>
  </si>
  <si>
    <t>Navigate to the home page
Click on the cart icon on a product item
Click the (-) button in the "Add to Cart" dialog box
Check the quantity to reduce</t>
  </si>
  <si>
    <t>- the number of products decreases when the user presses the (-) button</t>
  </si>
  <si>
    <t>HP69</t>
  </si>
  <si>
    <t>Check the quantity increases when the user presses the (+) button</t>
  </si>
  <si>
    <t>Navigate to the home page
Click the cart icon on a product item
Click the (+) button in the "Add to cart" dialog
Check quantity increase</t>
  </si>
  <si>
    <t>- The number of products increases when the user presses the (+) button</t>
  </si>
  <si>
    <t>HP70</t>
  </si>
  <si>
    <t xml:space="preserve">Check the input data is negative numbers or special characters </t>
  </si>
  <si>
    <t>Navigate to the Home page
Click on the cart icon on a product item
Enter negative product quantity or special characters on the dialog box
Check the system does not allow users to enter negative product quantity or special characters</t>
  </si>
  <si>
    <t>- The system does not allow users to enter negative numbers or special characters.</t>
  </si>
  <si>
    <t>HP71</t>
  </si>
  <si>
    <t>Check the user enter the quantity is larger than the quantity in stock</t>
  </si>
  <si>
    <t>Navigate to the home page
Click on the cart icon on a product item
Enter the product quantity
Check the system displays the message "Exceeded stock quantity"</t>
  </si>
  <si>
    <t>- The system displays the message "Exceeded inventory quantity"</t>
  </si>
  <si>
    <t>HP72</t>
  </si>
  <si>
    <t>Check the number of users who can buy is at least 1</t>
  </si>
  <si>
    <t>Navigate to the home page
Click on the cart icon on a product item
Click the (-) button
Check the system displays the number of users who can buy is at least 1</t>
  </si>
  <si>
    <t>HP73</t>
  </si>
  <si>
    <t>Check to display "Inventory quantity exceeded" message when user presses (+) button until product quantity is greater than inventory quantity</t>
  </si>
  <si>
    <t>Navigate to the home page
Click on the cart icon on a product item
Press the (+) button until the product quantity exceeds the inventory quantity
Check the system displays the message "Exceeded Inventory Quantity"</t>
  </si>
  <si>
    <t>HP74</t>
  </si>
  <si>
    <t>Check that when the user enters the quantity as 0, the system will display the default product quantity as 1.</t>
  </si>
  <si>
    <t>Navigate to the Home page
Click on the cart icon on a product item
Enter quantity as 0
Check the system displays the default product quantity as 1</t>
  </si>
  <si>
    <t>- The default display quantity is 1</t>
  </si>
  <si>
    <t>HP75</t>
  </si>
  <si>
    <t>Check displaying "Added to favorites" message when user click on favorite icon</t>
  </si>
  <si>
    <t>Navigate to the Home page
Click on the favorite icon on a product item
Check for the "Added to favorites" notification</t>
  </si>
  <si>
    <t>- display "Added to favorites" message when user clicks on favorite icon on a product item</t>
  </si>
  <si>
    <t>HP76</t>
  </si>
  <si>
    <t>Kiểm tra hệ thống hiển thị thông báo "Bỏ yêu thích thành công" khi người dùng bỏ yêu thích sản phẩm</t>
  </si>
  <si>
    <t>Navigate to the Home page
Click on the favorite icon on a product item
Click again on the favorite icon 
Product successfully removed from the favorite list</t>
  </si>
  <si>
    <t>- Removing product from the favorite list successfully</t>
  </si>
  <si>
    <t>HP77</t>
  </si>
  <si>
    <t>Check if the product quantity available is updated when the user makes a purchase, or if the inventory is updated after the order is placed and when the inventory is updated</t>
  </si>
  <si>
    <t>Navigate to the home page
Select a product and check the available quantity
Click on the "Buy Now" button
Click on "Proceed to Order"
Click on the "Payment" button
Click on the "Home" button under the menu bar to return to the home page
Find and check if the available quantity of the selected product is updated</t>
  </si>
  <si>
    <t>- The number of available products decreases as users place an order and the number of products increases as inventory is updated.</t>
  </si>
  <si>
    <t>HP78</t>
  </si>
  <si>
    <t>NAVIGATION BAR CONTAINER</t>
  </si>
  <si>
    <t>Check the system navigates to the home page when clicking "Home"</t>
  </si>
  <si>
    <t>Navigate to Home Page
Click on "Home" in the bottom menu bar
Check and confirm that the system navigates to the "Home" page</t>
  </si>
  <si>
    <t>- Navigation system to home page</t>
  </si>
  <si>
    <t>HP79</t>
  </si>
  <si>
    <t>Check the system navigates to the "Category" page when clicking on "Category"</t>
  </si>
  <si>
    <t>Navigate to the Home Page
Click on the "Home" item in the bottom menu bar
Check and confirm that the system navigates to the "Category" page</t>
  </si>
  <si>
    <t>- The system navigates to the "Category" page</t>
  </si>
  <si>
    <t>HP80</t>
  </si>
  <si>
    <t>Check the system navigates to the promotion page when clicking on "Promotion"</t>
  </si>
  <si>
    <t>"Navigate to Home Page
Click on "Home Page" in the bottom menu bar
Check and confirm that the system navigates to the "Promotions" page</t>
  </si>
  <si>
    <t>- The system navigates to the "Promotions" page</t>
  </si>
  <si>
    <t>HP81</t>
  </si>
  <si>
    <t>Check the display of the promotion quantity on the promotion icon in the menu bar</t>
  </si>
  <si>
    <t>Điều hướng đến trang chủ
Quan sát và quan sát số lượng khuyến mãi đang có nhưnng chưa dùng</t>
  </si>
  <si>
    <t>- The promotion quantity displays on the promotion icon in the menui bar</t>
  </si>
  <si>
    <t>HP82</t>
  </si>
  <si>
    <t>Check the system redirects to the account page when clicking on "Account"</t>
  </si>
  <si>
    <t>"Navigate to Home Page
Click on "Home" in the bottom menu bar
Check and confirm that the system navigates to the "Account" page</t>
  </si>
  <si>
    <t>- The system navigates to the "Account" page</t>
  </si>
  <si>
    <t>HP83</t>
  </si>
  <si>
    <t>Check the system redirects to cart page when clicking on Cart icon</t>
  </si>
  <si>
    <t>Navigate to the home page
Click on the shopping cart icon below the menu bar
Check and confirm that the system navigates to the "Shopping Cart" page</t>
  </si>
  <si>
    <t>- The system navigates to the "Shopping cart" page</t>
  </si>
  <si>
    <t>PC01</t>
  </si>
  <si>
    <t>Display the correct position, size and font of the "Danh mục sản phẩm" title</t>
  </si>
  <si>
    <t>The product components  in Product Categories Page has loaded
- The product list exists in the system</t>
  </si>
  <si>
    <t>Navigate to Product Categories Page
Verify Display the correct position, size and font of the "Danh mục sản phẩm" title</t>
  </si>
  <si>
    <t>- Display the correct position, size and font of the "Danh mục sản phẩm" title</t>
  </si>
  <si>
    <t>PC02</t>
  </si>
  <si>
    <t xml:space="preserve">Display the correct position, size, background color, border radius, border color of the search input </t>
  </si>
  <si>
    <t xml:space="preserve">Navigate to Product Categories Page
Verify Display the correct position, size, background color, border radius and border color of the search input </t>
  </si>
  <si>
    <t xml:space="preserve">- Display the correct position, size, background color, border radius and border color of the search input </t>
  </si>
  <si>
    <t>- Correct: Size, position
- Incorrect: Background color, border radius and border color</t>
  </si>
  <si>
    <t>PC03</t>
  </si>
  <si>
    <t>Check that the input tag is not misaligned when entering too many characters</t>
  </si>
  <si>
    <t>Navigate to Product Categories Page
Verify the input tag is not misaligned when entering too many characters</t>
  </si>
  <si>
    <t>- The input tag is not misaligned when entering too many characters</t>
  </si>
  <si>
    <t>PC04</t>
  </si>
  <si>
    <t xml:space="preserve">Verify the correctly displays  the plahoder of input tag </t>
  </si>
  <si>
    <t xml:space="preserve">Navigate to Product Categories Page
Display correctly the plahoder of input tag </t>
  </si>
  <si>
    <t xml:space="preserve">- Displays correctly  the plahoder of input tag </t>
  </si>
  <si>
    <t>- The search icon and text color in the search input is not the same</t>
  </si>
  <si>
    <t>PC05</t>
  </si>
  <si>
    <t>Check that the horizontal scroll bar can scroll back and forth</t>
  </si>
  <si>
    <t>Navigate to Product Categories Page
Verify The horizontal scroll bar can scroll back and forth</t>
  </si>
  <si>
    <t>Verify The horizontal scroll bar can scroll back and forth</t>
  </si>
  <si>
    <t>PC06</t>
  </si>
  <si>
    <t>Check that the categories are fully visible and not cut off or obscured when scrolling horizontally.</t>
  </si>
  <si>
    <t>Navigate to Product Categories Page
Verify the product is fully visible and not cut off or obscured when scrolling horizontally.</t>
  </si>
  <si>
    <t>- The product is fully visible and not cut off or obscured when scrolling horizontally.</t>
  </si>
  <si>
    <t>PC07</t>
  </si>
  <si>
    <t>Check that selected category in the horizontal scroll bar is black color and centered</t>
  </si>
  <si>
    <t>Navigate to Product Categories Page
Choose a item in the horizontal scroll bar
Verify the selected item in the horizontal scroll bar is black color and centered</t>
  </si>
  <si>
    <t>- The selected item in the horizontal scroll bar is black color and centered</t>
  </si>
  <si>
    <t>- Correct: Black color
- Incorrect: It is not centered</t>
  </si>
  <si>
    <t>PC08</t>
  </si>
  <si>
    <t>Verify display the correct position, size  of the horizontal scroll bar</t>
  </si>
  <si>
    <t>Navigate to Product Categories Page
Verify display correctly position, size of the horizontal scroll bar</t>
  </si>
  <si>
    <t xml:space="preserve">- The position, size of the horizontal scroll bar displays correctly </t>
  </si>
  <si>
    <t>PC09</t>
  </si>
  <si>
    <t>Verify display the correct font of the item in horizontal scroll bar</t>
  </si>
  <si>
    <t>Navigate to Product Categories Page
Verify Display correctly font of the item in horizontal scroll bar</t>
  </si>
  <si>
    <t xml:space="preserve">- The font of the item in horizontal scroll bar displays correctly </t>
  </si>
  <si>
    <t>Check the loading indicator display during the data loading process.</t>
  </si>
  <si>
    <t>Navigate to Product Categories Page
Verify  the loading indicator display during the data loading process.</t>
  </si>
  <si>
    <t>-  The loading indicator display during the data loading process.</t>
  </si>
  <si>
    <t>PC10</t>
  </si>
  <si>
    <t xml:space="preserve">Verify Display correctly position of the product list </t>
  </si>
  <si>
    <t xml:space="preserve">Navigate to Product Categories Page
Verify Display correctly position of the product list </t>
  </si>
  <si>
    <t xml:space="preserve">- Display correctly position of the product list </t>
  </si>
  <si>
    <t>PC11</t>
  </si>
  <si>
    <t>Display correctly position, size of the product component</t>
  </si>
  <si>
    <t>Navigate to Product Categories Page
Verify Display correctly position, size of the product component</t>
  </si>
  <si>
    <t>- Display correctly position, size of the product component</t>
  </si>
  <si>
    <t>PC12</t>
  </si>
  <si>
    <t>Check categories list scrollability</t>
  </si>
  <si>
    <t>Navigate to Product Categories Page
Use the mouse to drag right or left on the scroll bar.
Verify the mouse to drag right or left the scroll bar.</t>
  </si>
  <si>
    <t>- The scroll bar can move smoothly in the direction of dragging.</t>
  </si>
  <si>
    <t>PC13</t>
  </si>
  <si>
    <t>Check product list scrollability</t>
  </si>
  <si>
    <t>Navigate to Product Categories Page
Use the mouse to drag up or down the scroll bar.
Verify the mouse to drag up or down the scroll bar.</t>
  </si>
  <si>
    <t>PC15</t>
  </si>
  <si>
    <t>UI_SEARCH</t>
  </si>
  <si>
    <t>Check that the data list displays correctly formatted, including alignment, spacing, and font.</t>
  </si>
  <si>
    <t>Navigate to Product Categories Page
Verify the data list displays correctly formatted, including alignment, spacing, and size</t>
  </si>
  <si>
    <t>- The data list displays correctly formatted, including alignment, spacing, and font.</t>
  </si>
  <si>
    <t>PC16</t>
  </si>
  <si>
    <t>Check that the suggestion list does not exceed the predefined maximum number</t>
  </si>
  <si>
    <t>Navigate to the Product Category Page
Click on the search box on the screen interface
Enter  input data 
Verify the suggestion list does not exceed the predefined maximum number</t>
  </si>
  <si>
    <t>- The suggestion list does not exceed the predefined maximum number</t>
  </si>
  <si>
    <t>Check the distance between suggested items</t>
  </si>
  <si>
    <t>Check the "Gợi ý tìm kiếm" title is displays correctly (title, text color, position, size, format)</t>
  </si>
  <si>
    <t>Navigate to the Product Category Page
Click on the search box on the screen interface
Verify the title "Gợi ý tìm kiếm" is display correctly</t>
  </si>
  <si>
    <t>- the title "Gợi ý tìm kiếm" is display correctly</t>
  </si>
  <si>
    <t>- Correct: Size, position, color, format
- Incorrect: Title is not correct ("Gợi ý tìm kiếm" not "Gợi ý sản phẩm"</t>
  </si>
  <si>
    <t>PC17</t>
  </si>
  <si>
    <t>Check the suggestion list automatically closes when the user clicks outside the list.</t>
  </si>
  <si>
    <t>Navigate to the Product Category Page
Click on the search box on the screen interface
Enter  input data 
Verify the suggestion list automatically closes when the user clicks outside the list.</t>
  </si>
  <si>
    <t>- The suggestion list automatically closes when the user clicks outside the list.</t>
  </si>
  <si>
    <t>PC18</t>
  </si>
  <si>
    <t>Search</t>
  </si>
  <si>
    <t>Checking and confirming the system keep the same status when the input data is the blank spaces</t>
  </si>
  <si>
    <t>Use has to the account to login to the system
- Connect to internet
- The product list exists in the system</t>
  </si>
  <si>
    <t>Navigate to the Product Categoty Page
Click the search box on the screen interface
Enter the blank spaces
Press the enter key on the keyboard
Verify the screen interface keep the same status when the input data is the blank spaces</t>
  </si>
  <si>
    <t xml:space="preserve">- The screen interface keep the same status </t>
  </si>
  <si>
    <t>PC19</t>
  </si>
  <si>
    <t>Checking and confirming the system display "No search results" when the  input data doesn't exist in the system</t>
  </si>
  <si>
    <t>Navigate to the Product Category Page
Click on the search box on the screen interface
Enter input data that does not exist in the system
Press the enter key on the keyboard
Verify that the "No search results" message is displayed when the returned list is empty</t>
  </si>
  <si>
    <t>A bag, T-shirt?@, ?@, Shirt@</t>
  </si>
  <si>
    <t>- Display "No search results" message</t>
  </si>
  <si>
    <t>PC20</t>
  </si>
  <si>
    <t>Checking and confirming the systems returns a list of data containing the search keyword</t>
  </si>
  <si>
    <t>Use has to the account to login to the system
- Connect to internet
- List of products that already exist in the system and are displayed on the screen interface</t>
  </si>
  <si>
    <t>Navigate to the Product Category Page
Click on the search box on the screen interface
Enter input data 
Press the enter key on the keyboard
Verify that display a list of data containing the search keyword</t>
  </si>
  <si>
    <t>Cáp sạc</t>
  </si>
  <si>
    <t>- Display a list of data containing the search keyword</t>
  </si>
  <si>
    <t>PC21</t>
  </si>
  <si>
    <t>Checking the list of data when the input data is uppercase or lowercase</t>
  </si>
  <si>
    <t>Navigate to the Product Category Page
Click on the search box on the screen interface
Enter uppercase or lowercase input data 
Press the enter key on the keyboard
Verify that display a list of data containing the search keyword</t>
  </si>
  <si>
    <t>PC22</t>
  </si>
  <si>
    <t>Checking and confirming the system navigate to Search product Page when click search box</t>
  </si>
  <si>
    <t>Navigate to the Product Category Page
Click on the search box on the screen interface
Verify the system navigate to Search product page when click the search box</t>
  </si>
  <si>
    <t xml:space="preserve">- Navigate to Search product page </t>
  </si>
  <si>
    <t>PC23</t>
  </si>
  <si>
    <t>Checking and confirming the system automatically displays suggestions data list below the search box</t>
  </si>
  <si>
    <t>Navigate to the Product Category Page
Click on the search box on the screen interface
Enter  input data 
Verify  that automatically displays suggestions data list below the search box"</t>
  </si>
  <si>
    <t>- Cáp</t>
  </si>
  <si>
    <t>- Automatically displayed the suggestion data list below the search box</t>
  </si>
  <si>
    <t>PC24</t>
  </si>
  <si>
    <t>Check and confirm to display the selected option in the suggestion list below the search box to the search box</t>
  </si>
  <si>
    <t>Navigate to the Product Category Page
Click on the search box on the screen interface
Enter  input data 
Select an item in the suggestion list
Verify the selected option display the search box"</t>
  </si>
  <si>
    <t>- Cáp sạc iPhone 13 pro zin tháo máy</t>
  </si>
  <si>
    <t>- Displayed the selected option in the suggestion list below the search box to the search box</t>
  </si>
  <si>
    <t>PC25</t>
  </si>
  <si>
    <t>Check and cofirm the suggestions are not duplicated</t>
  </si>
  <si>
    <t>Navigate to the Product Category Page
Click on the search box on the screen interface
Enter  input data 
Verify the suggestion are not duplicated"</t>
  </si>
  <si>
    <t>- The suggestions are not duplicated</t>
  </si>
  <si>
    <t>PC26</t>
  </si>
  <si>
    <t>Check the suggestion list is updated with new keywords as the user continues to change the entered keyword.</t>
  </si>
  <si>
    <t>Navigate to the Product Category Page
Click on the search box on the screen interface
Clear input
Enter new input data
Verify the suggestion list is updated with new keywords as the user continues to change the entered keyword</t>
  </si>
  <si>
    <t>- pin</t>
  </si>
  <si>
    <t>- The suggestion list is updated with new keywords as the user continues to change the entered keyword.</t>
  </si>
  <si>
    <t>PC27</t>
  </si>
  <si>
    <t>Check the message when there are no suggested results matching the keyword.</t>
  </si>
  <si>
    <t>Navigate to the Product Category Page
Click on the search box on the screen interface
Enter input data that does not exist data in the system
Verify Display message "No suggestion" when there are no suggested results matching the keyword</t>
  </si>
  <si>
    <t>- T-shirt</t>
  </si>
  <si>
    <t>- Display "No suggestion" message when there are no suggested results matching the keyword.</t>
  </si>
  <si>
    <t>PC28</t>
  </si>
  <si>
    <t>Checking and confirming the data of the search box is cleared when click the close icon</t>
  </si>
  <si>
    <t>Navigate to the Product Category Page
Click on the search box on the screen interface
Click close icon 
Verify the input data of the search box is cleared</t>
  </si>
  <si>
    <t>- The input data of the search box is cleared when click the close icon</t>
  </si>
  <si>
    <t>PC29</t>
  </si>
  <si>
    <t>Checking the system returns to Product category page when click back button on the Search Product page</t>
  </si>
  <si>
    <t>Navigate to the Product Category Page
Click on the search box on the screen interface
Click back button
Verify the system returns to Product category page</t>
  </si>
  <si>
    <t>- The system returns to Product category page when click back button on the  Product Search page</t>
  </si>
  <si>
    <t>PC30</t>
  </si>
  <si>
    <t>Checking and confirming the suggestions list are extended and displayed "Thu gọn" text when click "Xem thêm" text</t>
  </si>
  <si>
    <t>Navigate to the Product Category Page
Click on the search box on the screen interface
Entern search keyword
Click "Xem thêm" to extend the suggestion 
Verify the suggestions are extended and display  "Thu gọn" text</t>
  </si>
  <si>
    <t>- The suggestions list are extended and displayed "Thu gọn" text when click "Xem thêm" text</t>
  </si>
  <si>
    <t>PC31</t>
  </si>
  <si>
    <t xml:space="preserve">Checking and confirming the suggestions list are collapsed and displayed "Mở rộng" text when click "Thu gọn" text </t>
  </si>
  <si>
    <t>Navigate to the Product Category Page
Click on the search box on the screen interface
Entern search keyword
Click "Xem thêm" to extend the suggestion 
Click "Thu gọn" text to collapse
Verify the suggestions are collapsed and display "Xem thêm" text</t>
  </si>
  <si>
    <t xml:space="preserve">- The suggestions list are collapsed and displayed "Mở rộng" text when click "Thu gọn" text </t>
  </si>
  <si>
    <t>PC32</t>
  </si>
  <si>
    <t>Checking and confirming displays  full the product information including image product, name product, price product, percent discount and trademark in the suggestion list when performed the product search</t>
  </si>
  <si>
    <t xml:space="preserve">Navigate to the Product Category Page
Click on the search box on the screen interface
Entern search keyword
Press the enter key on the keyboard
Verify displays full the product information including image product, name product, price product, percent discount and trademark in the data list </t>
  </si>
  <si>
    <t>-  Displays  full the product information including image product, name product, price product, percent discount and trademark in the suggestion list when performed the product search</t>
  </si>
  <si>
    <t>PC33</t>
  </si>
  <si>
    <t>The category scroll bar</t>
  </si>
  <si>
    <t>Checking and confirming displays fully and accurately the categories list in the category scroll bar</t>
  </si>
  <si>
    <t>Navigate to the Product Category Page
Verify  displays fully and accurately the categories list in the category scroll bar</t>
  </si>
  <si>
    <t>- Displays fully and accurately the categories list in the category scroll bar</t>
  </si>
  <si>
    <t>PC34</t>
  </si>
  <si>
    <t>Checking and confirming the categories list are not dulicated</t>
  </si>
  <si>
    <t>Navigate to the Product Category Page
Verify the categories list are not dulicated</t>
  </si>
  <si>
    <t>- Displays the categories list are not dulicated</t>
  </si>
  <si>
    <t>PC35</t>
  </si>
  <si>
    <t>Checking and confirming displays all products when select a item in the category list</t>
  </si>
  <si>
    <t>Navigate to the Product Category Page
Verify displays all products when select a item in the category list</t>
  </si>
  <si>
    <t>- Displays all products when select an item in the category list</t>
  </si>
  <si>
    <t>PC36</t>
  </si>
  <si>
    <t>Checking and confirming displays  full the product information including image product, name product, price product, percent discount and trademark in the returns list when select a item in the category list</t>
  </si>
  <si>
    <t>Navigate to the Product Category Page
Verify displays  full the product information including image product, name product, price product, percent discount and trademark in the returns list when select a item in the category list</t>
  </si>
  <si>
    <t>- Displays  full the product information including image product, name product, price product, percent discount and trademark in the returns list when select a item in the category list</t>
  </si>
  <si>
    <t>PC37</t>
  </si>
  <si>
    <t>The Product List</t>
  </si>
  <si>
    <t>Checking and confirming displays  full the product information including image product, name product, price product, percent discount and trademark in the product list</t>
  </si>
  <si>
    <t>PC38</t>
  </si>
  <si>
    <t>Check the product list is not duplicated</t>
  </si>
  <si>
    <t>Navigate to the Product Category Page
Verify the product list is not duplicated</t>
  </si>
  <si>
    <t>-  The product list is not duplicated</t>
  </si>
  <si>
    <t>PC39</t>
  </si>
  <si>
    <t>Check if the displayed price after applying the discount is lower than the original price according to the discount rate</t>
  </si>
  <si>
    <t>Navigate to the Product Category Page
Verify the displayed price after applying the discount is lower than the original price according to the discount rate</t>
  </si>
  <si>
    <t>- The displayed price after applying the discount is lower than the original price according to the discount rate</t>
  </si>
  <si>
    <t>PC40</t>
  </si>
  <si>
    <t>Checking and confirming the system save the favorite product when click favorite icon in the prduct item</t>
  </si>
  <si>
    <t>Navigate to the Product Category Page
Click on the favorite icon on a product item
Verify the favorite icon turns red
Click on the "Personal" button to navigate to the account information screen
Click on the "Favorites" item
Verify the product that clicked on the favorite icon has appeared</t>
  </si>
  <si>
    <t>- Cáp sạc iphone 13 prozin tháo máy</t>
  </si>
  <si>
    <t>- the system successfully save the favorite product when click favorite icon in the prduct item</t>
  </si>
  <si>
    <t>PC41</t>
  </si>
  <si>
    <t>Check and confirm increase quantity of products on cart icon when clicking on cart icon button in product section</t>
  </si>
  <si>
    <t xml:space="preserve">Navigate to the Product Category Page
Click on the cart icon on a product item
Verify increase quantity of products on cart icon in the menu
</t>
  </si>
  <si>
    <t xml:space="preserve"> - Increase quantity of products on cart icon when clicking on cart icon button in product section</t>
  </si>
  <si>
    <t>PC42</t>
  </si>
  <si>
    <t>Check and confirm the system displays the message "Added successfully" and replaces it with the added icon when clicking the cart icon button in the product section</t>
  </si>
  <si>
    <t xml:space="preserve">Navigate to the Product Category Page
Click on the cart icon on a product item
Verify the system displays "Thêm thành công" message when clicking on cart icon button in product section
</t>
  </si>
  <si>
    <t>- The system displays "Thêm thành công" message when clicking on cart icon button in product section</t>
  </si>
  <si>
    <t>PC43</t>
  </si>
  <si>
    <t xml:space="preserve">Check and confirm the system correctly displays the product information after add product to cart </t>
  </si>
  <si>
    <t xml:space="preserve">Navigate to the Product Category Page
Click on the cart icon on a product item
Click product on the menu 
Verify the system correctly displays the product information after add product to cart 
</t>
  </si>
  <si>
    <t xml:space="preserve">- The system correctly displays the product information after add product to cart </t>
  </si>
  <si>
    <t>PC44</t>
  </si>
  <si>
    <t>Check and confirm the system navigate to Product Detail Page when click a product item</t>
  </si>
  <si>
    <t xml:space="preserve">Navigate to the Product Category Page
Click on a product item
Verify the system navigate to Product Detail Page when click a product item
</t>
  </si>
  <si>
    <t>- The system navigate to Product Detail Page when click a product item</t>
  </si>
  <si>
    <t>PC45</t>
  </si>
  <si>
    <t xml:space="preserve">Check and confirm the system displays correctly displays the product information in the Product Detail Page when click a product item </t>
  </si>
  <si>
    <t xml:space="preserve">Navigate to the Product Category Page
Click on a product item
Verify the system displays correctly displays the product information in the Product Detail Page when click a product item 
</t>
  </si>
  <si>
    <t xml:space="preserve">- The system displays correctly displays the product information in the Product Detail Page when click a product item </t>
  </si>
  <si>
    <t>MC01</t>
  </si>
  <si>
    <t>Check the "My Cart" heading (Size, position, font color)</t>
  </si>
  <si>
    <t>User has account and Login successfully</t>
  </si>
  <si>
    <t>Navigate to the “My Cart” page
Check that the header size, position, and color displayed correctly</t>
  </si>
  <si>
    <t>- the "My cart" header size, position, and color displayed correctly</t>
  </si>
  <si>
    <t>- Correct: Size, color, position
- Incorrect : Title, Missing product quantity display</t>
  </si>
  <si>
    <t>MC02</t>
  </si>
  <si>
    <t>Check the close button when user want to close the "Select Voucher" page (Position, size)</t>
  </si>
  <si>
    <t>User has account and Login successfully
The list of products in the shopping cart has been loaded completely</t>
  </si>
  <si>
    <t xml:space="preserve">Navigate to the "My Cart" page
Click on the icon (&gt;) on the right of the discount amount display area
Check and confirm Check the position and size of the close button displays correctly </t>
  </si>
  <si>
    <t xml:space="preserve">- the position and size of the close button displays correctly </t>
  </si>
  <si>
    <t>- It is not displayed yet</t>
  </si>
  <si>
    <t>MC03</t>
  </si>
  <si>
    <t>Check the "Back" button (Position, size)</t>
  </si>
  <si>
    <t>Navigate to "My Cart" page
Check the correct size and position of the "Back" button</t>
  </si>
  <si>
    <t xml:space="preserve">- The positon and size of the "Back" button displays correctly </t>
  </si>
  <si>
    <t>MC04</t>
  </si>
  <si>
    <t>Check search box (Position, size)</t>
  </si>
  <si>
    <t>Navigate to "My Cart" page
Check the search box size and position displays correctly</t>
  </si>
  <si>
    <t xml:space="preserve">- The search box size and position displays correctly </t>
  </si>
  <si>
    <t>- Correct: Size, positon
- Incorrect: background-color</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</si>
  <si>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</si>
  <si>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MC05</t>
  </si>
  <si>
    <t xml:space="preserve">Check the search input plahoder displays correctly </t>
  </si>
  <si>
    <t>Navigate to "My Cart" page
Check the plahoder font size, position and color are displayed correctly in the search dialog</t>
  </si>
  <si>
    <t xml:space="preserve">- The plahoder in search box size and position displays correctly </t>
  </si>
  <si>
    <t>MC06</t>
  </si>
  <si>
    <t>Check the search box size when the "Delete" button is visible and when it is hidden</t>
  </si>
  <si>
    <t>Navigate to "My Cart" page
Check the search box size correctly when the "Delete" button is visible and when the "Delete" button is hidden</t>
  </si>
  <si>
    <t xml:space="preserve"> - The size of search box displays correctly when the "Delete" button is visible and it is hidden</t>
  </si>
  <si>
    <t>MC07</t>
  </si>
  <si>
    <t>Check "Delete" button (Size, position, color, border color)</t>
  </si>
  <si>
    <t>Navigate to the "My Cart" page
Check that the "Delete" button's size, position, color, and background color are correct</t>
  </si>
  <si>
    <t>the "Delete" button's size, position, color, and background color are correct</t>
  </si>
  <si>
    <t>MC08</t>
  </si>
  <si>
    <t>Check product list (Location)</t>
  </si>
  <si>
    <t xml:space="preserve">Navigate to the "My Cart" page
Check the position of product list display correctly </t>
  </si>
  <si>
    <t xml:space="preserve">- the position of product list display correctly </t>
  </si>
  <si>
    <t>MC09</t>
  </si>
  <si>
    <t>Check list scrollability</t>
  </si>
  <si>
    <t>User has account and Login successfully
The list of products in the shopping cart has been loaded completely</t>
  </si>
  <si>
    <t xml:space="preserve">Navigate to “My Cart” page
Check the scrollability of the list </t>
  </si>
  <si>
    <t>- The product list scrolls smoothly.</t>
  </si>
  <si>
    <t>MC10</t>
  </si>
  <si>
    <t>Check the space between product items in the shopping cart</t>
  </si>
  <si>
    <t>Navigate to the "My Cart" page
Verify the correct spacing between product items in the shopping cart.</t>
  </si>
  <si>
    <t>- the space between product items in the shopping cart display correctly</t>
  </si>
  <si>
    <t>MC11</t>
  </si>
  <si>
    <t>Check the position of the checkbox in a product item</t>
  </si>
  <si>
    <t xml:space="preserve">Navigate to "My cart" page
Verify the size, position of the checkbox displays correctly in a product item
 </t>
  </si>
  <si>
    <t>- the size, position of the checkbox displays correctly in a product item</t>
  </si>
  <si>
    <t>MC12</t>
  </si>
  <si>
    <t>Check product images in a product item</t>
  </si>
  <si>
    <t>Navigate to "My Cart" page
Check the correct display size and position of product images in a product item</t>
  </si>
  <si>
    <t>- display correctly size and position of product images in a product item</t>
  </si>
  <si>
    <t>MC13</t>
  </si>
  <si>
    <t>Check product name in 1 product item</t>
  </si>
  <si>
    <t>Navigate to the "My Cart" page
Check that the product name font size, position, and color are displayed correctly</t>
  </si>
  <si>
    <t>- The size, position and color of the product name text are displayed correctly.</t>
  </si>
  <si>
    <t>MC14</t>
  </si>
  <si>
    <t>Check product prices in 1 product item</t>
  </si>
  <si>
    <t>Navigate to the "My Cart" page
Check to display the correct size, position and font color of the product price</t>
  </si>
  <si>
    <t>- The size, position and color of the product price text are displayed correctly.</t>
  </si>
  <si>
    <t>MC15</t>
  </si>
  <si>
    <t>Check the vertical three dot menu to show select in 1 product item</t>
  </si>
  <si>
    <t>Navigate to the "My Cart" page
Check the correct display size and position of the three-dot menu</t>
  </si>
  <si>
    <t>-  the size, position of three dot menu in a product item displayed correctly</t>
  </si>
  <si>
    <t>MC16</t>
  </si>
  <si>
    <t>Check the (-) button in a product item</t>
  </si>
  <si>
    <t>Navigate to "My Cart" page
Check the correct display size and position of the (-) button in a product item</t>
  </si>
  <si>
    <t>The size, position of button (-) in a product item displayed correctly</t>
  </si>
  <si>
    <t>MC17</t>
  </si>
  <si>
    <t>Check the (+) button in a product item</t>
  </si>
  <si>
    <t>Navigate to "My Cart" page
Check the correct display size and position of the (+) button in a product item</t>
  </si>
  <si>
    <t>The size, position of button (+) in a product item displayed correctly</t>
  </si>
  <si>
    <t>MC18</t>
  </si>
  <si>
    <t>Check the display area of ​​the number of products in a product item</t>
  </si>
  <si>
    <t>Navigate to "My Cart" page
Check the correct size and position of the product quantity display area in a product item</t>
  </si>
  <si>
    <t xml:space="preserve">The size, position of the area displaying the number of products in a product item displayed correctly </t>
  </si>
  <si>
    <t>- Correct: Size, color
- Incorrect: Incorrect position, Cannot enter manually</t>
  </si>
  <si>
    <t>MC19</t>
  </si>
  <si>
    <t>Check the area that displays the discount amount according to the coupon code</t>
  </si>
  <si>
    <t>Navigate to the "My Cart" page
Check the correct size, position and font color of the discount amount display area according to the coupon code</t>
  </si>
  <si>
    <t>- The size, position and font color of the discount amount display area according to the coupon code are displayed correctly.</t>
  </si>
  <si>
    <t>MC20</t>
  </si>
  <si>
    <t>Check the area that displays the discount amount by shipping code</t>
  </si>
  <si>
    <t>Navigate to the "My Cart" page
Check the correct size, position, and font color of the shipping code discount amount display area</t>
  </si>
  <si>
    <t>- The size, position and font color of the shipping code discount display area are displayed correctly.</t>
  </si>
  <si>
    <t>MC21</t>
  </si>
  <si>
    <t>Check the button icon (&gt;) on the right of the discount display area</t>
  </si>
  <si>
    <t>Navigate to the "My Cart" page
Check the correct display size and position of the button icon (&gt;) to the right of the discount display area</t>
  </si>
  <si>
    <t>- display exact size, position of button icon (&gt;) on the right of discount display area</t>
  </si>
  <si>
    <t>MC22</t>
  </si>
  <si>
    <t>Check display the all checkbox</t>
  </si>
  <si>
    <t>Navigate to "My Cart" page
Check the display of the correct size and position of the all checkbox</t>
  </si>
  <si>
    <t>- The size and position of the "All" checkbox is displayed correctly</t>
  </si>
  <si>
    <t>Correct: Size, position
Incorrect: Background-color</t>
  </si>
  <si>
    <t>MC23</t>
  </si>
  <si>
    <t>check total display area</t>
  </si>
  <si>
    <t>Navigate to the "My Cart" page
Check the total amount display area for correct size, position and font color</t>
  </si>
  <si>
    <t>- The size, position and font color of the total display area are displayed correctly.</t>
  </si>
  <si>
    <t>MC24</t>
  </si>
  <si>
    <t>Check the total discount display area</t>
  </si>
  <si>
    <t>Navigate to the "My Cart" page
Check to see the correct size, position and color of the total discount text</t>
  </si>
  <si>
    <t xml:space="preserve">- The size, position and color of total discount text display correctly </t>
  </si>
  <si>
    <t xml:space="preserve">- Correct: Size, color, postion
- Incorrect: Missing icon (^) drawble right </t>
  </si>
  <si>
    <t>MC25</t>
  </si>
  <si>
    <t xml:space="preserve">Check the display of the "Payment" button </t>
  </si>
  <si>
    <t>Navigate to the "My Cart" page
Check the "Checkout" button's size, position, and background color are displayed correctly</t>
  </si>
  <si>
    <t xml:space="preserve">- The size, position and background color of "Payment" button display correctly </t>
  </si>
  <si>
    <t>- Correct: background-color, position
- Incorrect:: Size(width and height), text isn't bold</t>
  </si>
  <si>
    <t>MC26</t>
  </si>
  <si>
    <t>Check the "Delete All" dialog box</t>
  </si>
  <si>
    <t>Navigate to "My Cart" page
Check the correct size and position of the "Clear All" dialog box</t>
  </si>
  <si>
    <t xml:space="preserve">- The size, position of "Delete all" dialog box display correctly </t>
  </si>
  <si>
    <t>- It's not displayed yet</t>
  </si>
  <si>
    <t>MC27</t>
  </si>
  <si>
    <t>Check the message in the "Delete All" dialog box</t>
  </si>
  <si>
    <t>Navigate to the "My Cart" page
Check that the "Are you sure you want to delete this x item" message is displayed correctly.</t>
  </si>
  <si>
    <t>- the "Are you sure you want to delete this x item" message is displayed correctly.</t>
  </si>
  <si>
    <t>MC28</t>
  </si>
  <si>
    <t>Check the "OK" button in the "Delete All" dialog:</t>
  </si>
  <si>
    <t>Navigate to the "My Cart" page
Check the correct size, position, background color and border color of the "OK" button in the "Clear All" dialog</t>
  </si>
  <si>
    <t xml:space="preserve">- The size, position, background color and border color of "OK" button in "Clear all" dialog display correctly </t>
  </si>
  <si>
    <t>MC29</t>
  </si>
  <si>
    <t>Check the "No" button in the "Delete All" dialog box</t>
  </si>
  <si>
    <t>Navigate to the "My Cart" page
Check the correct size, position, background color and border color of the "No" button in the "Clear All" dialog</t>
  </si>
  <si>
    <t xml:space="preserve">- The size, position, background color and border color of "No" button in "Clear all" dialog display correctly </t>
  </si>
  <si>
    <t>MC30</t>
  </si>
  <si>
    <t>Check the positionof the options when clicking on the three-dot menu in each product</t>
  </si>
  <si>
    <t>Navigate to the "My Cart" page
Check the correct position, size, and font color of the options when clicking the three-dot menu in each product</t>
  </si>
  <si>
    <t>- display correct position, size, font color of options when clicking on the three dot button in each product</t>
  </si>
  <si>
    <t>MC31</t>
  </si>
  <si>
    <t>Check the display of the "Added to favorites" notification</t>
  </si>
  <si>
    <t>Navigate to the "My Cart" page
Check the "Added to Favorites" message displays correctly in size, position, and font color</t>
  </si>
  <si>
    <t>- display correct size, position and font color of "Added to favorites" notification</t>
  </si>
  <si>
    <t>MC32</t>
  </si>
  <si>
    <t>Check when successfully checking the checkbox of the corresponding product</t>
  </si>
  <si>
    <t>Navigate to "My Cart"
Check the checkbox of any product in the cart list
Verify checkbox of the corresponding product successfully</t>
  </si>
  <si>
    <t>- Successfully check the checkbox of the corresponding product</t>
  </si>
  <si>
    <t>MC33</t>
  </si>
  <si>
    <t>UI_CHONVOUCHER</t>
  </si>
  <si>
    <t>Check the "Select voucher" title (Size, position, color)</t>
  </si>
  <si>
    <t>Navigate to the "My Cart" page
Select (&gt;) to the right of the discount display area
Check the correct size, position and font color of the "Select Voucher" heading</t>
  </si>
  <si>
    <t xml:space="preserve">- The size, position and font color of the heading "Select voucher" display correctly </t>
  </si>
  <si>
    <t>MC34</t>
  </si>
  <si>
    <t xml:space="preserve">Navigate to the "My Cart" page
Select (&gt;) to the right of the discount display area
Check the size and position of the search box displays correctly </t>
  </si>
  <si>
    <t xml:space="preserve">- The size and position of search box in dialog display correctly </t>
  </si>
  <si>
    <t>MC35</t>
  </si>
  <si>
    <t>Check the search dialog plahoder</t>
  </si>
  <si>
    <t xml:space="preserve">Navigate to the "My Cart" page
Select (&gt;) to the right of the discount display area
Check the plahoder of the search dialog displays correctly </t>
  </si>
  <si>
    <t xml:space="preserve">- The size, position of placeholder of search box  in dialog display correctly </t>
  </si>
  <si>
    <t>MC36</t>
  </si>
  <si>
    <t>Check the "Apply" button</t>
  </si>
  <si>
    <t>Navigate to the "My Cart" page
Select (&gt;) to the right of the discount display area
Check the correct display of the size, position, text color, background color of the "Apply" button</t>
  </si>
  <si>
    <t>- The size, position, text color, background color of the "Apply" button are displayed correctly</t>
  </si>
  <si>
    <t>MC37</t>
  </si>
  <si>
    <t>Check text shipping fee offer</t>
  </si>
  <si>
    <t>Navigate to the "My Cart" page
Select (&gt;) to the right of the discount display area
Check the correct display of the text size, position, and color of the "Shipping Discount" text</t>
  </si>
  <si>
    <t>- display exact size, position, text color of "Shipping fee discount"</t>
  </si>
  <si>
    <t>MC38</t>
  </si>
  <si>
    <t>Kiểm tra text chỉ chọn được 1 voucher</t>
  </si>
  <si>
    <t>Navigate to the "My Cart" page
Select (&gt;) to the right of the discount display area
Check the correct display of the text "Only 1 voucher can be selected"</t>
  </si>
  <si>
    <t xml:space="preserve">- The size, position and color of text "Only 1 voucher can be selected" display correctly </t>
  </si>
  <si>
    <t>MC39</t>
  </si>
  <si>
    <t>Check voucher code list</t>
  </si>
  <si>
    <t>Navigate to the "My Cart" page
Select (&gt;) to the right of the discount display area
Check the correct display size and position of the voucher list</t>
  </si>
  <si>
    <t>- The posittion of the voucher list displays correctly</t>
  </si>
  <si>
    <t>MC40</t>
  </si>
  <si>
    <t>Check the space between voucher items</t>
  </si>
  <si>
    <t>Navigate to the "My Cart" page
Select (&gt;) to the right of the discount display area
Check to display the correct spacing between voucher items</t>
  </si>
  <si>
    <t>- The spacing between voucher items is displayed correctly</t>
  </si>
  <si>
    <t>MC41</t>
  </si>
  <si>
    <t>Check full display of content in 1 shipping code voucher</t>
  </si>
  <si>
    <t>Navigate to the "My Cart" page
Select (&gt;) to the right of the discount display area
Check to display the full content of a voucher, including the discount percentage, voucher name, discount conditions and expiry date</t>
  </si>
  <si>
    <t>- Display full content in a voucher, including content such as discount percentage, voucher name, discount conditions and expiration date</t>
  </si>
  <si>
    <t>MC42</t>
  </si>
  <si>
    <t>Check the background color of the display areas</t>
  </si>
  <si>
    <t>Navigate to the "My Cart" page
Select (&gt;) to the right of the discount display area
Check the correct background color of the display areas, the right side of the card displays gray, the left side of the card displays green</t>
  </si>
  <si>
    <t>- display correct background color of display areas, right side of card displays gray, left side of card displays green</t>
  </si>
  <si>
    <t>MC43</t>
  </si>
  <si>
    <t>Check the radio box in a voucher item</t>
  </si>
  <si>
    <t>Navigate to the "My Cart" page
Select (&gt;) to the right of the discount display area
Check the correct size and position of the radio box in a voucher item</t>
  </si>
  <si>
    <t>- display correct size and position of radio box in 1 voucher item</t>
  </si>
  <si>
    <t>MC44</t>
  </si>
  <si>
    <t>Check the availability of each voucher item</t>
  </si>
  <si>
    <t>Navigate to the "My Cart" page
Select (&gt;) to the right of the discount display area
Click on a radio box on any voucher item
Check the selectability on each voucher item</t>
  </si>
  <si>
    <t>- selectable on each voucher item</t>
  </si>
  <si>
    <t>MC45</t>
  </si>
  <si>
    <t>Check the ability to select only 1 voucher in the voucher list</t>
  </si>
  <si>
    <t>Navigate to the "My Cart" page
Select (&gt;) to the right of the discount display area
Click on a radio box on any voucher item
Continue to click on another radio box on another voucher item
Check the ability to select only 1 voucher from the voucher list</t>
  </si>
  <si>
    <t>- ability to select only 1 voucher in a voucher list</t>
  </si>
  <si>
    <t>MC46</t>
  </si>
  <si>
    <t>Check if voucher is eligible to apply (Color and operability)</t>
  </si>
  <si>
    <t>Navigate to the "Mycart" page
Click on the discount display area of ​​a product item
Observe and check the color of the voucher when the order is not eligible to apply
Click on the selected voucher
Observe and check the user is not capable of operating the voucher that is not eligible to apply</t>
  </si>
  <si>
    <t>- Vouchers that do not meet the applicable conditions will be displayed in gray-white
- Users cannot perform actions on ineligible vouchers</t>
  </si>
  <si>
    <t>MC47</t>
  </si>
  <si>
    <t>Check the voucher name in each voucher item</t>
  </si>
  <si>
    <t>Navigate to the "My Cart" page
Select (&gt;) to the right of the discount display area
Check the correct display of the Voucher name size, position and font color on each voucher item</t>
  </si>
  <si>
    <t xml:space="preserve">- The size, position and font color of the Voucher name on each voucher item display correctly </t>
  </si>
  <si>
    <t>MC48</t>
  </si>
  <si>
    <t>Check the discount percentage text in a voucher item</t>
  </si>
  <si>
    <t>Navigate to the "My Cart" page
Select (&gt;) to the right of the discount display area
Check the correct display of the size, position and color of the discount percentage text in a voucher item</t>
  </si>
  <si>
    <t xml:space="preserve">- The size, position and color of discount percentage text in a voucher item display correctly </t>
  </si>
  <si>
    <t>MC49</t>
  </si>
  <si>
    <t>Check voucher conditions in a voucher item</t>
  </si>
  <si>
    <t>Navigate to the "My Cart" page
Select (&gt;) to the right of the discount display area
Check the correct display of the voucher condition position, size, and font color in a voucher item</t>
  </si>
  <si>
    <t>- display exact the position, size, font color of voucher conditions in 1 voucher item</t>
  </si>
  <si>
    <t>MC50</t>
  </si>
  <si>
    <t>Check expiration date in 1 voucher item</t>
  </si>
  <si>
    <t>Navigate to the "My Cart" page
Select (&gt;) to the right of the discount display area
Check the correct display of the size, position and color of the expiration date text in a voucher item</t>
  </si>
  <si>
    <t>- display exact the size, position and color of expiration date in 1 voucher item</t>
  </si>
  <si>
    <t>MC51</t>
  </si>
  <si>
    <t>Check the text "See more"</t>
  </si>
  <si>
    <t>Navigate to the "My Cart" page
Select (&gt;) to the right of the discount display area
Check the correct display size, position and font color of "See More"</t>
  </si>
  <si>
    <t>- display exact the size, position and color of "See more" text</t>
  </si>
  <si>
    <t>MC52</t>
  </si>
  <si>
    <t>Check the text "Collapse"</t>
  </si>
  <si>
    <t>Navigate to the "My Cart" page
Select (&gt;) to the right of the discount display area
Check the correct display of the "Collapse" font size, position and color</t>
  </si>
  <si>
    <t>- display exact the size, position and font color of "Collapse" text</t>
  </si>
  <si>
    <t>MC53</t>
  </si>
  <si>
    <t>Check the text "Product discount code"</t>
  </si>
  <si>
    <t>Navigate to the "My Cart" page
Select (&gt;) to the right of the discount display area
Check the correct size, position and color of the "Product Discount Code" text</t>
  </si>
  <si>
    <t>- display exact the size, position and color of text "Product discount code"</t>
  </si>
  <si>
    <t>MC54</t>
  </si>
  <si>
    <t>Check the ability to scroll up and down the coupon list</t>
  </si>
  <si>
    <t>Navigate to the "My Cart" page
Select (&gt;) to the right of the discount display area
Test the ability to scroll up and down the coupon list by scrolling up the list or scrolling down the list</t>
  </si>
  <si>
    <t>- good scrolling ability when scrolling up and down the coupon list</t>
  </si>
  <si>
    <t>MC55</t>
  </si>
  <si>
    <t>Check the spacing between items in the coupon list</t>
  </si>
  <si>
    <t>Navigate to the "My Cart" page
Select (&gt;) to the right of the discount display area
Check the spacing between items in the coupon list</t>
  </si>
  <si>
    <t>- display correct spacing between items in coupon list</t>
  </si>
  <si>
    <t>MC56</t>
  </si>
  <si>
    <t>Check to display full content of a voucher item in voucher list</t>
  </si>
  <si>
    <t>Navigate to the "My Cart" page
Select (&gt;) to the right of the discount display area
Check to display the full content in a voucher according to the discount code including, contents such as percentage discount, voucher name, discount conditions and expiry date</t>
  </si>
  <si>
    <t>- Display full content in 1 voucher according to discount code including content such as discount percentage, voucher name, discount conditions and expiration date</t>
  </si>
  <si>
    <t>MC57</t>
  </si>
  <si>
    <t>Check the "Use" button</t>
  </si>
  <si>
    <t>Navigate to the "My Cart" page
Select (&gt;) to the right of the discount display area
Check the correct size, position, text color and background color of a "Use" button</t>
  </si>
  <si>
    <t>- display correct the size, position, text color and background color of a "Use" button</t>
  </si>
  <si>
    <t>MC58</t>
  </si>
  <si>
    <t>Check the "Use" button keep the same when the user scrolls up and down the list</t>
  </si>
  <si>
    <t>Navigate to the "My Cart" page
Select (&gt;) to the right of the discount display area
Scroll the list up or down
Check that the "Use" button remains the same when the user scrolls up and down the list</t>
  </si>
  <si>
    <t>- "Use" button stays visible when user scrolls up and down the list</t>
  </si>
  <si>
    <t>MC59</t>
  </si>
  <si>
    <t>Check the voucher code is checked successfully when the user selects 1 voucher in the discount code list</t>
  </si>
  <si>
    <t>Navigate to the "My Cart" page
Select (&gt;) to the right of the discount display area
Check 1 voucher code radio in the discount code list
Check the voucher code is successfully checked</t>
  </si>
  <si>
    <t>- voucher code checked successfully</t>
  </si>
  <si>
    <t>MC60</t>
  </si>
  <si>
    <t>TIÊU ĐỀ</t>
  </si>
  <si>
    <t>Check the product quantity on the title corresponds to the products in the cart</t>
  </si>
  <si>
    <t>Navigate to the "My Cart" page
Count the number of products in the cart
Check that the number of products in the title corresponds to the number of products in the cart</t>
  </si>
  <si>
    <t>- The number of products in the title corresponds to the number of products in the shopping cart</t>
  </si>
  <si>
    <t>MC61</t>
  </si>
  <si>
    <t>BUTTON BACK</t>
  </si>
  <si>
    <t>Check the system returns to the previous parent screen when pressing the "Back" button</t>
  </si>
  <si>
    <t>Navigate to "My Cart" page
Click the "Back" button
Check the system returns to the previous parent screen when click the "Back" button</t>
  </si>
  <si>
    <t>- The system returns to the previous parent screen when the "Back" button is pressed.</t>
  </si>
  <si>
    <t>MC62</t>
  </si>
  <si>
    <t>TÌM KIẾM</t>
  </si>
  <si>
    <t>Check successfully displays product list in cart containing search keyword</t>
  </si>
  <si>
    <t>Navigate to the "My Cart" page
Enter search keyword in the search bar
Check the list of products in cart containing search keyword displays successfully</t>
  </si>
  <si>
    <t>- Cáp sạc Iphone 13 Pro zin tháo máy</t>
  </si>
  <si>
    <t>- Display a list of products in the shopping cart containing the search keyword</t>
  </si>
  <si>
    <t>MC63</t>
  </si>
  <si>
    <t>Check to display the message "No results found" when entering with keywords that do not exist in the system</t>
  </si>
  <si>
    <t>Navigate to the "My Cart" page
Enter search keywords in the search bar
Check show "No results found" message when entering keywords that do not exist in the system</t>
  </si>
  <si>
    <t>- Cáp sạc Iphone 20</t>
  </si>
  <si>
    <t>- Displays the message "No results found" when entering a keyword that does not have data in the system</t>
  </si>
  <si>
    <t>MC64</t>
  </si>
  <si>
    <t>Check the system keeps the screen when entering keywords as blank spaces</t>
  </si>
  <si>
    <t>Navigate to "My Cart" page
Enter search keywords as spaces
Check the system to keep the screen when entering keywords as spaces</t>
  </si>
  <si>
    <t>- The system keeps the screen the same when entering keywords as blank spaces</t>
  </si>
  <si>
    <t>MC65</t>
  </si>
  <si>
    <t>Test system displays product list even when user enters keyword in uppercase or lowercase</t>
  </si>
  <si>
    <t>Navigate to the "My Cart" page
Enter search keywords in upper or lower case
Check the system to display the corresponding product list regardless of upper or lower case</t>
  </si>
  <si>
    <t>- CÁP SẠC INPHONE 13
- cáp sạc Iphone 13</t>
  </si>
  <si>
    <t>- The system displays a list of corresponding products regardless of upper or lower case letters.</t>
  </si>
  <si>
    <t>MC66</t>
  </si>
  <si>
    <t>DANH SÁCH SẢN PHẨM</t>
  </si>
  <si>
    <t>Product list is not duplicated</t>
  </si>
  <si>
    <t>Navigate to the "My Cart" page
Check the product list for duplicates</t>
  </si>
  <si>
    <t>- product list is not duplicated</t>
  </si>
  <si>
    <t>MC67</t>
  </si>
  <si>
    <t>Check that paid products will not appear in the order list</t>
  </si>
  <si>
    <t>Navigate to the "My Cart" page
Check the checkbox of any corresponding product
Click on the "Payment" button
Click on the "Place Order" button
Click on the Button containing the shopping cart icon in the menu
Check if the product just paid for appears in the shopping cart list</t>
  </si>
  <si>
    <t>- The order just paid does not appear in the shopping cart list</t>
  </si>
  <si>
    <t>MC68</t>
  </si>
  <si>
    <t>Check the quantity will be updated when the user adds a new product that already exists in the cart</t>
  </si>
  <si>
    <t>Navigate to the home page
Click on the cart icon on an existing product item in the cart
Click on the button containing the cart icon under the menu to navigate to the "Cart" page
Check the updated product quantity when the user adds a new product that already exists in the cart</t>
  </si>
  <si>
    <t>- Product quantity is updated when user adds a new product that already exists in the cart</t>
  </si>
  <si>
    <t>MC69</t>
  </si>
  <si>
    <t>Check the default displayed product quantity is 1 when the user adds to cart a product that does not exist in the cart list</t>
  </si>
  <si>
    <t>Navigate to the home page
Click on the cart icon on a product item that does not exist in the cart
Click on the button containing the cart icon under the menu to navigate to the "Cart" page
Check the updated product quantity is 1 when the user adds a new product that does not exist in the cart</t>
  </si>
  <si>
    <t>- Product quantity is updated when user adds a new product that does not exist in the cart</t>
  </si>
  <si>
    <t>MC70</t>
  </si>
  <si>
    <t>Check the quantity of products reduced by click the (-) button</t>
  </si>
  <si>
    <t>Navigate to "My Cart"
Click the (-) button on a product item
Check the quantity of the product decreases when clicking the (-) button</t>
  </si>
  <si>
    <t>- The number of products decreases when pressing the (-) button</t>
  </si>
  <si>
    <t>MC71</t>
  </si>
  <si>
    <t>Check the quantity of products increases when pressing the (+) button</t>
  </si>
  <si>
    <t>Navigate to "My Cart"
Click the (+) button on a product item
Check the quantity of the product increases when clicking the (+) button</t>
  </si>
  <si>
    <t>- The number of products increases when pressing the (+) button</t>
  </si>
  <si>
    <t>MC72</t>
  </si>
  <si>
    <t>Check quantity when user enters special characters or negative numbers</t>
  </si>
  <si>
    <t>Navigate to "My Cart"
Enter quantity as special characters or negative numbers
Check the default product quantity is 1 when user enters special characters or negative number</t>
  </si>
  <si>
    <t>- /?&gt;
- -3</t>
  </si>
  <si>
    <t>- The default product quantity is 1 when user enters special characters or negative numbers</t>
  </si>
  <si>
    <t>MC73</t>
  </si>
  <si>
    <t>Check quantity when user enters 0</t>
  </si>
  <si>
    <t>Navigate to "My Cart"
Enter quantity as 0
Check the default product quantity is 1 when the user enters 0</t>
  </si>
  <si>
    <t>- The default product quantity is 1 when user enters quantity as 0</t>
  </si>
  <si>
    <t>MC74</t>
  </si>
  <si>
    <t>Check quantity when user enters quantity larger than quantity in stock</t>
  </si>
  <si>
    <t>Navigate to "My Cart"
Enter quantity greater than stock
Check for "Exceeded Stock" message</t>
  </si>
  <si>
    <t>100</t>
  </si>
  <si>
    <t>- display message "Exceeded stock quantity"</t>
  </si>
  <si>
    <t>MC76</t>
  </si>
  <si>
    <t>Check the system to display product details when clicking on a product item in the shopping cart</t>
  </si>
  <si>
    <t>Navigate to "My Cart"
Click on the product area
Check the system to display product details when clicking on a product item in the cart</t>
  </si>
  <si>
    <t>- The system displays product details when clicking on a product item in the shopping cart</t>
  </si>
  <si>
    <t>MC77</t>
  </si>
  <si>
    <t>Check the total amount displayed correctly when successfully checking a product checkbox</t>
  </si>
  <si>
    <t>Navigate to "My Cart"
Check the checkbox of a product
Verify the total price displayed correctly when successfully checking a product checkbox</t>
  </si>
  <si>
    <t>- the total price displayed correctly when successfully checking a product checkbox</t>
  </si>
  <si>
    <t>MC78</t>
  </si>
  <si>
    <t>Check to successfully display 2 select items including "Add to favorites" or "Remove from cart" when clicking on the menu three-dots button in the upper right corner of each product item</t>
  </si>
  <si>
    <t>Navigate to "My Cart"
Click on the three-dots button
Check to successfully display 2 select items including "Add to favorites" or "Remove from cart" when clicking on the menu three-dots button in the upper right corner of each product item</t>
  </si>
  <si>
    <t>- displayed successfully  2 select items including "Add to favorites" or "Remove from cart" when clicking on the 3 dots button in the upper right corner of each product item</t>
  </si>
  <si>
    <t>MC79</t>
  </si>
  <si>
    <t>Check to display the correct discount amount corresponding to the discount percentage when applying the voucher</t>
  </si>
  <si>
    <t>Navigate to "My Cart"
Select (&gt;) to the right of the discount display area
Check the eligible discount voucher to apply
Click the "Apply" button
Check to display the correct discount amount corresponding to the discount percentage when applying the voucher</t>
  </si>
  <si>
    <t>- display exact discount amount corresponding to discount percentage when applying voucher</t>
  </si>
  <si>
    <t>MC80</t>
  </si>
  <si>
    <t>Check to display the correct shipping discount amount corresponding to the discount percentage when applying the voucher</t>
  </si>
  <si>
    <t>Navigate to "My Cart"
Select (&gt;) to the right of the discount display area
Select the eligible shipping voucher to apply
Click the "Apply" button
Verify the exact shipping discount amount corresponding to the discount percentage when applying the voucher</t>
  </si>
  <si>
    <t>- display exact shipping discount amount corresponding to discount percentage when applying voucher</t>
  </si>
  <si>
    <t>MC81</t>
  </si>
  <si>
    <t>Check the display of the "Select Voucher" page when clicking on the discount amount display area</t>
  </si>
  <si>
    <t>Navigate to the "My Cart" page
Select (&gt;) to the right of the discount display area
Check the "Select Voucher" page display when clicking on the discount amount display area</t>
  </si>
  <si>
    <t>- show "Select Voucher" page when clicking on the discount amount display area</t>
  </si>
  <si>
    <t>MC82</t>
  </si>
  <si>
    <t>Check the display of the "Delete" button when the user checks 2 or more products</t>
  </si>
  <si>
    <t>Navigate to "My Cart" page
Check 2 or more products
Test to display "Delete" button when user checks 2 or more products</t>
  </si>
  <si>
    <t>- display "Delete" button when user checks 2 or more products</t>
  </si>
  <si>
    <t>MC83</t>
  </si>
  <si>
    <t>Check the system successfully deletes the checked products when clicking the "Delete" button from the shopping cart</t>
  </si>
  <si>
    <t>Navigate to the "My Cart" page
Check 2 or more products
Click the "Delete" button
Click the "OK" button on the "Delete Products" dialog box
Check that the system has successfully deleted the products checked when clicking the "Delete" button from the cart</t>
  </si>
  <si>
    <t>- The system successfully deleted the products checked when clicking the "Delete" button from the shopping cart.</t>
  </si>
  <si>
    <t>MC84</t>
  </si>
  <si>
    <t>Check when the user checks  all the checkbox of all products in the shopping cart, the system automatically checks "All" checkbox.</t>
  </si>
  <si>
    <t>Navigate to "My Cart" page
Check the checkbox of all products in the cart
Verify the system to automatically check "All" checkbox</t>
  </si>
  <si>
    <t>- the system to automatically check "All" checkbox when the user checks  all the checkbox of all products in the shopping cart</t>
  </si>
  <si>
    <t>MC85</t>
  </si>
  <si>
    <t>Check when the user unchecks a product until the number of checked products is less than 2, the system automatically hides the "Delete" button.</t>
  </si>
  <si>
    <t>Navigate to "My Cart" page
Uncheck the checkboxes of the products until the number of checked products is less than 2
Check the system to automatically uncheck all checkboxes</t>
  </si>
  <si>
    <t>- The system automatically unchecks "All" checkbox.</t>
  </si>
  <si>
    <t>MC86</t>
  </si>
  <si>
    <t>Check the system displays the message "This product cannot be selected" when this product is out of stock or discontinued</t>
  </si>
  <si>
    <t>Navigate to the "My Cart" page
Select the product that is out of stock or discontinued
Check the system for the message "This product cannot be selected"</t>
  </si>
  <si>
    <t>- The system displays the message "This product cannot be selected" and the user cannot operate when this product is out of stock or discontinued.</t>
  </si>
  <si>
    <t>MC87</t>
  </si>
  <si>
    <t>THÊM VÀO YÊU THÍCH</t>
  </si>
  <si>
    <t>Check to display "Added to favorites" message when clicking on "Add to favorites" option</t>
  </si>
  <si>
    <t>Navigate to the "My Cart" page
Click the three dots on any product item
Click the "Add to Favorites" option
Display the "Added to Favorites" message</t>
  </si>
  <si>
    <t>- Show "Added to favorites" notification</t>
  </si>
  <si>
    <t>MC88</t>
  </si>
  <si>
    <t>Check to add favorite product successfully to favorite list when clicking on "Add to favorite" option</t>
  </si>
  <si>
    <t>Navigate to the "My Cart" page
Click the menu three-dots in any product category
Click the "Add to Favorites" option
Click the "Personal" option under the menu bar
Click the "Favorites" option
Check if the newly added product exists in the favorites list</t>
  </si>
  <si>
    <t>- The newly added product is already in your favorite list</t>
  </si>
  <si>
    <t>MC89</t>
  </si>
  <si>
    <t>Check if the favorite product was successfully removed from the favorite list when clicking on the "Unfavorite" option</t>
  </si>
  <si>
    <t>Navigate to the "My Cart" page
Click the menu three-dots in any product category
Click on the "Unfavorite" option
Check that the system displays "Unfavorite successfully"
Click on the "Personal" item under the menu bar
Click on the "Favorites" item
Check that the product that was just deleted does not exist in the favorites list</t>
  </si>
  <si>
    <t>- The product just deleted does not exist in the wishlist</t>
  </si>
  <si>
    <t>MC90</t>
  </si>
  <si>
    <t>XOÁ KHỎI GIỎ HÀNG</t>
  </si>
  <si>
    <t>Check the "Delete Product" dialog box displays when clicking the "Delete from Cart" option</t>
  </si>
  <si>
    <t>Navigate to the "My Cart" page
Click the menu three-dots in any product category
Click the "Remove from Cart" option
Verify the "Remove Product" dialog box displays</t>
  </si>
  <si>
    <t>- display "Delete product" dialog</t>
  </si>
  <si>
    <t>MC91</t>
  </si>
  <si>
    <t>Check that when clicking the "OK" button on the delete product dialog box, the system deletes the product from the shopping cart list.</t>
  </si>
  <si>
    <t>"Navigate to the ""My Cart"" page
Click the menu three-dots in any product category
Click the ""Remove from Cart"" option
Click the "OK" button on the product deletion dialog box
Check the system to remove the product from the cart list</t>
  </si>
  <si>
    <t>- The system deletes product from shopping cart list</t>
  </si>
  <si>
    <t>MC92</t>
  </si>
  <si>
    <t>HỘP THOẠI XOÁ SẢN PHẨM</t>
  </si>
  <si>
    <t>Check that when clicking the "NO" button on the product deletion dialog box, the system closes the product deletion dialog box.</t>
  </si>
  <si>
    <t>"Navigate to the ""My Cart"" page
Click the menu three-dots in any product category
Click the ""Remove from cart"" option
Click the "No" button on the delete product dialog
Check the system to close the delete product dialog</t>
  </si>
  <si>
    <t>- The system closes the product deletion dialog box.</t>
  </si>
  <si>
    <t>MC93</t>
  </si>
  <si>
    <t>CHỌN VOUCHER</t>
  </si>
  <si>
    <t>Check voucher does not exist in voucher list after applied to placed order</t>
  </si>
  <si>
    <t>Navigate to the "My Cart" page
Select (&gt;) to the right of the discount display area
Select the voucher in the voucher list
Press the "Use" button
Press the "Payment" button
Press the "Place Order" button
Press the Cart icon button under the Menu bar
Select (&gt;) to the right of the discount display area
Check if the voucher just applied is still in the voucher list</t>
  </si>
  <si>
    <t>- voucher vừa áp dụng  tkhông tồn tại trong danh sách voucher nữa</t>
  </si>
  <si>
    <t>MC94</t>
  </si>
  <si>
    <t>Successfully displayed the discount code and is the only code when the user enters the correct discount code information</t>
  </si>
  <si>
    <t>Navigate to the "My Cart" page
Select (&gt;) to the right of the discount display area
Enter the discount code on the search bar
Click the "Apply" button
Discount code is successfully displayed when the user enters the correct discount code information</t>
  </si>
  <si>
    <t>- Display successfully  discount code when user enters correct discount code information</t>
  </si>
  <si>
    <t>MC95</t>
  </si>
  <si>
    <t>Check Show "No results found" message when user enters non-existent or incorrect coupon code</t>
  </si>
  <si>
    <t>Navigate to the "My Cart" page
Select (&gt;) to the right of the discount display area
Enter the discount code in the search bar
Press the "Apply" button
Check Show "No results found" message when the user enters a non-existent or incorrect discount code</t>
  </si>
  <si>
    <t>FREESHIP01</t>
  </si>
  <si>
    <t>- Show "No results found" message when the user enters a non-existent or incorrect discount code</t>
  </si>
  <si>
    <t>MC96</t>
  </si>
  <si>
    <t>Check voucher code is checked successfully when user selects 1 voucher in the shipping code list</t>
  </si>
  <si>
    <t>Navigate to the "My Cart" page
Select (&gt;) to the right of the discount display area
Check 1 voucher code radio in the shipping code list
Check the voucher code is successfully checked</t>
  </si>
  <si>
    <t>MC97</t>
  </si>
  <si>
    <t>Check the ability when the user selects multiple shipping code vouchers</t>
  </si>
  <si>
    <t>Navigate to the "My Cart" page
Select (&gt;) to the right of the discount display area
Check multiple voucher codes radio in the shipping code list
Check the ability when the user selects multiple shipping code vouchers</t>
  </si>
  <si>
    <t>- Users can only select 1 voucher from the list of shipping voucher codes.</t>
  </si>
  <si>
    <t>MC98</t>
  </si>
  <si>
    <t>Check when user ticks another voucher</t>
  </si>
  <si>
    <t>Navigate to the "My Cart" page
Select (&gt;) to the right of the discount display area
Check another voucher code radio
Check when the user ticks another voucher radio</t>
  </si>
  <si>
    <t>- The system unchecks the old voucher and ticks the radio box of the new voucher.</t>
  </si>
  <si>
    <t>MC99</t>
  </si>
  <si>
    <t>Check voucher application success when user selects 1 shipping or discount voucher and applies it</t>
  </si>
  <si>
    <t xml:space="preserve">Navigate to the "My Cart" page
Select (&gt;) to the right of the discount display area
Select 1 shipping voucher and 1 discount voucher
Press the "Apply" button
Check the discount total displays if the voucher is successfully applied </t>
  </si>
  <si>
    <t>- voucher applied successfully when user selects 1 shipping or discount voucher and applies it</t>
  </si>
  <si>
    <t>MC100</t>
  </si>
  <si>
    <t>Test the ability when users select multiple discount code vouchers</t>
  </si>
  <si>
    <t>Navigate to the "My Cart" page
Select (&gt;) to the right of the discount display area
Check multiple voucher codes radio in the discount code list
Check the ability when the user selects multiple discount code vouchers</t>
  </si>
  <si>
    <t>- Users can only choose 1 voucher from the list of shipping codes or the list of discount codes.</t>
  </si>
  <si>
    <t>MC101</t>
  </si>
  <si>
    <t>Check when user applies both discount voucher and shipping voucher successfully when user has finished selecting 2 voucher types and applied it</t>
  </si>
  <si>
    <t>Navigate to the "My Cart" page
Select (&gt;) to the right of the discount display area
Select 1 shipping voucher and 1 discount voucher
Press the "Use" button
Check the discount amount of the shipping code and the discount code corresponding to the discount percentage in the voucher</t>
  </si>
  <si>
    <t>- The discount amount of the shipping code and the displayed discount code corresponds to the percentage discount in the voucher</t>
  </si>
  <si>
    <t>MC102</t>
  </si>
  <si>
    <t>Check the voucher information data in the list is displayed correctly</t>
  </si>
  <si>
    <t>Navigate to the "My Cart" page
Select (&gt;) to the right of the discount display area
Check that the voucher information data in the display list is correct</t>
  </si>
  <si>
    <t>- voucher information data in the list is displayed correctly</t>
  </si>
  <si>
    <t>MC103</t>
  </si>
  <si>
    <t>Check that when the user clicks on the "Use" button, the system switches to the "Payment" page.</t>
  </si>
  <si>
    <t>Navigate to the "My Cart" page
Select (&gt;) to the right of the discount display area
Press the "Use" button
Check and confirm the system redirects to the "Payment" page</t>
  </si>
  <si>
    <t>- The system switches to the "Payment" page</t>
  </si>
  <si>
    <t>MC104</t>
  </si>
  <si>
    <t>CHECK BOX TẤT CẢ</t>
  </si>
  <si>
    <t>Check and confirm the corresponding checkboxes in the shopping cart list are checked when the user checks the all checkboxes and vice versa</t>
  </si>
  <si>
    <t>Navigate to the "My Cart" page
Check all checkboxes
Check and confirm that the corresponding checkboxes in the cart list are checked
Check the all checkboxes a second time
Check and confirm that the corresponding checkboxes in the cart list are unchecked</t>
  </si>
  <si>
    <t>- the corresponding checkboxes in the shopping cart list are unchecked when clicked the first time
- the corresponding checkboxes in the shopping cart list are unchecked when clicked the second time"</t>
  </si>
  <si>
    <t>MC105</t>
  </si>
  <si>
    <t>Verify when checking the all checkboxes, the system will display the total amount corresponding to the total amount of all products multiplied by the quantity of products in the cart.</t>
  </si>
  <si>
    <t>Navigate to the "My Cart" page
Check the all checkboxes 
Verify the system displays the total amount corresponding to the total amount of all products multiplied by the quantity of products in the cart</t>
  </si>
  <si>
    <t>- displays the total amount corresponding to the total amount of all products multiplied by the quantity of products in the shopping cart</t>
  </si>
  <si>
    <t>MC106</t>
  </si>
  <si>
    <t>Check to display the exact discount amount equal to the discount amount and shipping amount of all checked products</t>
  </si>
  <si>
    <t>Navigate to the "My Cart" page
Select (&gt;) to the right of the discount display area
Select 1 voucher from the shipping list and 1 voucher from the discount list
Check to display the exact discount amount equal to the discount amount and shipping amount of all checked products</t>
  </si>
  <si>
    <t>- show exact discount amount equal to discount amount and shipping amount of all checked products</t>
  </si>
  <si>
    <t>MC107</t>
  </si>
  <si>
    <t>Check that when checking the all checkbox, the "Delete" button is displayed.</t>
  </si>
  <si>
    <t>Navigate to "My Cart" page
Check all checkboxes
Verify display "Delete" button</t>
  </si>
  <si>
    <t>- show "Delete" button</t>
  </si>
  <si>
    <t>MC108</t>
  </si>
  <si>
    <t>Check that when clicking the "Delete" button, the "Delete All" dialog box appears</t>
  </si>
  <si>
    <t>Navigate to the "My Cart" page
Check the all checkbox
Click the "Delete" button
Check the system displays the "Delete All" dialog box</t>
  </si>
  <si>
    <t>- the system displays the "Delete all" dialog box</t>
  </si>
  <si>
    <t>MC109</t>
  </si>
  <si>
    <t>Check that when click the "OK" button on the '"Delete all" dialog box, the system deletes all product in the shopping cart.</t>
  </si>
  <si>
    <t>Navigate to the "My Cart" page
Check the checkbox all
Click the "Delete" button
Click the "OK" button on the "Delete All" dialog box
Check and confirm that the system deletes all product in the cart</t>
  </si>
  <si>
    <t>- that when click the "OK" button on the '"Delete all" dialog box, the system deletes all product in the shopping cart.</t>
  </si>
  <si>
    <t>MC110</t>
  </si>
  <si>
    <t>Check that when pressing the "No" button on the "Delete all" dialog box, the system closes the "Delete all" dialog box.</t>
  </si>
  <si>
    <t>Điều hướng tới trang "Giỏ hàng của tôi"
Check vào ô checkbox tất cả
Nhấn vào button "Xoá"
Nhấn vào button 'Không" trên hộp thoại "Xoá tất cả"
Kiểm tra và xác nhận hệ thống đóng hộp thoại xoá tất cả</t>
  </si>
  <si>
    <t>- system closes delete all dialog box</t>
  </si>
  <si>
    <t>MC111</t>
  </si>
  <si>
    <t>Check the default "All" checkbox is not checked</t>
  </si>
  <si>
    <t>Navigate to the "My Cart" page
Check and confirm that the default all" checkbox is initially unchecked"</t>
  </si>
  <si>
    <t>- The default "All" checkbox is unchecked.</t>
  </si>
  <si>
    <t>MC112</t>
  </si>
  <si>
    <t>Navigate to "My Cart" page
Check the checkboxes of 2 or more products
Check the display of the "Delete" button</t>
  </si>
  <si>
    <t>MC113</t>
  </si>
  <si>
    <t>If the "all" checkbox is checked, but the user unchecks one or more, the system will uncheck the all checkbox.</t>
  </si>
  <si>
    <t>Navigate to the "My Cart" page
Check all checkboxes
Uncheck a product in the cart
Check and confirm that the system automatically cancels the check in the "all" checkbox"</t>
  </si>
  <si>
    <t>- The system automatically cancels the "All" checkbox when the user uncheck one or more the checkbox</t>
  </si>
  <si>
    <t>MC114</t>
  </si>
  <si>
    <t>TỔNG TIỀN</t>
  </si>
  <si>
    <t>Check that the system displays the correct total corresponding to the total of the products being checked.</t>
  </si>
  <si>
    <t>Navigate to the "My Cart" page
Check some products
Check that the system displays the correct total corresponding to the total of the checked products</t>
  </si>
  <si>
    <t>- The system displays the correct total corresponding to the total of the products checked.</t>
  </si>
  <si>
    <t>MC115</t>
  </si>
  <si>
    <t>Check total price is displayed correctly when unchecking some products</t>
  </si>
  <si>
    <t>Navigate to "My Cart" page
Check optional products (e.g. 5)
Uncheck some products (e.g. 2)
Check total price is displayed correctly when unchecking some products</t>
  </si>
  <si>
    <t>- The total price is displayed correctly when unchecking some products</t>
  </si>
  <si>
    <t>MC116</t>
  </si>
  <si>
    <t>Check the system shows total amount and total discount as 0 when no product is checked</t>
  </si>
  <si>
    <t>Navigate to "My Cart" page
Uncheck the products that are being checked
Check the system shows the total amount and total discount as 0 when no products are checked</t>
  </si>
  <si>
    <t>- The system displays the total amount and total discount as 0 when no product is checked.</t>
  </si>
  <si>
    <t>MC117</t>
  </si>
  <si>
    <t>BUTTON THANH TOÁN</t>
  </si>
  <si>
    <t>Check the display of the message "You have not selected any products" when clicking the "Checkout" button but not checking any products</t>
  </si>
  <si>
    <t>Navigate to "My Cart" page
Uncheck the products that are being checked
Press the "Payment" button
Check the system displays the message "You have not selected any products"</t>
  </si>
  <si>
    <t>- The system displays the message "You have not selected any products"</t>
  </si>
  <si>
    <t>MC118</t>
  </si>
  <si>
    <t>Check to display the exact number of products checked</t>
  </si>
  <si>
    <t>Navigate to the "My Cart" page
Count the number of products in the checked cart
Check the number of products in the "Payment" button corresponding to the number of products currently checked in the cart</t>
  </si>
  <si>
    <t>- The number of products in the "Payment" button corresponds to the number of products being checked in the shopping cart</t>
  </si>
  <si>
    <t>MC119</t>
  </si>
  <si>
    <t>Check the display of the "Payment" page when clicking the "Payment" button</t>
  </si>
  <si>
    <t xml:space="preserve">Navigate to the "My Cart" page
Check some products in the cart
Press the "Payment" button
Check the display of the "Payment" page </t>
  </si>
  <si>
    <t>- Display "Payment" page</t>
  </si>
  <si>
    <t>MC120</t>
  </si>
  <si>
    <t>Check to display correct information including product information and order total on the "Payment" page</t>
  </si>
  <si>
    <t>Navigate to the "My Cart" page
Check a few products in the cart
Click the "Payment" button
Check the correct display of information including product information and total order amount in the "Payment" page including Product image, product name, product price and product quantity</t>
  </si>
  <si>
    <t>- Accurately display information including product information and total order amount in the "Payment" page including Product Image, Product Name, Product Price and Product Quantity</t>
  </si>
  <si>
    <t>PD_01</t>
  </si>
  <si>
    <t>Check the size, color, font size of the "Product Details" title</t>
  </si>
  <si>
    <t>Product information data is fully displayed.</t>
  </si>
  <si>
    <t>Navigate to product details page
Check and confirm that the "Product Details" title is displayed in the correct size, color, and font size</t>
  </si>
  <si>
    <t>- The "Product Details" title is displayed in the correct size, color, and font size</t>
  </si>
  <si>
    <t>PD_02</t>
  </si>
  <si>
    <t>Check horizontal scroll mode to see all product images</t>
  </si>
  <si>
    <t>Navigate to product detail page
Scroll right to view more product images
Check and confirm smooth horizontal scrolling when customers want
Check and confirm images are not cropped or missing</t>
  </si>
  <si>
    <t>- Smooth horizontal scrolling when customers want to view images and images are not cropped or distorted</t>
  </si>
  <si>
    <t>PD_03</t>
  </si>
  <si>
    <r>
      <rPr>
        <rFont val="Roboto, RobotoDraft, Helvetica, Arial, sans-serif"/>
        <color rgb="FF000000"/>
        <sz val="10.0"/>
      </rPr>
      <t>Check that the position, size and sharpness of the product image are displayed correctly.</t>
    </r>
    <r>
      <rPr>
        <rFont val="Roboto, RobotoDraft, Helvetica, Arial, sans-serif"/>
        <color rgb="FF000000"/>
        <sz val="10.0"/>
      </rPr>
      <t xml:space="preserve">
</t>
    </r>
  </si>
  <si>
    <t>Navigate to product detail page
Check and confirm that the image is displayed correctly in the correct position and size, and that the image is not blurred"</t>
  </si>
  <si>
    <t>- The image is displayed correctly in the correct position and size, and that the image is not blurred"</t>
  </si>
  <si>
    <t>PD_04</t>
  </si>
  <si>
    <t>Check the correct display position, size, color of the product name</t>
  </si>
  <si>
    <t>Navigate to product detail page
Check and confirm correct size, color, and position of product name</t>
  </si>
  <si>
    <t>- Display correct size, color and position of product name</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</si>
  <si>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</si>
  <si>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PD_05</t>
  </si>
  <si>
    <t>Check the correct display position, size, and color of the product brand</t>
  </si>
  <si>
    <t>Navigate to product detail page
Check and confirm correct display of product size, color, and brand position</t>
  </si>
  <si>
    <t>- Display correct size, color and position of product brand</t>
  </si>
  <si>
    <t>PD_06</t>
  </si>
  <si>
    <t>Check correct product price display (size, color, format)</t>
  </si>
  <si>
    <t>Navigate to the product detail page
Check and confirm that the product price size, color, position, and format are displayed correctly</t>
  </si>
  <si>
    <t xml:space="preserve">- Display correct size, color, format and position of product price </t>
  </si>
  <si>
    <t>PD_07</t>
  </si>
  <si>
    <t>Check that the message icon is displayed correctly (size, color, position)</t>
  </si>
  <si>
    <t>Navigate to product detail page
Check and confirm correct size, color, and position of message icon</t>
  </si>
  <si>
    <t>- Display correct size, color and position of message icon</t>
  </si>
  <si>
    <t>PD_08</t>
  </si>
  <si>
    <t>Check that the sharing icon is displayed correctly (size, color, position)</t>
  </si>
  <si>
    <t>Navigate to product detail page
Check and confirm that the share icon is displayed in the correct size, color, and position</t>
  </si>
  <si>
    <t>- Display correct size, color and position of share icon</t>
  </si>
  <si>
    <t>PD_09</t>
  </si>
  <si>
    <t>Check the "Product Details" header (size, position, color)</t>
  </si>
  <si>
    <t>Navigate to product details page
Check and confirm that the "Product Details" text is displayed in the correct size, color, and position</t>
  </si>
  <si>
    <t>- Display correct size, color and position of "Product Detail" header</t>
  </si>
  <si>
    <t>PD_10</t>
  </si>
  <si>
    <t>Check that the product description is displayed correctly (size, position, color, margin)</t>
  </si>
  <si>
    <t>Navigate to product detail page
Check and confirm that the product description displays the correct size, color, position, and alignment</t>
  </si>
  <si>
    <t>- Display correct size, color, margin and position of product description</t>
  </si>
  <si>
    <t>PD_11</t>
  </si>
  <si>
    <t>Check the "Collapse" or "See More" text (Size, position, color)</t>
  </si>
  <si>
    <t>"Navigate to product detail page
Check and confirm correct display of text size, color ""Collapse"" or ""View more"""</t>
  </si>
  <si>
    <t>- Display correct size, color and position of the "Collapse" and "See More" text</t>
  </si>
  <si>
    <t>PD_12</t>
  </si>
  <si>
    <t>Check Voucher title (position, size, font color)</t>
  </si>
  <si>
    <t>Navigate to product detail page
Check and confirm correct position, size, and font color of "Voucher" title</t>
  </si>
  <si>
    <t>- Display correct size, color and position of the Voucher title</t>
  </si>
  <si>
    <t>PD_13</t>
  </si>
  <si>
    <t>Check the correct display of the "See all" text link and icon (size, position, color)</t>
  </si>
  <si>
    <t>Navigate to the product detail page
Scroll down the page
Check and confirm the correct position, size, and color of the "See all" text link</t>
  </si>
  <si>
    <t>- Display correct size, color and position of the "See all" text link and icon</t>
  </si>
  <si>
    <t>PD_14</t>
  </si>
  <si>
    <t>Check the correct display position, width and height of the voucher list</t>
  </si>
  <si>
    <t>Navigate to the product detail page
Scroll down the page
Check and confirm the correct position, width and height of the voucher list</t>
  </si>
  <si>
    <t xml:space="preserve">- Display correct position with and height of the Voucher list </t>
  </si>
  <si>
    <t>PD_15</t>
  </si>
  <si>
    <t>Check the spacing between the voucher boxes</t>
  </si>
  <si>
    <t>Navigate to product detail page
Check and confirm the display spacing between voucher boxes is correct and even</t>
  </si>
  <si>
    <t>- Display the correct  spacing between the voucher boxes</t>
  </si>
  <si>
    <t>PD_16</t>
  </si>
  <si>
    <t>Check horizontal scrolling to see all vouchers on the scroll bar</t>
  </si>
  <si>
    <t>Navigate to product detail page
Scroll down page
Scroll voucher list horizontally
Check and confirm horizontal scrolling so users can see all voucher code on the scroll bar</t>
  </si>
  <si>
    <t>user can see all coupon codes on scroll bar when scrolling list horizontally</t>
  </si>
  <si>
    <t>PD_17</t>
  </si>
  <si>
    <t>Check to display the correct size, color and format of the box containing the voucher content.</t>
  </si>
  <si>
    <t>Navigate to the product detail page
Scroll down the page
Check and confirm that the voucher box is displaying the correct size, color, and format</t>
  </si>
  <si>
    <t>- Display the correct size, color and format of the cell containing the voucher code content.</t>
  </si>
  <si>
    <t>PD_18</t>
  </si>
  <si>
    <t>Check the voucher name in the box (Size, color, position)</t>
  </si>
  <si>
    <t>Navigate to the product detail page
Scroll down the page
Check and confirm that the voucher name is displayed correctly in size, color, and position</t>
  </si>
  <si>
    <t>- Display correct position with and height of the Voucher name</t>
  </si>
  <si>
    <t>PD_19</t>
  </si>
  <si>
    <t>Check voucher expiry date in box (Size, color, location)</t>
  </si>
  <si>
    <t>Navigate to the product detail page
Scroll down the page
Check and confirm that the voucher expiry date text is displayed correctly in size, color, and position</t>
  </si>
  <si>
    <t>- Display correct position, size, color and expiration date of voucher</t>
  </si>
  <si>
    <t>PD_20</t>
  </si>
  <si>
    <t>Check the color of the voucher content of the discount percentage display area and the discount content display area</t>
  </si>
  <si>
    <t>Navigate to the product detail page
Scroll down the page
Check and confirm the color display of the discount percentage display area and the discount text display area</t>
  </si>
  <si>
    <t>- display color of discount percentage display area and discount content display area</t>
  </si>
  <si>
    <t>PD_21</t>
  </si>
  <si>
    <t>Check the text "See all" in the related product display area (Size, position, color)</t>
  </si>
  <si>
    <t>Navigate to the product detail page
Scroll down the page
Check and confirm that the "See all" text link is displayed in the correct size, color, and position</t>
  </si>
  <si>
    <t>- Display correct size, color, position of "See all" text link</t>
  </si>
  <si>
    <t>PD_22</t>
  </si>
  <si>
    <t>Check the text "Related products" (Size, position, color)</t>
  </si>
  <si>
    <t>Navigate to the product detail page
Scroll down the page
Check and confirm that the "Related Products" title is displayed in the correct size, color, and position</t>
  </si>
  <si>
    <t>- Display the correct size, color, and position of the "Related Products" title</t>
  </si>
  <si>
    <t>PD_23</t>
  </si>
  <si>
    <t>Check product list is displayed correctly (Size)</t>
  </si>
  <si>
    <t xml:space="preserve">Navigate to the product detail page
Scroll down the page
Check and confitm the product list is displayed in the correct size and position </t>
  </si>
  <si>
    <t>- display correct size of product list</t>
  </si>
  <si>
    <t>PD_24</t>
  </si>
  <si>
    <t xml:space="preserve">Check the position of each product is correct (Size, posotion)
</t>
  </si>
  <si>
    <t xml:space="preserve">Navigate to the product detail page
Sroll dơn the page
Check the position of each product is correct (Size, posotion)
</t>
  </si>
  <si>
    <t>- display correct size and position of each product</t>
  </si>
  <si>
    <t>PD_25</t>
  </si>
  <si>
    <t>Check the ability to scroll down or up of the related product list</t>
  </si>
  <si>
    <t>Navigate to product detail page
Scroll down the page
Check and confirm the ability to scroll down or up of the related product list</t>
  </si>
  <si>
    <t>- Smooth scrolling of related product list</t>
  </si>
  <si>
    <t>PD_26</t>
  </si>
  <si>
    <t>Check the distance between product display areas</t>
  </si>
  <si>
    <t>Navigate to the product detail page
Scroll down the page
Check and confirm that the distance between product display areas is displays correctly</t>
  </si>
  <si>
    <t>- display correct distance between product display areas</t>
  </si>
  <si>
    <t>PD_27</t>
  </si>
  <si>
    <t>Check the discount percentage displayed on each product (Size, color, display area, position)</t>
  </si>
  <si>
    <t>Navigate to the product detail page
Scroll down the page
Check and confirm that the correct size, color, display area, and position of the percentage discount displayed on each product is displayed</t>
  </si>
  <si>
    <t>- display correct size, color, display area and position of the discount percentage displayed on each product</t>
  </si>
  <si>
    <t>PD_28</t>
  </si>
  <si>
    <t>Check the correct display of favorite icons on each product (Size, position, color when not favorited, clickability)</t>
  </si>
  <si>
    <t>Navigate to product detail page
Scroll down the page
Check and confirm correct size, color when not favorited and good clickability</t>
  </si>
  <si>
    <t>- display correct size, color when not liked and good user clickability</t>
  </si>
  <si>
    <t>PD_29</t>
  </si>
  <si>
    <t>Check product images (Posotion, size, background color)</t>
  </si>
  <si>
    <t>Navigate to the product detail page
Scroll down the page
Check and confirm that the product image is displayed correctly in size, background color, and position</t>
  </si>
  <si>
    <t>- display correct size, background color and position of product images displayed correctly</t>
  </si>
  <si>
    <t>PD_30</t>
  </si>
  <si>
    <t>Check product name on each product (position, size, color)</t>
  </si>
  <si>
    <t>Navigate to the product detail page
Scroll down the page
Check and confirm that the product name is displayed correctly in size, color, and position</t>
  </si>
  <si>
    <t>- display correct size, color and position of product name</t>
  </si>
  <si>
    <t>PD_31</t>
  </si>
  <si>
    <t>Check product brand on each product</t>
  </si>
  <si>
    <t>Navigate to the product detail page
Scroll down the page
Check and confirm that the product brand size, color, and position are correct</t>
  </si>
  <si>
    <t>- display correct size, color and position of product brand</t>
  </si>
  <si>
    <t>PD_32</t>
  </si>
  <si>
    <t>Check product price on each product (Size, position, format, color)</t>
  </si>
  <si>
    <t>Navigate to the product detail page
Scroll down the page
Check and confirm that the product price is displayed in the correct size, position, format, and color</t>
  </si>
  <si>
    <t>- display correct size, color and position of product price</t>
  </si>
  <si>
    <t>Check product price original on each product</t>
  </si>
  <si>
    <t>PD_33</t>
  </si>
  <si>
    <t>Check cart icon on each product (image, size, background color, position)</t>
  </si>
  <si>
    <t>Navigate to the product detail page
Scroll down the page
Check and confirm that the product cart icon image, size, background color and position are displayed correctly</t>
  </si>
  <si>
    <t>- display correct image, size, background color and position of product cart icon</t>
  </si>
  <si>
    <t>PD_34</t>
  </si>
  <si>
    <t>Check "Add to cart" button (Position, size, background color, text color, button border, button icon)</t>
  </si>
  <si>
    <t>Navigate to the product detail page
Scroll down the page
Check and confirm the correct position, size, background color, text color, button border, and icon in the "Add to Cart" button</t>
  </si>
  <si>
    <t>- display correct position, size, background color, text color, button border, icon in button of "Add to cart" button</t>
  </si>
  <si>
    <t>PD_35</t>
  </si>
  <si>
    <t>Check "Buy now" button (Position, size, background color, text color, button border, button icon)</t>
  </si>
  <si>
    <t>Navigate to the product detail page
Scroll down the page
Check and confirm the correct position, size, background color, text color, button border, and icon in the button of the "Buy Now" button</t>
  </si>
  <si>
    <t>- hiển thị đúng vị trí, kích thước, màu nền, màu chữ, nút viền, biểu tượng trong nút "Mua ngay"</t>
  </si>
  <si>
    <t>PD_36</t>
  </si>
  <si>
    <t>Check "Back" button (Position, size, background color)</t>
  </si>
  <si>
    <t>Navigate to the product detail page
Scroll down the page
Check and confirm the correct position, size, background color, text color, button border, and icon in the "Back" button</t>
  </si>
  <si>
    <t>- display correct position, size, background color, text color, button border, icon in button of "Back" button</t>
  </si>
  <si>
    <t>PD_37</t>
  </si>
  <si>
    <t>Check the display of the "Share" dialog when clicking the share icon</t>
  </si>
  <si>
    <t>Navigate to the product detail page
Click the share icon
Check the "Share" dialog box displays</t>
  </si>
  <si>
    <t>- display of the "Share" dialog when clicking the share icon</t>
  </si>
  <si>
    <t>PD_38</t>
  </si>
  <si>
    <t>Check the heading "Share with friends and family")</t>
  </si>
  <si>
    <t>Navigate to the product detail page
Click the share icon
Check the title "Share with friends and family" is displayed</t>
  </si>
  <si>
    <t xml:space="preserve">- The position, color of title "Share with friends and family" is displayed correctly </t>
  </si>
  <si>
    <t>PD_39</t>
  </si>
  <si>
    <t>Check the "Copy Link" title and copy icon</t>
  </si>
  <si>
    <t>Navigate to the product detail page
Click the share icon
Check to see the "Copy link" title and copy icon</t>
  </si>
  <si>
    <t xml:space="preserve">- The position, color of title "Copy link" and copy icon is displayed correctly </t>
  </si>
  <si>
    <t>PD_40</t>
  </si>
  <si>
    <t>Check the "Save Image" title and the "Save" icon</t>
  </si>
  <si>
    <t>Navigate to the product detail page
Click the "Share" icon
Check that the title "Save Image" is displayed correctly</t>
  </si>
  <si>
    <t xml:space="preserve">- The position, color of title "Save Image" and "Save" icon is displayed correctly </t>
  </si>
  <si>
    <t>PD_41</t>
  </si>
  <si>
    <t>Check the location of the apps displayed correctly in the share dialog with friends and family</t>
  </si>
  <si>
    <t>Navigate to the product detail page
Click on the share icon
Check the correct placement of the apps displayed in the "Share with friends and family" dialog</t>
  </si>
  <si>
    <t>- the location of the apps displayed correctly in the share dialog with friends and family</t>
  </si>
  <si>
    <t>PD_42</t>
  </si>
  <si>
    <t>Check the dialog box closes when clicking the "Close" icon</t>
  </si>
  <si>
    <t>Navigate to product detail page
Click on share icon
Check the dialog box closes when clicking the "Close" icon</t>
  </si>
  <si>
    <t>- the dialog box closes when clicking the "Close" icon</t>
  </si>
  <si>
    <t>PD_43</t>
  </si>
  <si>
    <t>THÔNG TIN SẢN PHẨM</t>
  </si>
  <si>
    <t>Check product is successfully saved to favorite product list</t>
  </si>
  <si>
    <t>Navigate to the product detail page
Click on the "Favorites" icon on the right of the image
Check the color of the favorite icon changes to orange
Return to the home page
Click on the "Personal" button
The system moves to the "Personal Information" page
Click on the "Favorites" section
The system navigates to the "Favorites" page
Check and confirm that the product exists in the favorites list and is displayed with the correct information</t>
  </si>
  <si>
    <t>- The product is successfully saved to favorite product list</t>
  </si>
  <si>
    <t>PD_44</t>
  </si>
  <si>
    <t>Check that the displayed price after applying the discount is lower than the original price by the correct discount percentage.</t>
  </si>
  <si>
    <t>Navigate to the product detail page
Check and confirm that the displayed price of the product is correct after applying the discount lower than the original price by the correct discount percentage by taking the original price minus the discount percentage of the original price to equal the displayed price.</t>
  </si>
  <si>
    <t>- Display the correct display price of the product after applying a discount lower than the original price by the correct discount percentage by taking the original price minus the discount percentage of the original price equal to the display price.</t>
  </si>
  <si>
    <t>PD_45</t>
  </si>
  <si>
    <t>Check the correct display quantity of the product image is displayed in the bottom right corner of the product image (eg 1/3)</t>
  </si>
  <si>
    <t>Navigate to the product detail page
Scroll horizontally through the list of images currently displayed and count the number of images displayed
Check and confirm that the correct number of product images are displayed in the bottom right corner of the product</t>
  </si>
  <si>
    <t xml:space="preserve"> the quantity of the product image is displayed correctly in the bottom right corner of the product image (eg 1/3)</t>
  </si>
  <si>
    <t>PD_46</t>
  </si>
  <si>
    <t>Check message dialog displays when clicking on message icon</t>
  </si>
  <si>
    <t>Navigate to product detail page
Click on message icon
Check and confirm system transfer to Zalo OA</t>
  </si>
  <si>
    <t>- The message dialog displays when clicking on message icon</t>
  </si>
  <si>
    <t>PD_47</t>
  </si>
  <si>
    <t>Check the display of the share page when clicking on the share icon</t>
  </si>
  <si>
    <t>Navigate to product detail page
Click on share icon
Check and confirm that the share dialog box is displayed when the share icon is clicked</t>
  </si>
  <si>
    <t>- The share dialog displays when clicking on share icon</t>
  </si>
  <si>
    <t>PD_48</t>
  </si>
  <si>
    <t>Check to display correct product description (Position, color, margin, size)</t>
  </si>
  <si>
    <t>Navigate to the product detail page
Scroll down the page
Check and confirm that the product description is displayed correctly in the position, color, alignment, and size</t>
  </si>
  <si>
    <t>- The product description is displayed correctly in the position, color, alignment, and size</t>
  </si>
  <si>
    <t>PD_49</t>
  </si>
  <si>
    <t>DANH SÁCH VOUCHER</t>
  </si>
  <si>
    <t>Check the display of the voucher page when the user clicks on the text link "See all"</t>
  </si>
  <si>
    <t>Navigate to product detail page
Scroll down the page
Check and confirm the voucher page displays when user clicks on "View all" text link</t>
  </si>
  <si>
    <t>- the voucher page when the user clicks on the text link "See all"</t>
  </si>
  <si>
    <t>PD_50</t>
  </si>
  <si>
    <t>Check when user clicks on a voucher but user is not eligible to apply that voucher</t>
  </si>
  <si>
    <t>Navigate to product detail page
Select a voucher
Check and confirm that the user will not be able to perform the action when clicking on a voucher when the conditions for applying the voucher are not met</t>
  </si>
  <si>
    <t>- Users will not be able to perform an action when clicking on a voucher when the conditions for applying the voucher are not met.</t>
  </si>
  <si>
    <t>PD_51</t>
  </si>
  <si>
    <t>Check to display correct voucher details when clicking on a voucher in the voucher list</t>
  </si>
  <si>
    <t>Navigate to product details page
Select a voucher
Check and confirm correct voucher detail is displayed when clicking on a voucher in the list</t>
  </si>
  <si>
    <t>- The voucher detail is displayed correctly when clicking on a voucher in the list</t>
  </si>
  <si>
    <t>PD_52</t>
  </si>
  <si>
    <t>Kiểm tra hiển thị thông báo "Áp dụng thành công" và hiển thị tích xanh trên voucher được chọn khi người dùng áp dụng 1 voucher thành công</t>
  </si>
  <si>
    <t>Navigate to product detail page
Select 1 voucher
Check and confirm to display "Applied Successfully" message and display green tick on selected voucher when user successfully applies 1 voucher</t>
  </si>
  <si>
    <t>- display the message "Applied successfully" and display a green check on the selected voucher when the user successfully applies a voucher</t>
  </si>
  <si>
    <t>PD_53</t>
  </si>
  <si>
    <t>Check when users apply multiple vouchers to the same order</t>
  </si>
  <si>
    <t>Navigate to product detail page
Select multiple vouchers
Check and confirm that user cannot perform the action of selecting another voucher after selecting a voucher, user can only select 1 of the vouchers that the order is eligible to apply</t>
  </si>
  <si>
    <t>- Users cannot perform the action of selecting a next voucher once they have selected a voucher. Users can only select 1 of the vouchers that the order is eligible to apply.</t>
  </si>
  <si>
    <t>PD_54</t>
  </si>
  <si>
    <t>Check that the vouchers in the list are not duplicated.</t>
  </si>
  <si>
    <t>Navigate to product detail page
Check and confirm that the displayed voucher list is not duplicated</t>
  </si>
  <si>
    <t>- the vouchers in the list are not duplicated.</t>
  </si>
  <si>
    <t>PD_55</t>
  </si>
  <si>
    <t>Check the display of related product page when clicking on the "See all" text link</t>
  </si>
  <si>
    <t>Navigate to the product detail page
Scroll down the page
Check and confirm that the related product page is displayed when clicking on the "See all" text link</t>
  </si>
  <si>
    <t>- the related product page is displayed correctly when clicking on the "See all" text link</t>
  </si>
  <si>
    <t>PD_56</t>
  </si>
  <si>
    <t>Check that the products in the related products list are not duplicated.</t>
  </si>
  <si>
    <t>Navigate to the product detail page
Scroll down the page
Check and confirm that the product in the related products list is not duplicated</t>
  </si>
  <si>
    <t>- the product in the related products list are not duplicated.</t>
  </si>
  <si>
    <t>PD_57</t>
  </si>
  <si>
    <t>Check that when you click on the product favorite icon, the icon turns orange and is successfully saved to the favorite product list.</t>
  </si>
  <si>
    <t>Navigate to product detail page
Click on favorite icon in a product
Check the color of favorite icon turns orange
Return to home page
Click on "Personal" button
System navigates to "Personal information" page
Click on "Favorites"
System navigates to "Favorites" page
Check and confirm that the product exists in the favorite list and is displayed with correct information</t>
  </si>
  <si>
    <t>when the user clicks on the product favorite icon, the icon turns orange and is successfully saved to the favorite product list.</t>
  </si>
  <si>
    <t>PD_58</t>
  </si>
  <si>
    <t>Check that when clicking on the cart icon, the product is successfully added to the cart and a successful add message is displayed.</t>
  </si>
  <si>
    <t>Navigate to the product detail page
Click on the cart icon in the area displaying 1 product
Check and confirm the "Add to Cart" dialog box is displayed
Click on the "Add to Cart" button
Check the display of the message that the product has been successfully added to the cart
Click on the button containing the cart icon under the menu bar
Check and confirm that the product exists in the cart list and is displayed with the correct information</t>
  </si>
  <si>
    <t>-  the product exists in the cart list and is displayed with the correct information</t>
  </si>
  <si>
    <t>PD_59</t>
  </si>
  <si>
    <t>BUTTON THÊM GIỎ HÀNG</t>
  </si>
  <si>
    <t>Check when clicking on the cart button "Add to cart" then go to the cart page</t>
  </si>
  <si>
    <t>Navigate to the product detail page
Scroll down the page
Click on the "Add to Cart" cart button
Check and confirm the system redirects to the "Cart" page</t>
  </si>
  <si>
    <t>- the system redirects to the "Cart" page</t>
  </si>
  <si>
    <t>PD_60</t>
  </si>
  <si>
    <t>Check that when clicking on the "Add to cart" cart button, the data is displayed correctly on the Cart page.</t>
  </si>
  <si>
    <t>Navigate to the product detail page
Scroll down the page
Click on the "Add to Cart" shopping cart button
Check and confirm the data information is displayed correctly on the Shopping Cart page</t>
  </si>
  <si>
    <t>- the data information is displayed correctly on the Shopping Cart page</t>
  </si>
  <si>
    <t>PD_61</t>
  </si>
  <si>
    <t>BUTTON MUA NGAY</t>
  </si>
  <si>
    <t>Check that when clicking the "Buy Now" button, a notification dialog containing product data is displayed.</t>
  </si>
  <si>
    <t>Navigate to the product detail page
Scroll down the page
Click on the "Buy Now" cart button
Check and confirm that the system displays a notification dialog containing the product data</t>
  </si>
  <si>
    <t>- the system displays a notification dialog containing the product data</t>
  </si>
  <si>
    <t>PD_62</t>
  </si>
  <si>
    <t>HỘP THOẠI MUA NGAY</t>
  </si>
  <si>
    <t>Check that the product image is displayed correctly on the dialog box when clicking the "Buy Now" button</t>
  </si>
  <si>
    <t>Navigate to the product detail page
Scroll down the page
Click on the "Buy Now" shopping cart button
Check and confirm that the product image displayed corresponds to the image when clicking the "Buy Now" button</t>
  </si>
  <si>
    <t>- the product image displayed corresponds to the image when clicking the "Buy Now" button</t>
  </si>
  <si>
    <t>PD_63</t>
  </si>
  <si>
    <t>Check to display correct product brand on dialog</t>
  </si>
  <si>
    <t>Navigate to the product detail page
Scroll down the page
Click on the "Buy Now" cart button
Check and confirm that the product brand is displayed correctly and correspondingly when clicking on the "Buy Now" button</t>
  </si>
  <si>
    <t>-  the product brand is displayed correctly and correspondingly when clicking on the "Buy Now" button</t>
  </si>
  <si>
    <t>PD_64</t>
  </si>
  <si>
    <t>Check to display correct product price on dialog box</t>
  </si>
  <si>
    <t>Navigate to the product detail page
Scroll down the page
Click on the "Buy Now" cart button
Check and confirm that the product price is displayed correctly and corresponds to the "Buy Now" button</t>
  </si>
  <si>
    <t>- the product price is displayed correctly and corresponds to the "Buy Now" button</t>
  </si>
  <si>
    <t>PD_65</t>
  </si>
  <si>
    <t>Check the display of the original product price on the dialog box</t>
  </si>
  <si>
    <t>Navigate to the product detail page
Scroll down the page
Click on the "Buy Now" cart button
Check and confirm that the original price of the product is displayed correctly and correspondingly when clicking on the "Buy Now" button</t>
  </si>
  <si>
    <t>- the original price of the product is displayed correctly and correspondingly when clicking on the "Buy Now" button</t>
  </si>
  <si>
    <t>PD_66</t>
  </si>
  <si>
    <t>Check that the product name is displayed correctly on the dialog box.</t>
  </si>
  <si>
    <t>Navigate to the product detail page
Scroll down the page
Click on the "Buy Now" cart button
Check and confirm that the product name is displayed correctly and corresponds when clicking the "Buy Now" button</t>
  </si>
  <si>
    <t>- product name is displayed correctly and accordingly when clicking on the "Buy Now" button</t>
  </si>
  <si>
    <t>PD_67</t>
  </si>
  <si>
    <t>Check to display the correct default quantity of 1 on the dialog box</t>
  </si>
  <si>
    <t>Navigate to the product detail page
Scroll down the page
Click on the "Buy Now" cart button
Check and confirm that the default product quantity is displayed correctly on the dialog box when clicking on the "Buy Now" button</t>
  </si>
  <si>
    <t>- The default product quantity is displayed correctly on the dialog box when clicking on the "Buy Now" button</t>
  </si>
  <si>
    <t>PD_68</t>
  </si>
  <si>
    <t>Check to display correct discount amount when applying voucher</t>
  </si>
  <si>
    <t>Navigate to the product detail page
Scroll down to the bottom of the page
Click on the "Buy Now" cart button
Check and confirm the correct discount amount is displayed when applying the voucher</t>
  </si>
  <si>
    <t>- hiển thị số tiền giảm giá đúng khi áp dụng voucher</t>
  </si>
  <si>
    <t>PD_69</t>
  </si>
  <si>
    <t>Check the total product amount after applying the voucher is displayed correctly on the dialog box when clicking the purchase button</t>
  </si>
  <si>
    <t>Navigate to the product detail page
Scroll down to the bottom of the page
Click on the "Buy Now" cart button
Check and confirm that the total product amount after applying the voucher is displayed correctly on the dialog box when clicking on the buy button</t>
  </si>
  <si>
    <t>- Total product price after applying voucher is displayed correctly on the dialog box when clicking on the purchase button</t>
  </si>
  <si>
    <t>PD_70</t>
  </si>
  <si>
    <t>Check the quantity of products reduced by pressing the (-) button</t>
  </si>
  <si>
    <t>Navigate to the product detail page
Scroll down the page
Click on the "Buy Now" cart button
Click on the (-) button
Check and confirm the quantity of the product reduced</t>
  </si>
  <si>
    <t xml:space="preserve">- the quantity of the product reduced when clicking on the (-) button </t>
  </si>
  <si>
    <t>PD_71</t>
  </si>
  <si>
    <t>Navigate to the product detail page
Scroll down the page
Click on the "Buy Now" cart button
Click on the (+) button
Check and confirm the quantity of the product increases</t>
  </si>
  <si>
    <t xml:space="preserve">- the quantity of the product increased when clicking on the (+) button </t>
  </si>
  <si>
    <t>PD_72</t>
  </si>
  <si>
    <t>BUTTON TIẾN HÀNH XÁC NHẬN THANH TOÁN</t>
  </si>
  <si>
    <t>Check the system redirects to "My Cart" page when clicking the "Proceed to Checkout" button</t>
  </si>
  <si>
    <t>Navigate to the product detail page
Scroll down the page
Click on the "Buy Now" cart button
Click on the "Proceed to Checkout" button
Check and confirm the system redirects to the "Cart" page</t>
  </si>
  <si>
    <t>- the system redirects to "My Cart" page when clicking the "Proceed to Checkout" button</t>
  </si>
  <si>
    <t>PD_73</t>
  </si>
  <si>
    <t>Check to display correct product information when clicking the button to proceed to payment</t>
  </si>
  <si>
    <t>Navigate to the product detail page
Scroll down the page
Click on the "Buy Now" cart button
Click on the "Proceed to Checkout" button
The system will redirect to the "Cart" page
Check and confirm that the product information data is displayed correctly on the "Cart" page</t>
  </si>
  <si>
    <t>- the product information data is displayed correctly on the "Cart" page</t>
  </si>
  <si>
    <t>PD_74</t>
  </si>
  <si>
    <t>HẾT HÀNG</t>
  </si>
  <si>
    <t>Check the system displays "Out of stock" when the product available is less than 1</t>
  </si>
  <si>
    <t>Navigate to product detail page
Check if "Out of stock" is displayed when the product is out of stock</t>
  </si>
  <si>
    <t>- the system displays "Out of stock" when the product available is less than 1</t>
  </si>
  <si>
    <t>PD_75</t>
  </si>
  <si>
    <t>Check the system to display the "Contact" button when out of stock</t>
  </si>
  <si>
    <t>Navigate to product detail page
Check the system to display the "Contact" button when out of stock</t>
  </si>
  <si>
    <t>- the system to display the "Contact" button when out of stock</t>
  </si>
  <si>
    <t>PD_76</t>
  </si>
  <si>
    <t>Check the system redirects to Zalo OA link when clicking on the contact button</t>
  </si>
  <si>
    <t>Navigate to the product detail page
Click the "Contact" button
Check the system to go to the Zalo OA link</t>
  </si>
  <si>
    <t>- the system redirects to Zalo OA link when clicking on the contact button</t>
  </si>
  <si>
    <t>XỬ LÍ LỖI NGOẠI LỆ</t>
  </si>
  <si>
    <t>Kiẻm tra trả về thông báo "Lỗi! Thử lại sau" khi người dùng không kết nối internet hay không truy cập được vào mạng</t>
  </si>
  <si>
    <t>Kiểm tra trả về thông báo khi có lỗi server xảy ra</t>
  </si>
  <si>
    <t>PS01</t>
  </si>
  <si>
    <t>Check the "Payment" header (Size, position, font color and scrollability)</t>
  </si>
  <si>
    <t>All content information successfully uploaded to the Payment page
User has completed selecting payment products</t>
  </si>
  <si>
    <t>Navigate to Payment page
Checkout heading's size, position, font color, and ability to stay in place when scrolling</t>
  </si>
  <si>
    <t>- display the correct size, position, font color of the "Payment" heading and the ability to stay in place when scrolling the page</t>
  </si>
  <si>
    <t>PS02</t>
  </si>
  <si>
    <t>Check the position of the shipping address display</t>
  </si>
  <si>
    <t>Navigate to Payment page
Check the correct size, position, and background color of the shipping address text</t>
  </si>
  <si>
    <t xml:space="preserve">- display correct size, position, background color of the shipping address </t>
  </si>
  <si>
    <t>PS03</t>
  </si>
  <si>
    <t>Check the "Shipping Address" text (Size, position, font color)</t>
  </si>
  <si>
    <t>Navigate to Payment page
Check that the "Shipping Address" title is displayed correctly in size, position, and font color</t>
  </si>
  <si>
    <t>- display correct size, position, and font color of the title "Shipping Address"</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</si>
  <si>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</si>
  <si>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PS04</t>
  </si>
  <si>
    <t>Check map icon (Size, position, background color)</t>
  </si>
  <si>
    <t>Navigate to Payment page
Check map icon display correct size, position, background color</t>
  </si>
  <si>
    <t>- display correct size, position, background color of map icon</t>
  </si>
  <si>
    <t>PS05</t>
  </si>
  <si>
    <t>Check the customer name (Size, position, font color)</t>
  </si>
  <si>
    <t>Navigate to Payment page
Check that the recipient name is displayed in the correct size, position, and color</t>
  </si>
  <si>
    <t>- display correct size, position, and font color of customer's name</t>
  </si>
  <si>
    <t>PS06</t>
  </si>
  <si>
    <t>Check phone number (Size, position, font color)</t>
  </si>
  <si>
    <t>Navigate to Payment page
Check the phone number font size, position, and color are correct</t>
  </si>
  <si>
    <t>- display correct size, position, and color of phone number</t>
  </si>
  <si>
    <t>PS07</t>
  </si>
  <si>
    <t>Check address (Size, position, font color)</t>
  </si>
  <si>
    <t>Navigate to Payment page
Check correct display of address font size, position, color</t>
  </si>
  <si>
    <t>- display correct size, position, and font color of address</t>
  </si>
  <si>
    <t>PS08</t>
  </si>
  <si>
    <t>Check the icon area (&gt;) to select the address (Size, position, font color)</t>
  </si>
  <si>
    <t>Navigate to Payment page
Check the correct size, position, and font color of the icon area (&gt;) to go to the address selection page</t>
  </si>
  <si>
    <t>- display correct size, position, font color of icon area (&gt;) to switch to address selection page</t>
  </si>
  <si>
    <t>PS09</t>
  </si>
  <si>
    <t>Check notes (Size, position, font color)</t>
  </si>
  <si>
    <t xml:space="preserve">Navigate to Paymentpage
Check the correct size, position, and color of the note text </t>
  </si>
  <si>
    <t>- display correct size, position, and color of notes</t>
  </si>
  <si>
    <t>PS10</t>
  </si>
  <si>
    <t>Check the product list container</t>
  </si>
  <si>
    <t>Navigate to Payment page
Check size, position of product list container</t>
  </si>
  <si>
    <t>- display correct size and position of product list container</t>
  </si>
  <si>
    <t>PS11</t>
  </si>
  <si>
    <t>Test list scrollability when list is long</t>
  </si>
  <si>
    <t>Navigate to Payment page
Test scrollability when list is long</t>
  </si>
  <si>
    <t>- good ability to scroll up and down the list when the list is long</t>
  </si>
  <si>
    <t>PS12</t>
  </si>
  <si>
    <t>Check the spacing between product items</t>
  </si>
  <si>
    <t>Navigate to Payment page
Check correct spacing between product items</t>
  </si>
  <si>
    <t>- The distance between product items is even.</t>
  </si>
  <si>
    <t>PS13</t>
  </si>
  <si>
    <t>Check the title "Total products: x" (Size, position, font color)</t>
  </si>
  <si>
    <t xml:space="preserve">Navigate to Payment page
Check the correct size, position, and font color of the title "Total products: x" </t>
  </si>
  <si>
    <t>- display correct size, position, and font color of the title "Total products: x"</t>
  </si>
  <si>
    <t>PS14</t>
  </si>
  <si>
    <t>Check product images in 1 item (Size, position, sharpness)</t>
  </si>
  <si>
    <t>Navigate to Payment page
Check size, position, sharpness of product images in 1 item</t>
  </si>
  <si>
    <t>- display correct size, position, sharpness of product images in 1 item</t>
  </si>
  <si>
    <t>PS15</t>
  </si>
  <si>
    <t>Check product name in 1 item(Size, position, font color)</t>
  </si>
  <si>
    <t>Navigate to Payment page
Check the size, position, and font color of the product name in an item</t>
  </si>
  <si>
    <t>- Display correct size, position, and font color of product name in 1 item</t>
  </si>
  <si>
    <t>PS16</t>
  </si>
  <si>
    <t>Check the product discount price (Size, position, font color)</t>
  </si>
  <si>
    <t>Navigate to Payment page
Check the size, position, and font color of the promotional price in a product item</t>
  </si>
  <si>
    <t>- Display correct size, position, and font color of product price in 1 item</t>
  </si>
  <si>
    <t>PS17</t>
  </si>
  <si>
    <t>Check product original price</t>
  </si>
  <si>
    <t>Navigate to Payment page
Check the size, position, and color of the product original price in an item</t>
  </si>
  <si>
    <t>- Display correct size, position, and font color of original product price in 1 item</t>
  </si>
  <si>
    <t>PS18</t>
  </si>
  <si>
    <t>Check quantity (Size, position, font color)</t>
  </si>
  <si>
    <t>Navigate to Payment page
Check the size, position, font color of the number of products in 1 item product</t>
  </si>
  <si>
    <t>- Display correct size, position, and font color of the number of products in 1 item</t>
  </si>
  <si>
    <t>PS19</t>
  </si>
  <si>
    <t>Check message for VTech (Size, position, font color)</t>
  </si>
  <si>
    <t>Navigate to Payment page 
Check the size, position, and color of the product message in an item"</t>
  </si>
  <si>
    <t>- Display correct size, position, and font color of product message in 1 item</t>
  </si>
  <si>
    <t>PS20</t>
  </si>
  <si>
    <t>Check message input box(Size, position)</t>
  </si>
  <si>
    <t>Navigate to Payment page
Check size, position of message input box</t>
  </si>
  <si>
    <t>PS21</t>
  </si>
  <si>
    <t>Check voucher display area (position, size)</t>
  </si>
  <si>
    <t>Navigate to the Payment page
Check the size and position of the voucher display area</t>
  </si>
  <si>
    <t>- Display correct size and position of voucher display area</t>
  </si>
  <si>
    <t>PS22</t>
  </si>
  <si>
    <t>Check voucher title (Size, position, font color)</t>
  </si>
  <si>
    <t>Navigate to the Payment page
Check the size and position of the voucher title</t>
  </si>
  <si>
    <t>- Display correct size and position of voucher title</t>
  </si>
  <si>
    <t>PS23</t>
  </si>
  <si>
    <t>Check the area that displays the amount according to the discount code</t>
  </si>
  <si>
    <t>Navigate to the Payment page
Check the size and position of the text displaying the amount according to the voucher code</t>
  </si>
  <si>
    <t>- Display correct size and position of text displaying amount according to discount code</t>
  </si>
  <si>
    <t>PS24</t>
  </si>
  <si>
    <t>Check the amount display area according to shipping code</t>
  </si>
  <si>
    <t>Navigate to Payment page
Check size, position of text displaying amount by shipping code</t>
  </si>
  <si>
    <t>- Display correct size and position of text displaying amount according to shipping code</t>
  </si>
  <si>
    <t>PS25</t>
  </si>
  <si>
    <t>Check "See all&gt;" linktext (Size, position, font color)</t>
  </si>
  <si>
    <t>Navigate to checkout page
Check size, position of text link "View all"</t>
  </si>
  <si>
    <t>- Display correct size, position, and color of the text link "See all"</t>
  </si>
  <si>
    <t>PS26</t>
  </si>
  <si>
    <t>Check "Payment detail" text</t>
  </si>
  <si>
    <t>Navigate to the payment page
Check the size, position of the "Payment Details" text</t>
  </si>
  <si>
    <t>- Display correct size, position, and color of the text link "Payment details"</t>
  </si>
  <si>
    <t>PS27</t>
  </si>
  <si>
    <t>Check "Total" title</t>
  </si>
  <si>
    <t>Navigate to checkout page
Check the size and position of the "Total" text</t>
  </si>
  <si>
    <t>- Display correct size, position, and color of the text   "Total price"</t>
  </si>
  <si>
    <t>PS28</t>
  </si>
  <si>
    <t>Check show 'Total shipping cost"</t>
  </si>
  <si>
    <t>Navigate to Payment page
Check show "Total shipping cost"</t>
  </si>
  <si>
    <t>- Display correct size and position of the "Total shipping cost"</t>
  </si>
  <si>
    <t>PS31</t>
  </si>
  <si>
    <t>Check the "Total Discount" title</t>
  </si>
  <si>
    <t>Navigate to Payment page
Check size, position of "Total Discount" title</t>
  </si>
  <si>
    <t>- Display correct size and position of the "Total Discount" title</t>
  </si>
  <si>
    <t>PS32</t>
  </si>
  <si>
    <t>Check the area that displays the total discount amount</t>
  </si>
  <si>
    <t>Navigate to Payment page
Check the size, position, and font color of the total discount amount display area</t>
  </si>
  <si>
    <t>- Display correct size, position, and font color of the product discount display area</t>
  </si>
  <si>
    <t>PS33</t>
  </si>
  <si>
    <t>Check the "Total Payment" text</t>
  </si>
  <si>
    <t>Navigate to the payment page
Check the size, position, and font color of the "Total Payment" title</t>
  </si>
  <si>
    <t>- Display correct size, position, and font color of the title "Total Payment"</t>
  </si>
  <si>
    <t>PS34</t>
  </si>
  <si>
    <t>Check the "Total Payment" amount display area</t>
  </si>
  <si>
    <t>Navigate to the payment page
Check the size, position, and color of the text displaying the total payment amount</t>
  </si>
  <si>
    <t xml:space="preserve">- the size, position, and color of the text displaying the total payment amount displays correctly </t>
  </si>
  <si>
    <t>PS41</t>
  </si>
  <si>
    <t>Check Foodter display area (Position, size and ability to keep Foodter when scrolling up and down)</t>
  </si>
  <si>
    <t>Navigate to Payment page
Check out the size and position and the ability to keep Foodter when scrolling up or down the page</t>
  </si>
  <si>
    <t>- Displays the correct size and keeps Foodter intact when scrolling up or down the page</t>
  </si>
  <si>
    <t>PS42</t>
  </si>
  <si>
    <t>Check the "Total Payment" header in the footer</t>
  </si>
  <si>
    <t>Navigate to Payment page
Check the size, position, font color of the "Total Payment" title in foodter</t>
  </si>
  <si>
    <t>- Display correct size, position, and font color of the title "Total payment" in foodter</t>
  </si>
  <si>
    <t>PS43</t>
  </si>
  <si>
    <t>Check the amount text in the footer</t>
  </si>
  <si>
    <t>Navigate to the payment page
Check the size, position, and color of the amount text in Foodter</t>
  </si>
  <si>
    <t>- Display correct size, position, and font color of the amount display area in Foodter</t>
  </si>
  <si>
    <t>PS44</t>
  </si>
  <si>
    <t>Check the "Place  Order" button</t>
  </si>
  <si>
    <t>Navigate to checkout
Check the size, position, background color, border color of the "Place Order" button</t>
  </si>
  <si>
    <t>- Display correct size, position, background color, border color of the "Place Order" button</t>
  </si>
  <si>
    <t>PS45</t>
  </si>
  <si>
    <t>ĐỊA CHỈ GIAO HÀNG</t>
  </si>
  <si>
    <t>Check that the original shipping address is the closest applicable address when user don't has the default address</t>
  </si>
  <si>
    <t>Navigate to order history page
Click on the delivered item
Select the most recent order
View the applicable shipping address in the order
Click "Home" under the menu
Select a product item
The system will go to the shopping cart page and automatically tick the selected product
Click the "Buy Now" button
The system will go to the "Checkout" page
Check and confirm that the applied address is the most recently used address</t>
  </si>
  <si>
    <t>- the original shipping address is the closest applicable address when user don't has the default address</t>
  </si>
  <si>
    <t>Check if the system applies a default address to an order when the user has provided a default address.</t>
  </si>
  <si>
    <t>Navigate to "Home"
Select a product
Click "Buy Now"
Click "Proceed to Payment"
On the shopping cart page, tick the product that just selected
Click the ""Payment"" button
Observe and check if the address applied by the system is the default address or not</t>
  </si>
  <si>
    <t>- the system applies a default address to an order when the user has provided a default address.</t>
  </si>
  <si>
    <t>PS46</t>
  </si>
  <si>
    <t>Check the system returns to the "My cart" page when clicking the "Back" button</t>
  </si>
  <si>
    <t>Navigate to the Payment page
Click the "Back" button
Check the system to return to the My cart page</t>
  </si>
  <si>
    <t>- the system returns to the "My cart" page when clicking the "Back" button</t>
  </si>
  <si>
    <t>PS47</t>
  </si>
  <si>
    <t>Check the default address order to be sorted first in the address list</t>
  </si>
  <si>
    <t>Navigate to the Payment page
Click on the address display area to go to the "Select shipping address" page
Check the default address order is sorted first in the address list</t>
  </si>
  <si>
    <t>- The default address is listed first in the shipping address list.</t>
  </si>
  <si>
    <t>PS48</t>
  </si>
  <si>
    <t>Check if the address information currently applied to the order exists in the shipping address list</t>
  </si>
  <si>
    <t>Navigate to the checkout page
Click on the address display area to go to the "Select shipping address" page
Observe and check that the address currently applied to the order exists in the address list</t>
  </si>
  <si>
    <t>- the address information currently applied to the order exists in the shipping address list</t>
  </si>
  <si>
    <t>PS49</t>
  </si>
  <si>
    <t>Check the system displays "Select shipping address" when clicking on the shipping address area</t>
  </si>
  <si>
    <t>Navigate to Payment page
Click on the address field to go to the "Select shipping address" page
Check if the system displays the "Select shipping address" page when clicking on the shipping address field</t>
  </si>
  <si>
    <t>- the system displays "Select shipping address" when clicking on the shipping address area</t>
  </si>
  <si>
    <t>PS50</t>
  </si>
  <si>
    <t>Check when user selects an address other than current address</t>
  </si>
  <si>
    <t>Navigate to the paymrnt page
Click on the address area to go to the "Select shipping address" page
Choose an address other than the current address
Click on the "Back" button
Check that the system displays the selected address on the shipping address field</t>
  </si>
  <si>
    <t>- that the system displays the selected address on the shipping address field</t>
  </si>
  <si>
    <t>PS51</t>
  </si>
  <si>
    <t>Check the system displays the "Edit address details" page when selecting an address item</t>
  </si>
  <si>
    <t>Navigate to the checkout page
Click on the address display area to go to the "Select shipping address" page
Select an address
Check the System displays the "Edit address details" page</t>
  </si>
  <si>
    <t>- the system displays the "Edit address details" page when selecting an address item</t>
  </si>
  <si>
    <t>PS52</t>
  </si>
  <si>
    <t>Check that the system displays the correct address information when the user clicks (&gt;) to go to the address detail editing page.</t>
  </si>
  <si>
    <t>Navigate to the Payment page
Click on the address display area to go to the "Select shipping address" page
Select an address
Check that the system displays the correct address information</t>
  </si>
  <si>
    <t>- the system displays the correct address information when the user clicks (&gt;) to go to the address detail editing page.</t>
  </si>
  <si>
    <t>PS53</t>
  </si>
  <si>
    <t>Check when user deletes currently applied address</t>
  </si>
  <si>
    <t xml:space="preserve">Navigate to the Payment page
View the currently applied address
Go to the "Select a shipping address" page
Select the currently applied address
Click the "Delete" button to delete the shipping address
Click the "Back" button to return to the "Select a shipping address" page
</t>
  </si>
  <si>
    <t>PS54</t>
  </si>
  <si>
    <t>Check the number of products corresponds to the number of products in the payment list</t>
  </si>
  <si>
    <t>Navigate to payment page
Count the number of products in the checkout list
Check to see if the correct number of products is displayed relative to the number of products in the payment list</t>
  </si>
  <si>
    <t>- display the correct number of products corresponding to the number of products in the payment list</t>
  </si>
  <si>
    <t>PS55</t>
  </si>
  <si>
    <t>Check to display correct information of each product</t>
  </si>
  <si>
    <t>Navigate to Payment page
Check that each product's information is displayed correctly in the payment list</t>
  </si>
  <si>
    <t>- Display correct information of each product in the payment list</t>
  </si>
  <si>
    <t>PS56</t>
  </si>
  <si>
    <t>VOUCHER</t>
  </si>
  <si>
    <t>Check to display correct amount applied voucher if user has selected voucher before</t>
  </si>
  <si>
    <t>Navigate to the shopping cart page
Click on the voucher selection area
Select the voucher to apply to the order
Click on the "Use" button
Click on the "Order" button
Click on the voucher display area
Check if it matches the previously selected voucher
Click on the close button to close the page
Check if the correct amount is displayed for the previously selected voucher</t>
  </si>
  <si>
    <t>- Display correct amount of voucher applied if user has selected voucher before</t>
  </si>
  <si>
    <t>PS57</t>
  </si>
  <si>
    <t>Check that the shipping discount amount and coupon code discount amount display areas are correct.</t>
  </si>
  <si>
    <t>Navigate to the "Payment" page
Click on the voucher display area
Select the appropriate shipping code voucher and discount voucher
Click the "Use" button
Check the correct shipping discount and discount text are displayed</t>
  </si>
  <si>
    <t>- display correct discount amount and shipping amount</t>
  </si>
  <si>
    <t>PS58</t>
  </si>
  <si>
    <t>Check the total price of the goods corresponding to the total price multiplied by the quantity of the products</t>
  </si>
  <si>
    <t>Navigate to the "Payment" page
Check out the total displayed price which is the total product price multiplied by the quantity of each product</t>
  </si>
  <si>
    <t>-  the total price of the goods corresponding to the total price multiplied by the quantity of the products</t>
  </si>
  <si>
    <t>PS59</t>
  </si>
  <si>
    <t>Check and confirm the total discount equals total discount amount by coupon code and total discount amount by shipping code</t>
  </si>
  <si>
    <t>Navigate to the "Payment" page
Check and confirm the total discount equal to the order amount multiplied by the discount percentage of the coupon code</t>
  </si>
  <si>
    <t>- total discount equals total discount amount by coupon code and total discount amount by shipping code</t>
  </si>
  <si>
    <t>PS61</t>
  </si>
  <si>
    <t>Check and confirm the total payment by the total amount of goods plus total shipping fee, then minus total discount</t>
  </si>
  <si>
    <t>Navigate to the "Payment" page
Check and confirm that the total payment by the total amount of goods plus total shipping fee, then minus total discount</t>
  </si>
  <si>
    <t>- the total payment by the total amount of products plus total shipping fee, then minus total discount</t>
  </si>
  <si>
    <t>PS62</t>
  </si>
  <si>
    <t>BUTTON ĐẶT HÀNG</t>
  </si>
  <si>
    <t>Check the system displays the message "Order successful" when clicking the "Order" button</t>
  </si>
  <si>
    <t>"Navigate to the "Checkout" page
Press the "Order" button
Check and confirm that the system displays the message "Order successful" when clicking the "Order" button"</t>
  </si>
  <si>
    <t>- The system displays the message "Order successful" when clicking the "Order" button.</t>
  </si>
  <si>
    <t>PS63</t>
  </si>
  <si>
    <t>Check the system displays loading... when clicking the "Order" button</t>
  </si>
  <si>
    <t>Navigate to the "Checkout" page
Press the "Place Order" button
Check and confirm that the system displays loading... when clicking the "Place Order" button</t>
  </si>
  <si>
    <t>- The system displays loading... when clicking the "Place Order" button</t>
  </si>
  <si>
    <t>PS64</t>
  </si>
  <si>
    <t>The system requires an address if the user has not provided any address when clicking the "Order" button.</t>
  </si>
  <si>
    <t>Navigate to the "Payment" page
Click the "Order" button
Check and confirm that the system displays a message asking the user to provide an address if no address has been provided</t>
  </si>
  <si>
    <t>- The system displays a message asking the user to provide an address if no address has been provided.</t>
  </si>
  <si>
    <t>Function(Chức năng)</t>
  </si>
  <si>
    <t>Description(Mô tả case test cụ thể)</t>
  </si>
  <si>
    <t>Pre-condition(Điều kiện để thực hiện)</t>
  </si>
  <si>
    <t>Bước test( Xuống dòng)</t>
  </si>
  <si>
    <t>Test Data(Dữ liệu test)</t>
  </si>
  <si>
    <t>Expected result(Kết quả mong muốn)</t>
  </si>
  <si>
    <t>Actual result(Kết quả thực tế)</t>
  </si>
  <si>
    <t>Status(Trạng thái)</t>
  </si>
  <si>
    <t>Notes(ghi chú)</t>
  </si>
  <si>
    <t>PV01</t>
  </si>
  <si>
    <t>Header</t>
  </si>
  <si>
    <t xml:space="preserve">Đăng nhập vào
Chọn tab khuyến mãi 
Kiểm tra thanh header " Khuyến mãi "
</t>
  </si>
  <si>
    <t>Thanh header " Khuyến mãi " nằm bên trái  và hiển thị số lượng mã khuyến mãi ( Sẵn có , đã sử dụng, hết hạn )
In đậm thanh header " Khuyến mãi "</t>
  </si>
  <si>
    <t>Thanh header " Khuyến mãi " nằm giữa và  không hiển thị số lượng mã khuyến mãi ( Sẵn có , đã sử dụng, hết hạn )
Không in đậm thanh header " Khuyến mãi "</t>
  </si>
  <si>
    <t>PV02</t>
  </si>
  <si>
    <t>Thanh Tìm kiếm</t>
  </si>
  <si>
    <t xml:space="preserve">Đăng nhập vào
Chọn tab khuyến mãi 
Kiểm tra thanh tìm kiếm và placeholder
</t>
  </si>
  <si>
    <t>Hiển thị đúng giao diện</t>
  </si>
  <si>
    <t>Không hiển thị icon tìm kiếm</t>
  </si>
  <si>
    <t>PV03</t>
  </si>
  <si>
    <t>Thanh chuyển tab</t>
  </si>
  <si>
    <t xml:space="preserve">Đăng nhập vào
Chọn tab khuyến mãi 
Kiểm tra thanh chuyển tab và tên trạng thái
</t>
  </si>
  <si>
    <t>Thanh chuyển tab ngắn
Tên trạng thái không được in đậm</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</si>
  <si>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</si>
  <si>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PV04</t>
  </si>
  <si>
    <t>Hiển thị danh sách list khuyến mãi</t>
  </si>
  <si>
    <t xml:space="preserve">Đăng nhập vào
Chọn tab khuyến mãi 
Kiểm tra hiển thị danh sách list khuyến mãi
</t>
  </si>
  <si>
    <t>Hiển thị danh sách khuyến mãi đúng theo từng trạng thái</t>
  </si>
  <si>
    <t>PV05</t>
  </si>
  <si>
    <t xml:space="preserve"> Thanh tìm kiếm</t>
  </si>
  <si>
    <t>Kiểm tra placeholder</t>
  </si>
  <si>
    <t>Nhấn vào Trường tìm kiếm 
Nhập dữ liệu vào</t>
  </si>
  <si>
    <t>Hiển thị danh sách cần tìm</t>
  </si>
  <si>
    <t>PV06</t>
  </si>
  <si>
    <t xml:space="preserve"> Tìm kiếm voucher với mã hợp lệ</t>
  </si>
  <si>
    <t>Đăng nhập vào
Chọn tab khuyến mãi 
Nhập mã voucher hợp lệ</t>
  </si>
  <si>
    <t>Hiển thị  thông tin voucher chi tiết</t>
  </si>
  <si>
    <t>PV07</t>
  </si>
  <si>
    <t>Tìm kiếm voucher với mã không tồn tại</t>
  </si>
  <si>
    <t>Đăng nhập vào
Chọn tab khuyến mãi 
Nhập mã không tồn tại</t>
  </si>
  <si>
    <t>Hiển thị thông báo "Mã voucher không hợp lệ".</t>
  </si>
  <si>
    <t>PV08</t>
  </si>
  <si>
    <t>Tìm kiếm với mã voucher rỗng</t>
  </si>
  <si>
    <t xml:space="preserve">Đăng nhập vào
Chọn tab khuyến mãi 
Để thanh tìm kiếm rỗng 
</t>
  </si>
  <si>
    <t>Hiển thị thông báo yêu cầu nhập mã voucher.</t>
  </si>
  <si>
    <t>PV09</t>
  </si>
  <si>
    <t>Tìm kiếm với kí tự đặc biệt</t>
  </si>
  <si>
    <t>Đăng nhập vào
Chọn tab khuyến mãi 
Nhập ký tự đặc biệt</t>
  </si>
  <si>
    <t>CẨM NHIÊN</t>
  </si>
  <si>
    <t>PV10</t>
  </si>
  <si>
    <t xml:space="preserve"> Tìm kiếm  voucher đã hết hạn</t>
  </si>
  <si>
    <t>Đăng nhập vào
Chọn tab khuyến mãi 
Nhập mã voucher  đã hết hạn</t>
  </si>
  <si>
    <t>Hiển thị thông báo "Mã voucher đã hết hạn".</t>
  </si>
  <si>
    <t>PV11</t>
  </si>
  <si>
    <t>Hiển thị voucher trong tab " Sẵn có "</t>
  </si>
  <si>
    <t>Điều kiện đã có voucher</t>
  </si>
  <si>
    <t>Đăng nhập vào 
Chọn tab khuyến mãi 
Chọn tab " Sẵn có "</t>
  </si>
  <si>
    <t>Hiển thị danh sách voucher còn hiệu lực</t>
  </si>
  <si>
    <t>PV12</t>
  </si>
  <si>
    <t>Chọn voucher trong tab "Sẵn có"</t>
  </si>
  <si>
    <t>Đăng nhập vào 
Chọn tab khuyễn mãi 
Chọn tab " Sẵn có "
Nhấn vào một voucher</t>
  </si>
  <si>
    <t>Hiển thị chi tiết voucher khi được chọn</t>
  </si>
  <si>
    <t>PV13</t>
  </si>
  <si>
    <t>Tìm kiếm voucher trong tab " Sẵn có "</t>
  </si>
  <si>
    <t>Đăng nhập vào 
Chọn tab khuyến mãi 
Chọn tab " Sẵn có "
Nhập từ khoá vào thanh tìm kiếm</t>
  </si>
  <si>
    <t>Hiển thị danh sách voucher còn hiệu lực phù hợp</t>
  </si>
  <si>
    <t>PV14</t>
  </si>
  <si>
    <t>Kiểm tra thông báo khi không có voucher</t>
  </si>
  <si>
    <t>Điều kiện không có voucher</t>
  </si>
  <si>
    <t>Đăng nhập vào 
Chọn tab khuyến mãi 
Chọn tab " Sẵn có " mà không có voucher nào</t>
  </si>
  <si>
    <t>Hiển thị thông báo "Không có voucher nào."</t>
  </si>
  <si>
    <t>PV15</t>
  </si>
  <si>
    <t>Hiển thị voucher trong tab "Đã sử dụng"</t>
  </si>
  <si>
    <t>Đăng nhập vào 
Chọn tab khuyến mãi 
Chọn tab " Đã sử dụng "</t>
  </si>
  <si>
    <t>Hiển thị danh sách voucher đã được sử dụng. và bịdisable</t>
  </si>
  <si>
    <t>PV16</t>
  </si>
  <si>
    <t>Tìm kiếm voucher trong tab "Đã sử dụng"</t>
  </si>
  <si>
    <t>Đăng nhập vào 
Chọn tab khuyến mãi 
Chọn tab " Đã sử dụng " 
Nhập từ khoá vào thanh tìm kiếm</t>
  </si>
  <si>
    <t>Hiển thị danh sách voucher đã sử dụng phù hợp.</t>
  </si>
  <si>
    <t>PV17</t>
  </si>
  <si>
    <t>Đăng nhập vào 
Chọn tab khuyến mãi 
Chọn tab " Đã sử dụng " mà không có voucher nào</t>
  </si>
  <si>
    <t>PV18</t>
  </si>
  <si>
    <t>Hiển thị voucher trong tab "Hết hạn"</t>
  </si>
  <si>
    <t>Đăng nhập vào 
Chọn tab khuyến mãi 
Chọn tab " Hết hạn "</t>
  </si>
  <si>
    <t>Hiển thị danh sách voucher đã hết hạn và bị disable</t>
  </si>
  <si>
    <t>PV19</t>
  </si>
  <si>
    <t>Tìm kiếm voucher trong tab "Hết hạn"</t>
  </si>
  <si>
    <t>Đăng nhập vào 
Chọn tab khuyến mãi 
Chọn tab " Hết hạn " 
Nhấn từ khoá vào thanh tìm kiếm</t>
  </si>
  <si>
    <t>Hiển thị danh sách voucher hết hạn phù hợp.</t>
  </si>
  <si>
    <t>PV20</t>
  </si>
  <si>
    <t>Đăng nhập vào 
Chọn tab khuyến mãi 
Chọn tab " Hết hạn " mà không có voucher nào</t>
  </si>
  <si>
    <t>PV21</t>
  </si>
  <si>
    <t xml:space="preserve"> Hover khi chọn tab</t>
  </si>
  <si>
    <t>Đăng nhập vào 
Chọn tab khuyến mãi 
Chuyển từ tab " Sẵn có " hoặc " Đã sử dụng " hoặc " Hết hạn"</t>
  </si>
  <si>
    <t xml:space="preserve"> Hiển thị thanh màu cam khi chuyển tab</t>
  </si>
  <si>
    <t>PV22</t>
  </si>
  <si>
    <t>Danh sách voucher khuyến mãi</t>
  </si>
  <si>
    <t>Hiển thị danh sách voucher khuyến mãi</t>
  </si>
  <si>
    <t>Đăng nhập vào 
Chọn tab khuyến mãi 
Kiểm tra các voucher được hiển thị</t>
  </si>
  <si>
    <t>Tất cả các voucher hợp lệ đều hiển thị trong danh sách.</t>
  </si>
  <si>
    <t>PV23</t>
  </si>
  <si>
    <t>Kiểm tra hiển thị trạng thái voucher</t>
  </si>
  <si>
    <t>Đăng nhập vào 
Chọn tab khuyến mãi 
Quan sát trạng thái ( Sẵn có hoặc Đã sử dụng hoặc Hết hạn ) của các voucher</t>
  </si>
  <si>
    <t>Hiển thị trạng thái đúng cho từng voucher.</t>
  </si>
  <si>
    <t>PV24</t>
  </si>
  <si>
    <t>Kiểm tra hiển thị hình ảnh voucher</t>
  </si>
  <si>
    <t>Đăng nhập vào 
Chọn tab khuyến mãi 
Quan sát màu nền của từng voucher hiển thị đúng</t>
  </si>
  <si>
    <t>Tất cả các voucher có hình ảnh đều hiển thị đúng.</t>
  </si>
  <si>
    <t>PV25</t>
  </si>
  <si>
    <t>Kiểm tra số lượng voucher hiển thị</t>
  </si>
  <si>
    <t>Đăng nhập vào 
Chọn tab khuyến mãi 
Kiểm tra tổng số lượng voucher được hiển thị và só sánh với số lượng trong cơ sở dữ liệu</t>
  </si>
  <si>
    <t>Số lượng voucher hiển thị phải đúng với số lượng trong cơ sở dữ liệu.</t>
  </si>
  <si>
    <t>PV26</t>
  </si>
  <si>
    <t>Kiểm tra khả năng cập nhật danh sách</t>
  </si>
  <si>
    <t>Đăng nhập vào 
Chọn tab khuyến mãi 
Thêm, sửa  hoặc xoá một voucher trong hệ thống 
Làm mới trang danh sách</t>
  </si>
  <si>
    <t>Danh sách voucher phải cập nhật ngay lập tức.</t>
  </si>
  <si>
    <t>PV27</t>
  </si>
  <si>
    <t>Đăng nhập vào 
Chọn tab khuyến mãi 
Đảm bảo không có voucher nào trong danh sách</t>
  </si>
  <si>
    <t>PV28</t>
  </si>
  <si>
    <t xml:space="preserve">Kiểm tra sau khi áp dụng 1 voucher và hoàn thành đặt hàng, thì voucher đó sẽ được hiển thị trong danh sách đã sử dụng </t>
  </si>
  <si>
    <t>Các thành phần trên trang được hiển thị đầy đủ
Người dùng có tài khoản và đăng nhập thành công</t>
  </si>
  <si>
    <t xml:space="preserve">Người dùng đăng nhập thành công
Điều hướng đến trang giỏ hàng
Chọn 1 sản phẩm có sẵn trong giỏ hàng
Nhấn (&gt;) bên phải vùng hiển thị số tiền giảm giá của sản phẩm vừa chọn
Chọn 1 voucher mà đơn hàng đủ điều kiện áp dụng
Chọn button"Sử dụng"
Chọn button "Thanh toán"
Chọn button "Đặt hàng"
Điều hướng đến trang khuyến mãi
Chọn vào tab "Đã sử dụng"
Kiểm tra và xác nhận voucher vừa áp dụng cho đơn hàng hiển thị trong danh sách
</t>
  </si>
  <si>
    <t xml:space="preserve">Voucher đã sử dụng được hiển thị trong danh sách đã sử dụng </t>
  </si>
  <si>
    <t>PV29</t>
  </si>
  <si>
    <t>Kiểm tra ngày hết hạn của 1 mục voucher trong danh sách hết hạn nhỏ hơn thời điểm hiện tại</t>
  </si>
  <si>
    <t>Đăng nhập thành công vào hệ thống
Điều hướng đến trang khuyến mãi
Chọn tab "Hết hạn"
Quan sát ngày hết hạn của 1 voucher có trong danh sách
Kiểm tra và xác nhận ngày hết hạn của voucher đó nhỏ hơn so với ngày hiện tại</t>
  </si>
  <si>
    <t>Ngày hết hạn của 1 mục voucher trong danh sách hết hạn nhỏ hơn thời điểm hiện tại</t>
  </si>
  <si>
    <t>PV30</t>
  </si>
  <si>
    <t>Kiểm tra ngày hết hạn của 1 mục voucher trong danh sách có sẵn lớn hơn thời điểm hiện tại</t>
  </si>
  <si>
    <t>Đăng nhập thành công vào hệ thống
Điều hướng đến trang khuyến mãi
Chọn tab "Có sẵn"
Quan sát ngày hết hạn của 1 voucher có trong danh sách
Kiểm tra và xác nhận ngày hết hạn của voucher đó lớn hơn so với ngày hiện tại</t>
  </si>
  <si>
    <t>Ngày hết hạn của 1 mục voucher trong danh sách có sẵn lớn hơn thời điểm hiện tại</t>
  </si>
  <si>
    <t>PI01</t>
  </si>
  <si>
    <t>Người dùng ở màn hình Cá nhân</t>
  </si>
  <si>
    <t>Đăng nhập vào tài khoản 
Chọn mục Cá nhân
Kiểm tra màu sắc, kích thước, cỡ chữ</t>
  </si>
  <si>
    <t>Hiển thị đúng màu sắc, kích thước, cỡ chữ</t>
  </si>
  <si>
    <t>PI02</t>
  </si>
  <si>
    <t>Ảnh đại diện</t>
  </si>
  <si>
    <t>Đăng nhập vào tài khoản 
Chọn mục Cá nhân
Kiểm tra ảnh đại diện lấy theo zalo của tài khoản</t>
  </si>
  <si>
    <t>Lấy đúng ảnh đại diện của tài khoản</t>
  </si>
  <si>
    <t xml:space="preserve">Không hiển thị ảnh đại diện </t>
  </si>
  <si>
    <t>PI03</t>
  </si>
  <si>
    <t>Thông báo OA</t>
  </si>
  <si>
    <t>Đăng nhập vào tài khoản 
Chọn mục Cá nhân
Kiểm tra màu sắc, kích thước, cỡ chữ và icon</t>
  </si>
  <si>
    <t>Hiển thị đúng màu sắc, kích thước, cỡ chữ và icon</t>
  </si>
  <si>
    <t>PI04</t>
  </si>
  <si>
    <t xml:space="preserve"> Offcial Account</t>
  </si>
  <si>
    <t>Đăng nhập vào tài khoản 
Chọn mục Cá nhân
Kiểm tra màu sắc, kích thước, cỡ chữ và nhấn button " Quan tâm " hoặc " Đã quan tâm "</t>
  </si>
  <si>
    <t>Hiển thị đúng màu sắc, kích thước, cỡ chữ và icon
Nhấn button " Quan tâm" chuyển sang màu trắng và nhấn button " Đã quan tâm " sẽ chuyển sang màu cam</t>
  </si>
  <si>
    <t>Không sử dụng được nút " Quan tâm"
Không in đậm button " Quan tâm"</t>
  </si>
  <si>
    <t>PI05</t>
  </si>
  <si>
    <t>Kiểm tra khoảng cách giữa các ô với nhau</t>
  </si>
  <si>
    <t>Đăng nhập vào tài khoản 
Chọn mục Cá nhân
Kiểm tra khoảng cách giữa " Official Account " và " Thông tin quản lý cá nhân " , khoảng cách giữa các trường</t>
  </si>
  <si>
    <t>Trường " Yêu thích "
Trường " Công nợ của tôi "
Trường " Số địa chỉ "</t>
  </si>
  <si>
    <t>Khoảng cách giống với design</t>
  </si>
  <si>
    <t>Khoảng cách hơi gần</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</si>
  <si>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</si>
  <si>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PI06</t>
  </si>
  <si>
    <t>Thông tin quản lý cá nhân</t>
  </si>
  <si>
    <t>PI07</t>
  </si>
  <si>
    <t>Chỉnh sửa thông tin</t>
  </si>
  <si>
    <t>Mấy ô này để làm gì á nhỉ</t>
  </si>
  <si>
    <t>PI08</t>
  </si>
  <si>
    <t>Đơn hàng</t>
  </si>
  <si>
    <t>PI09</t>
  </si>
  <si>
    <t>Thanh hiển trị số lượng từng trạng thái</t>
  </si>
  <si>
    <t xml:space="preserve">Kiểm tra khi nhấn vào icon " Chờ thanh toán " </t>
  </si>
  <si>
    <t xml:space="preserve">Đăng nhập vào tài khoản 
Chọn mục Cá nhân
Kiểm tra khi nhấn vào icon " Chờ thanh toán "  để chuyển sang màn hình Lịch sử đơn hàng - trạng thái chờ xác nhận </t>
  </si>
  <si>
    <t>Chuyển sang đúng màn hình " chờ xác nhận</t>
  </si>
  <si>
    <t xml:space="preserve">Chuyển sang tab " Tất cả " </t>
  </si>
  <si>
    <t>Kiểm tra khi nhấn vào icon " Đang xử lý "</t>
  </si>
  <si>
    <t>Đăng nhập vào tài khoản 
Chọn mục Cá nhân
Kiểm tra khi nhấn vào icon " Đang xử lý"  để chuyển sang màn hình Lịch sử đơn hàng - trạng thái Đang xử lý</t>
  </si>
  <si>
    <t>Chuyển sang đúng màn hình " Đang xử lý "</t>
  </si>
  <si>
    <t>Kiểm tra khi nhấn vào icon " Đang giao "</t>
  </si>
  <si>
    <t xml:space="preserve">Đăng nhập vào tài khoản 
Chọn mục Cá nhân
Kiểm tra khi nhấn vào icon " Đang giao "  để chuyển sang màn hình Lịch sử đơn hàng - trạng thái Đang giao </t>
  </si>
  <si>
    <t xml:space="preserve">Chuyển sang đúng màn hình " Đang giao " </t>
  </si>
  <si>
    <t>Kiểm tra khi nhấn vào icon " Đã hoàn thành "</t>
  </si>
  <si>
    <t>Đăng nhập vào tài khoản 
Chọn mục Cá nhân
Kiểm tra khi nhấn vào icon " Đã hoàn thành "  để chuyển sang màn hình Lịch sử đơn hàng - trạng thái Đã giao</t>
  </si>
  <si>
    <t>Chuyển sang đúng màn hình " Đã giao "</t>
  </si>
  <si>
    <t>PI10</t>
  </si>
  <si>
    <t>Yêu thích</t>
  </si>
  <si>
    <t>PI11</t>
  </si>
  <si>
    <t>Công nợ của tôi</t>
  </si>
  <si>
    <t>Đăng nhập vào tài khoản 
Chọn mục Cá nhân
Kiểm tra màu sắc, kích thước, cỡ chữ ,icon và số tiền hiển thị</t>
  </si>
  <si>
    <t>PI12</t>
  </si>
  <si>
    <t>Số địa chỉ</t>
  </si>
  <si>
    <t>UI - Chỉnh sửa thông tin</t>
  </si>
  <si>
    <t>Kiểm tra các trường Thông tin cá nhân</t>
  </si>
  <si>
    <t>Người dùng ở màn hình  Chỉnh sửa thông tin</t>
  </si>
  <si>
    <t>Đăng nhập vào tài khoản 
Chọn mục Cá nhân
Chọn Chỉnh sửa thông tin --&gt; tại  màn hình chỉnh sửa thông tin kiểm tra các trường Thông tin cá nhân</t>
  </si>
  <si>
    <t>Hiển thị đầy đầy các trường Thông tin cá nhân</t>
  </si>
  <si>
    <t>Đăng nhập vào tài khoản 
Chọn mục Cá nhân
Chọn Chỉnh sửa thông tin --&gt; tại  màn hình chỉnh sửa thông tin kiểm tra khoảng cách giữa các ô với nhau</t>
  </si>
  <si>
    <t>Hiển thị đúng khoảng cách giữa các ô</t>
  </si>
  <si>
    <t>Khoảng cách các trường hơi nhỏ so với design</t>
  </si>
  <si>
    <t>Kiểm tra thanh header " Chọn ngày sinh "</t>
  </si>
  <si>
    <t>Đăng nhập vào tài khoản 
Chọn mục Cá nhân
Chọn Chỉnh sửa thông tin --&gt; tại  màn hình chỉnh sửa thông tin  chọn ngày sinh
Kiểm tra thanh header " Chọn ngày " ( đúng màu sắc, kích thước, cỡ chữ )</t>
  </si>
  <si>
    <t>Thanh header " Chọn ngày " in đậm
Đúng màu sắc, kích thước, cỡ chữ</t>
  </si>
  <si>
    <t xml:space="preserve">Thanh header " Chọn ngày " không in đậm
</t>
  </si>
  <si>
    <t>Kiểm tra layout " Chọn ngày sinh "</t>
  </si>
  <si>
    <t>Đăng nhập vào tài khoản 
Chọn mục Cá nhân
Chọn Chỉnh sửa thông tin --&gt; tại  màn hình chỉnh sửa thông tin  chọn ngày sinh
Kiểm tra layout " Chọn ngày sinh "</t>
  </si>
  <si>
    <t>Hiển thị đúng layout design</t>
  </si>
  <si>
    <t>Hiển thị  không đúng layout design</t>
  </si>
  <si>
    <t>PI13</t>
  </si>
  <si>
    <t xml:space="preserve"> Chỉnh sửa thông tin </t>
  </si>
  <si>
    <t>Kiểm tra hiển thị thanh header</t>
  </si>
  <si>
    <t>Đăng nhập vào tài khoản
Chọn tab Cá nhân 
Chọn chỉnh sửa thông tin</t>
  </si>
  <si>
    <t xml:space="preserve"> Hiển thị đúng thanh header</t>
  </si>
  <si>
    <t>Hiển thị sai tên thanh header
Không in đậm tên thanh header</t>
  </si>
  <si>
    <t>PI14</t>
  </si>
  <si>
    <t>Kiểm tra hiển thị ảnh đại diện tài khoản</t>
  </si>
  <si>
    <t>Có sẵn thông tin cá nhân</t>
  </si>
  <si>
    <t>Đăng nhập vào tài khoản
Chọn tab Cá nhân 
Chọn chỉnh sửa thông tin 
Kiểm tra ảnh đại diện</t>
  </si>
  <si>
    <t xml:space="preserve">Hiển thị ảnh đại diện </t>
  </si>
  <si>
    <t>Không hiển thị ảnh đại diện</t>
  </si>
  <si>
    <t>PI15</t>
  </si>
  <si>
    <t>Kiểm tra hiển thị thông tin cá nhân hiện tại</t>
  </si>
  <si>
    <t>Đăng nhập vào tài khoản
Chọn tab Cá nhân 
Quan sát thông tin cá nhân hiển thị</t>
  </si>
  <si>
    <t>Hiển thị thông tin cá nhân đúng và đầy đủ.</t>
  </si>
  <si>
    <t>PI16</t>
  </si>
  <si>
    <t>Kiểm tra hiển thị Họ và tên hiện tại</t>
  </si>
  <si>
    <t>Đăng nhập vào tài khoản
Chọn tab Cá nhân 
Chọn chỉnh  sửa  thông tin 
Quan sát trường họ và tên</t>
  </si>
  <si>
    <t>Hiển thị họ và tên đúng.</t>
  </si>
  <si>
    <t>PI17</t>
  </si>
  <si>
    <t>Chỉnh sửa họ và tên hợp lệ</t>
  </si>
  <si>
    <t>Đăng nhập vào tài khoản
Chọn tab Cá nhân 
Chọn chỉnh  sửa  thông tin 
Nhấn vào ô chỉnh sửa họ và tên 
Nhập họ và tên mới hợp lệ 
Nhấn " Lưu thay đổi "</t>
  </si>
  <si>
    <t>Họ và tên mới được cập nhật thành công.</t>
  </si>
  <si>
    <t>PI18</t>
  </si>
  <si>
    <t>Chỉnh sửa họ và tên với ký tự đặc biệt</t>
  </si>
  <si>
    <t xml:space="preserve">Đăng nhập vào tài khoản
Chọn tab Cá nhân 
Chọn chỉnh  sửa  thông tin 
Nhấn vào ô chỉnh sửa họ và tên 
Nhập ký tự đặc biệt 
Nhấn " Lưu thay đổi "
</t>
  </si>
  <si>
    <t>Hiển thị thông báo lỗi về định dạng không hợp lệ.</t>
  </si>
  <si>
    <t>PI19</t>
  </si>
  <si>
    <t>Để trống ô họ và tên</t>
  </si>
  <si>
    <t>Đăng nhập vào tài khoản
Chọn tab Cá nhân 
Chọn chỉnh  sửa  thông tin 
Nhấn vào ô chỉnh sửa họ và tên 
Để trống ô Họ và tên
Nhấn " Lưu thay đổi "</t>
  </si>
  <si>
    <t>Hiển thị thông báo yêu cầu nhập họ và tên.</t>
  </si>
  <si>
    <t>PI20</t>
  </si>
  <si>
    <t>Kiểm tra giới hạn max kí tự vào ô Họ và tên</t>
  </si>
  <si>
    <t>Đăng nhập vào tài khoản
Chọn tab Cá nhân 
Chọn chỉnh  sửa  thông tin 
Nhấn vào ô chỉnh sửa họ và tên 
Nhập max kí tự
Nhấn " Lưu thay đổi "</t>
  </si>
  <si>
    <t>Hiển thị thông báo lỗi về độ dài không hợp lệ.( max =255  kí tự )</t>
  </si>
  <si>
    <t>Nhập hơn 255 kí tự vẫn được</t>
  </si>
  <si>
    <t>PI21</t>
  </si>
  <si>
    <t>Kiểm tra giới hạn min kí tự vào ô Họ và tên</t>
  </si>
  <si>
    <t>Đăng nhập vào tài khoản
Chọn tab Cá nhân 
Chọn chỉnh  sửa  thông tin 
Nhấn vào ô chỉnh sửa họ và tên 
Nhập min kí tự
Nhấn " Lưu thay đổi "</t>
  </si>
  <si>
    <t>Hiển thị thông báo lỗi về độ dài không hợp lệ.</t>
  </si>
  <si>
    <t>PI22</t>
  </si>
  <si>
    <t>Kiểm tra thông báo thành công</t>
  </si>
  <si>
    <t xml:space="preserve">Đăng nhập vào tài khoản
Chọn tab Cá nhân 
Chọn chỉnh  sửa  thông tin 
Nhập họ và tên mới hợp lệ và nhấn " Lưu thay đổi " 
</t>
  </si>
  <si>
    <t>Hiển thị thông báo "Cập nhật thông tin thành công."</t>
  </si>
  <si>
    <t>PI23</t>
  </si>
  <si>
    <t>Chỉnh sửa họ và tên bằng cách xóa</t>
  </si>
  <si>
    <t>Đăng nhập vào tài khoản
Chọn tab Cá nhân 
Chọn chỉnh  sửa  thông tin 
Xoá họ và tên hiện tại 
Nhấn " Lưu thay đổi "</t>
  </si>
  <si>
    <t>PI24</t>
  </si>
  <si>
    <t>Kiểm tra hiệu ứng giao diện khi chỉnh sửa</t>
  </si>
  <si>
    <t>Đăng nhập vào tài khoản
Chọn tab Cá nhân 
Chọn chỉnh  sửa  thông tin 
Nhấn vào ô chỉnh sửa họ và tên 
Nhập họ và tên mới 
Nhấn " Lưu thay đổi "</t>
  </si>
  <si>
    <t>Giao diện không bị lag hay bị lỗi khi chỉnh sửa.</t>
  </si>
  <si>
    <t>PI25</t>
  </si>
  <si>
    <t>Kiểm tra quay lại mà không lưu thay đổi</t>
  </si>
  <si>
    <t>Đăng nhập vào tài khoản
Chọn tab Cá nhân 
Chọn chỉnh  sửa  thông tin 
Nhấn vào ô chỉnh sửa họ và tên 
nhưng không nhấn " Lưu thay đổi " 
Quay lại trang trước</t>
  </si>
  <si>
    <t>Họ và tên vẫn giữ nguyên như cũ.</t>
  </si>
  <si>
    <t>PI26</t>
  </si>
  <si>
    <t>Hiển thị số điện thoại hiện tại</t>
  </si>
  <si>
    <t>Đăng nhập vào tài khoản
Chọn tab Cá nhân 
Chọn chỉnh  sửa  thông tin 
Quan  sát trường số điện thoại</t>
  </si>
  <si>
    <t>Hiển thị số điện thoại đúng.</t>
  </si>
  <si>
    <t>PI27</t>
  </si>
  <si>
    <t>Chỉnh sửa số điện thoại hợp lệ</t>
  </si>
  <si>
    <t>Đăng nhập vào tài khoản
Chọn tab Cá nhân 
Chọn chỉnh  sửa  thông tin 
Nhấn vào ô số điện thoại 
Nhập số điện thoại mới hợp lệ
Nhấn " Lưu thay đổi "</t>
  </si>
  <si>
    <t>Không cho chỉnh sửa số điện thoại</t>
  </si>
  <si>
    <t>PI28</t>
  </si>
  <si>
    <t>Kiểm tra số điện thoại được lấy theo tài khoản cá nhân</t>
  </si>
  <si>
    <t>Đăng nhập vào tài khoản
Chọn tab Cá nhân 
Chọn chỉnh  sửa  thông tin 
Kiểm tra số điện thoại được lấy theo tài khoản cá nhân</t>
  </si>
  <si>
    <t>Hiển thị đúng số điện thoại</t>
  </si>
  <si>
    <t>PI33</t>
  </si>
  <si>
    <t xml:space="preserve">Đăng nhập vào tài khoản
Chọn tab Cá nhân 
Chọn chỉnh  sửa  thông tin 
Nhấn vào ô số điện thoại 
Chỉnh sửa số điện thoại nhưng không nhấn  " Lưu thay đổi " 
Quay lại trang trước  </t>
  </si>
  <si>
    <t>Số điện thoại vẫn giữ nguyên như cũ.</t>
  </si>
  <si>
    <t>PI37</t>
  </si>
  <si>
    <t>Hiển thị email hiện tại</t>
  </si>
  <si>
    <t>Đăng nhập vào tài khoản
Chọn tab Cá nhân 
Chọn chỉnh  sửa  thông tin 
Quan sát trường _x001d_email</t>
  </si>
  <si>
    <t>Hiển thị email đúng.</t>
  </si>
  <si>
    <t>PI38</t>
  </si>
  <si>
    <t>Chỉnh sửa email hợp lệ</t>
  </si>
  <si>
    <t>Đăng nhập vào tài khoản
Chọn tab Cá nhân 
Chọn chỉnh  sửa  thông tin 
Nhấn vào ô chỉnh sửa email 
Nhập email mới hợp lệ 
Nhấn " Lưu thay đổi "</t>
  </si>
  <si>
    <t>Email mới được cập nhật thành công.</t>
  </si>
  <si>
    <t>PI39</t>
  </si>
  <si>
    <t>Nhập email không hợp lệ</t>
  </si>
  <si>
    <t>Đăng nhập vào tài khoản
Chọn tab Cá nhân 
Chọn chỉnh  sửa  thông tin 
Nhấn vào ô chỉnh sửa email 
Nhập email không hợp lệ 
Nhấn " Lưu thay đổi "</t>
  </si>
  <si>
    <t>PI40</t>
  </si>
  <si>
    <t>Để trống ô email</t>
  </si>
  <si>
    <t>Đăng nhập vào tài khoản
Chọn tab Cá nhân 
Chọn chỉnh  sửa  thông tin 
Nhấn vào ô chỉnh sửa email 
Xoá tất cả nội dung 
Nhấn " Lưu thay đổi "</t>
  </si>
  <si>
    <t>Hiển thị thông báo yêu cầu nhập email.</t>
  </si>
  <si>
    <t>PI41</t>
  </si>
  <si>
    <t>Kiểm tra không thay đổi email</t>
  </si>
  <si>
    <t>Đăng nhập vào tài khoản
Chọn tab Cá nhân 
Chọn chỉnh  sửa  thông tin  
Nhấn " Lưu thay đổi " mà không thay đổi gì</t>
  </si>
  <si>
    <t>Hiển thị thông báo  " Lưu thay đổi " thành công</t>
  </si>
  <si>
    <t>PI42</t>
  </si>
  <si>
    <t>Đăng nhập vào tài khoản
Chọn tab Cá nhân 
Chọn chỉnh  sửa  thông tin 
Chỉnh sửa email nhưng không nhấn " Lưu thay đổi " 
Quay lại trang trước</t>
  </si>
  <si>
    <t>Email vẫn giữ nguyên như cũ.</t>
  </si>
  <si>
    <t>PI43</t>
  </si>
  <si>
    <t>Chỉnh sửa email bằng cách xóa</t>
  </si>
  <si>
    <t>Đăng nhập vào tài khoản
Chọn tab Cá nhân 
Chọn chỉnh  sửa  thông tin 
Nhấn vào ô chỉnh sửa email 
Xoá _x001d_ email hiện tại 
Nhấn " Lưu thay đổi "</t>
  </si>
  <si>
    <t>PI44</t>
  </si>
  <si>
    <t>Kiểm tra min kí tự email</t>
  </si>
  <si>
    <t>Đăng nhập vào tài khoản
Chọn tab Cá nhân 
Chọn chỉnh  sửa  thông tin 
Nhấn vào ô chỉnh sửa email 
Nhập min kí tự email
Nhấn " Lưu thay đổi "</t>
  </si>
  <si>
    <t>PI45</t>
  </si>
  <si>
    <t>Kiểm tra max kí tự email</t>
  </si>
  <si>
    <t>Đăng nhập vào tài khoản
Chọn tab Cá nhân 
Chọn chỉnh  sửa  thông tin 
Nhấn vào ô chỉnh sửa email 
Nhập max kí tự email
Nhấn " Lưu thay đổi "</t>
  </si>
  <si>
    <t>Hiển thị thông báo lỗi về độ dài không hợp lệ. ( max = 255 kí tự )</t>
  </si>
  <si>
    <t>PI46</t>
  </si>
  <si>
    <t>Kiểm tra hover email</t>
  </si>
  <si>
    <t xml:space="preserve">Đăng nhập vào tài khoản
Chọn tab Cá nhân 
Chọn chỉnh  sửa  thông tin 
Trỏ chuột vào ô  email 
</t>
  </si>
  <si>
    <t>Hiển thị hover màu cam khi trỏ chuột vào</t>
  </si>
  <si>
    <t>PI47</t>
  </si>
  <si>
    <t>Hiển thị ngày sinh hiện tại</t>
  </si>
  <si>
    <t xml:space="preserve">Đăng nhập vào tài khoản
Chọn tab Cá nhân 
Chọn chỉnh  sửa  thông tin 
Quan sát trường ngày sinh
</t>
  </si>
  <si>
    <t>Hiển thị ngày sinh đúng.</t>
  </si>
  <si>
    <t>PI48</t>
  </si>
  <si>
    <t>Chỉnh sửa ngày sinh hợp lệ</t>
  </si>
  <si>
    <t xml:space="preserve">Đăng nhập vào tài khoản
Chọn tab Cá nhân 
Chọn chỉnh  sửa  thông tin 
Nhấn vào ô ngày sinh 
Chọn ngày sinh mới hợp lệ 
Nhấn " Lưu thay đổi "
</t>
  </si>
  <si>
    <t>Ngày sinh mới được cập nhật thành công.</t>
  </si>
  <si>
    <t>PI50</t>
  </si>
  <si>
    <t>Để trống ô ngày sinh</t>
  </si>
  <si>
    <t xml:space="preserve">Đăng nhập vào tài khoản
Chọn tab Cá nhân 
Chọn chỉnh  sửa  thông tin 
Nhấn vào ô ngày sinh 
Xoá tất cả nội dung 
Nhấn " Lưu thay đổi "
</t>
  </si>
  <si>
    <t>Hiển thị thông báo yêu cầu nhập ngày sinh.</t>
  </si>
  <si>
    <t>PI51</t>
  </si>
  <si>
    <t>Kiểm tra không thay đổi ngày sinh</t>
  </si>
  <si>
    <t xml:space="preserve">Đăng nhập vào tài khoản
Chọn tab Cá nhân 
Chọn chỉnh  sửa  thông tin 
Nhấn " Lưu thay đổi " mà không thay đổi gì
</t>
  </si>
  <si>
    <t>Hiển thị thông báo " Lưu thay đổi thành công "</t>
  </si>
  <si>
    <t>PI52</t>
  </si>
  <si>
    <t xml:space="preserve">Đăng nhập vào tài khoản
Chọn tab Cá nhân 
Chọn chỉnh  sửa  thông tin 
Chỉnh sửa ngày sinh nhưng không nhấn " Lưu thay đổi " 
Quay lại trang trước
</t>
  </si>
  <si>
    <t>Ngày sinh vẫn giữ nguyên như cũ.</t>
  </si>
  <si>
    <t>PI53</t>
  </si>
  <si>
    <t>Kiểm tra hover  ngày sinh</t>
  </si>
  <si>
    <t xml:space="preserve">Đăng nhập vào tài khoản
Chọn tab Cá nhân 
Chọn chỉnh  sửa  thông tin 
Trỏ chuột vào ô ngày sinh 
</t>
  </si>
  <si>
    <t>PI54</t>
  </si>
  <si>
    <t>Hiển thị checkbox giới tính</t>
  </si>
  <si>
    <t xml:space="preserve">Đăng nhập vào tài khoản
Chọn tab Cá nhân 
Chọn chỉnh  sửa  thông tin 
Quan sát các checkbox giới tính ( Nam, nữ )
</t>
  </si>
  <si>
    <t>Tất cả checkbox giới tính hiển thị đúng.</t>
  </si>
  <si>
    <t>PI55</t>
  </si>
  <si>
    <t>Chọn checkbox giới tính Nam</t>
  </si>
  <si>
    <t xml:space="preserve">Đăng nhập vào tài khoản
Chọn tab Cá nhân 
Chọn chỉnh  sửa  thông tin 
Nhấn vào checkbox giới tính Nam
</t>
  </si>
  <si>
    <t>Checkbox Nam được chọn thành công.</t>
  </si>
  <si>
    <t>Chọn thành công  nhưng checkbox hiển thị sai</t>
  </si>
  <si>
    <t>PI56</t>
  </si>
  <si>
    <t>Chọn checkbox giới tính Nữ</t>
  </si>
  <si>
    <t xml:space="preserve">Đăng nhập vào tài khoản
Chọn tab Cá nhân 
Chọn chỉnh  sửa  thông tin 
Nhấn vào checkbox giới tính Nữ
</t>
  </si>
  <si>
    <t>Checkbox Nữ được chọn thành công.</t>
  </si>
  <si>
    <t>PI57</t>
  </si>
  <si>
    <t>Bỏ chọn checkbox giới tính</t>
  </si>
  <si>
    <t xml:space="preserve">Đăng nhập vào tài khoản
Chọn tab Cá nhân 
Chọn chỉnh  sửa  thông tin 
Chọn checkbox Nam hoặc Nữ 
Bỏ chọn checkbox vừa chọn 
</t>
  </si>
  <si>
    <t>Checkbox không được chọn thành công.</t>
  </si>
  <si>
    <t>PI58</t>
  </si>
  <si>
    <t>Chọn nhiều checkbox giới tính</t>
  </si>
  <si>
    <t xml:space="preserve">Đăng nhập vào tài khoản
Chọn tab Cá nhân 
Chọn chỉnh  sửa  thông tin 
Chọn checkbox Nam và Nữ 
</t>
  </si>
  <si>
    <t>Chỉ chọn được 1 giới tính</t>
  </si>
  <si>
    <t>PI59</t>
  </si>
  <si>
    <t>Quay lại mà không lưu thay đổi</t>
  </si>
  <si>
    <t xml:space="preserve">Đăng nhập vào tài khoản
Chọn tab Cá nhân 
Chọn chỉnh  sửa  thông tin 
Chọn checkbox giới tính nhưng không nhấn " Lưu thay đổi " 
Quay lại trang trước 
</t>
  </si>
  <si>
    <t>Giới tính vẫn giữ nguyên như cũ.</t>
  </si>
  <si>
    <t>PI60</t>
  </si>
  <si>
    <t>Kiểm tra nút lưu thay đổi</t>
  </si>
  <si>
    <t xml:space="preserve">Đăng nhập vào tài khoản
Chọn tab Cá nhân 
Chọn chỉnh  sửa  thông tin 
Nhập đầy đủ thông tin 
Nhấn " Lưu thay đổi "
</t>
  </si>
  <si>
    <t>PI61</t>
  </si>
  <si>
    <t>Kiểm tra button " Lưu thay đổi "</t>
  </si>
  <si>
    <t>Ở màn hình " Chỉnh sửa thay đổi "</t>
  </si>
  <si>
    <t xml:space="preserve">Đăng nhập vào tài khoản
Chọn tab Cá nhân 
Chọn chỉnh  sửa  thông tin 
Ở màn hình chỉnh sửa thông tin --&gt; kiểm tra màu sắc, kích thước, cỡ chữ của button " Lưu thay đổi " 
</t>
  </si>
  <si>
    <t>Button " Lưu thay đổi " không được in đậm</t>
  </si>
  <si>
    <t>FP01</t>
  </si>
  <si>
    <t>Người dùng đang ở màn hình yêu thích</t>
  </si>
  <si>
    <t>Đăng nhập vào tài khoản
Chọn tab cá nhân
Chọn mục yêu thích
Kiểm tra thanh header " Yêu thích "</t>
  </si>
  <si>
    <t>Thanh header " Yêu thích " không in đậm</t>
  </si>
  <si>
    <t>FP02</t>
  </si>
  <si>
    <t>Đăng nhập vào tài khoản
Chọn tab cá nhân
Chọn mục yêu thích
Kiểm tra hiển thị thanh tìm kiếm</t>
  </si>
  <si>
    <t>FP03</t>
  </si>
  <si>
    <t>Hiển thị danh sách sản phẩm</t>
  </si>
  <si>
    <t>Đăng nhập vào tài khoản
Chọn tab cá nhân
Chọn mục yêu thích</t>
  </si>
  <si>
    <t>FP04</t>
  </si>
  <si>
    <t>Kiểm tra sản phẩm khi có mã giảm giá</t>
  </si>
  <si>
    <t xml:space="preserve">Đăng nhập vào tài khoản
Chọn tab cá nhân
Chọn mục yêu thích
Kiểm tra mã giảm giá ở góc trên bên trái của sản phẩm </t>
  </si>
  <si>
    <t xml:space="preserve">Hiển thị %giảm giá </t>
  </si>
  <si>
    <t xml:space="preserve">Không hiển thị %giảm giá </t>
  </si>
  <si>
    <t>FP05</t>
  </si>
  <si>
    <t>Kiểm tra hình ảnh sản phẩm</t>
  </si>
  <si>
    <t>Đăng nhập vào tài khoản
Chọn tab cá nhân
Chọn mục yêu thích
Kiểm tra hình ảnh sản phẩm</t>
  </si>
  <si>
    <t>Hiển thị đúng hình ảnh sản phẩm</t>
  </si>
  <si>
    <t>Chưa có hình ảnh sản phẩm</t>
  </si>
  <si>
    <t>FP06</t>
  </si>
  <si>
    <t xml:space="preserve">Kiểm tra nút yêu thích </t>
  </si>
  <si>
    <t>Đăng nhập vào tài khoản
Chọn tab cá nhân
Chọn mục yêu thích
Kiểm tra nút yêu thích  ở góc trên bên phải</t>
  </si>
  <si>
    <t>Hiển thị nút yêu thích có màu cam</t>
  </si>
  <si>
    <t>FP07</t>
  </si>
  <si>
    <t>Kiểm tra tên danh mục sản phẩm</t>
  </si>
  <si>
    <t xml:space="preserve">Đăng nhập vào tài khoản
Chọn tab cá nhân
Chọn mục yêu thích
Kiểm tra màu sắc, kích thước, cỡ chữ  tên danh mục sản phẩm </t>
  </si>
  <si>
    <t>Hiển thị đúng màu sắc, kích thước, cỡ chữ và tên danh mục</t>
  </si>
  <si>
    <t>FP08</t>
  </si>
  <si>
    <t xml:space="preserve">Kiểm tra tên sản phẩm </t>
  </si>
  <si>
    <t xml:space="preserve">Đăng nhập vào tài khoản
Chọn tab cá nhân
Chọn mục yêu thích
Kiểm tra màu sắc, kích thước, cỡ chữ tên sản phẩm </t>
  </si>
  <si>
    <t>Hiển thị đúng màu sắc, kích thước, cỡ chữ và tên sản phẩm</t>
  </si>
  <si>
    <t>FP09</t>
  </si>
  <si>
    <t>Kiểm tra tên Thương hiệu của sản phẩm</t>
  </si>
  <si>
    <t>Đăng nhập vào tài khoản
Chọn tab cá nhân
Chọn mục yêu thích
Kiểm tra màu sắc, kích thước , cỡ chữ của tên Thương hiệu</t>
  </si>
  <si>
    <t>Hiển thị đúng màu sắc, kích thước, cỡ chữ và tên Thương hiệu</t>
  </si>
  <si>
    <t>Thiếu tên thương hiệu</t>
  </si>
  <si>
    <t>FP10</t>
  </si>
  <si>
    <t>Kiểm tra nút giỏ hàng</t>
  </si>
  <si>
    <t>Đăng nhập vào tài khoản
Chọn tab cá nhân
Chọn mục yêu thích
Kiểm tra màu sắc, kích thước của giỏ hàng</t>
  </si>
  <si>
    <t>Hiển thị đúng màu sắc, kích thước</t>
  </si>
  <si>
    <t>XEM LẠI CHƯA CÓ GIỎ HÀNG NÊN TÍCH SẢN PHẨM CÒN HÀNG THÌ LẠI QUA HẾT HÀNG NÊN KHÔNG CÓ GIỎ HÀNG</t>
  </si>
  <si>
    <t>FP11</t>
  </si>
  <si>
    <t>Kiểm tra sản phẩm mới</t>
  </si>
  <si>
    <t>Đăng nhập vào tài khoản
Chọn tab cá nhân
Chọn mục yêu thích
Kiểm tra màu sắc, kích thước, cỡ chữ của sản phẩm mới</t>
  </si>
  <si>
    <t>FP12</t>
  </si>
  <si>
    <t>Kiểm tra giá sau giảm của sản phẩm</t>
  </si>
  <si>
    <t>Đăng nhập vào tài khoản
Chọn tab cá nhân
Chọn mục yêu thích
Kiểm tra màu sắc, kích thước, cỡ chữ và đúng giá của giá sau giảm</t>
  </si>
  <si>
    <t>Hiển thị đúng màu sắc, kích thước, cỡ chữ và đúng giá sau giảm</t>
  </si>
  <si>
    <t>FP13</t>
  </si>
  <si>
    <t>Kiểm tra giá gốc của sản phẩm</t>
  </si>
  <si>
    <t>Đăng nhập vào tài khoản
Chọn tab cá nhân
Chọn mục yêu thích
Kiểm tra màu sắc, kích thước, cỡ chữ và đúng giá gốc</t>
  </si>
  <si>
    <t>Hiển thị đúng màu sắc, kích thước, cỡ chữ và đúng giá gốc</t>
  </si>
  <si>
    <t>FP14</t>
  </si>
  <si>
    <t>Kiểm tra sản phẩm còn hàng</t>
  </si>
  <si>
    <t>Đăng nhập vào tài khoản
Chọn tab cá nhân
Chọn mục yêu thích
Kiểm tra màu sắc, kích thước, cỡ chữ và số lượng còn hàng</t>
  </si>
  <si>
    <t>Hiển thị đúng màu sắc, kích thước, cỡ chữ và đúng số lượng còn hàng</t>
  </si>
  <si>
    <t>FP15</t>
  </si>
  <si>
    <t>Kiểm tra sản phẩm hết hàng</t>
  </si>
  <si>
    <t>Đăng nhập vào tài khoản
Chọn tab cá nhân
Chọn mục yêu thích
Kiểm tra màu sắc , kích thước, cỡ chữ  sản phẩm hết hàng</t>
  </si>
  <si>
    <t xml:space="preserve">Hiển thị đúng màu sắc, kích thước, cỡ chữ </t>
  </si>
  <si>
    <t>FP16</t>
  </si>
  <si>
    <t>Kiểm tra khoảng cách giữa các sản phẩm</t>
  </si>
  <si>
    <t>Đăng nhập vào tài khoản
Chọn tab cá nhân
Chọn mục yêu thích
Kiểm tra khoảng cách giữa các sản phẩm</t>
  </si>
  <si>
    <t>Hiển thị đúng khoảng cách giữa các sản phẩm</t>
  </si>
  <si>
    <t>Hiển thị sai khoảng cách giữa các sản phẩm</t>
  </si>
  <si>
    <t>FP17</t>
  </si>
  <si>
    <t>Thanh tìm kiếm</t>
  </si>
  <si>
    <t>Kiểm tra  khi copy rồi chọn dán vào thanh tìm kiếm</t>
  </si>
  <si>
    <t>Đăng nhập vào tài khoản
Chọn tab cá nhân
Chọn mục yêu thích
Copy 1 tên bất kì rồi  nhấn giữ chọn Dán vào thanh tìm kiếm</t>
  </si>
  <si>
    <t xml:space="preserve">Dán được và hiển thị kết quả </t>
  </si>
  <si>
    <t>FP18</t>
  </si>
  <si>
    <t>Kiểm tra  khi copy rồi chọn tự động điền vào thanh tìm kiếm</t>
  </si>
  <si>
    <t>Đăng nhập vào tài khoản
Chọn tab cá nhân
Chọn mục yêu thích
Copy 1 tên bất kì rồi nhấn giữ chọn tự động điền vào thanh tìm kiếm</t>
  </si>
  <si>
    <t xml:space="preserve">Tự động điền và hiển thị kết quả </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</si>
  <si>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</si>
  <si>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FP19</t>
  </si>
  <si>
    <t>Đăng nhập vào tài khoản
Chọn tab cá nhân
Chọn mục yêu thích
Kiểm tra placeholder của thanh tìm kiếm</t>
  </si>
  <si>
    <t>Hiển thị " Bạn  muốn mua gì ? "</t>
  </si>
  <si>
    <t>FP20</t>
  </si>
  <si>
    <t>Kiểm tra hiển thị hover</t>
  </si>
  <si>
    <t>Đăng nhập vào tài khoản
Chọn tab cá nhân
Chọn mục yêu thích
Trỏ chuột vào thanh tìm kiếm</t>
  </si>
  <si>
    <t xml:space="preserve"> Hiển thị khung màu cao chị trỏ chuột vào </t>
  </si>
  <si>
    <t>FP21</t>
  </si>
  <si>
    <t>Kiểm tra nhập từ khoá vào thanh tìm kiếm</t>
  </si>
  <si>
    <t>Đăng nhập vào tài khoản
Chọn tab cá nhân
Chọn mục yêu thích
Nhập từ khoá vào thanh tìm kiếm</t>
  </si>
  <si>
    <t>Iphone</t>
  </si>
  <si>
    <t>Từ khóa hiển thị trong thanh tìm kiếm, và placeholder "Bạn muốn mua gì?" biến mất khi nhập.</t>
  </si>
  <si>
    <t>FP22</t>
  </si>
  <si>
    <t>Kiểm tra chức năng tìm kiếm với từ khóa hợp lệ</t>
  </si>
  <si>
    <t>Pin</t>
  </si>
  <si>
    <t>Hiển thị danh sách các sản phẩm phù hợp với từ khóa tìm kiếm.</t>
  </si>
  <si>
    <t>FP23</t>
  </si>
  <si>
    <t>Kiểm tra tìm kiếm với từ khóa không hợp lệ</t>
  </si>
  <si>
    <t>123abc</t>
  </si>
  <si>
    <t>Thông báo "Không tìm thấy sản phẩm" hoặc một thông báo tương tự được hiển thị.</t>
  </si>
  <si>
    <t>FP24</t>
  </si>
  <si>
    <t>Kiểm tra tìm kiếm với kí tự đặc biệt</t>
  </si>
  <si>
    <t>@#$%</t>
  </si>
  <si>
    <t>Thông báo "Không tìm thấy sản phẩm" được hiển thị hoặc hệ thống bỏ qua các ký tự đặc biệt và tìm kiếm từ khóa còn lại</t>
  </si>
  <si>
    <t>FP25</t>
  </si>
  <si>
    <t>Kiểm tra xóa từ khóa trong thanh tìm kiếm</t>
  </si>
  <si>
    <t>Đăng nhập vào tài khoản
Chọn tab cá nhân
Chọn mục yêu thích
Nhập từ khoá vào thanh tìm kiếm
Xoá từ khoá vừa tìm kiếm</t>
  </si>
  <si>
    <t>Từ khóa bị xóa khỏi thanh tìm kiếm, và thanh tìm kiếm quay lại trạng thái ban đầu với placeholder “Bạn muốn mua gì?”.</t>
  </si>
  <si>
    <t>FP26</t>
  </si>
  <si>
    <t>Kiểm tra tìm kiếm với từ khoá dài ( max )</t>
  </si>
  <si>
    <t>Đăng nhập vào tài khoản
Chọn tab cá nhân
Chọn mục yêu thích
Nhập từ khoá dài vào thanh tìm kiếm
Nhấn Enter hoặc nút tìm kiếm</t>
  </si>
  <si>
    <t>Hệ thống xử lý từ khóa dài và hiển thị các sản phẩm phù hợp (nếu có).</t>
  </si>
  <si>
    <t>FP27</t>
  </si>
  <si>
    <t>Kiểm tra tìm kiếm với từ khoá ngắn ( min )</t>
  </si>
  <si>
    <t>Đăng nhập vào tài khoản
Chọn tab cá nhân
Chọn mục yêu thích
Nhập từ khoá ngắn vào thanh tìm kiếm
Nhấn Enter hoặc nút tìm kiếm</t>
  </si>
  <si>
    <t>FP28</t>
  </si>
  <si>
    <t>Kiểm tra tự động hoàn tất khi nhập từ khóa</t>
  </si>
  <si>
    <t>"Đăng nhập vào tài khoản
Chọn tab cá nhân
Chọn mục yêu thích
Nhập từ khoá chưa hoàn chỉnh
Chọn một gợi ý tự động hoàn tất</t>
  </si>
  <si>
    <t>Macbo</t>
  </si>
  <si>
    <t>Từ khóa tự động hoàn tất được nhập vào thanh tìm kiếm, và kết quả tìm kiếm cho từ khóa hoàn chỉnh được hiển thị.</t>
  </si>
  <si>
    <t>FP29</t>
  </si>
  <si>
    <t>Kiểm tra chức năng tìm kiếm không phân biệt chữ hoa/thường</t>
  </si>
  <si>
    <t>"Đăng nhập vào tài khoản
Chọn tab cá nhân
Chọn mục yêu thích
Nhập từ khoá chữ in hoa hoặc chữ in thường
Nhấn Enter hoặc nút tìm kiếm</t>
  </si>
  <si>
    <t>MACBOOK hoặc macbook</t>
  </si>
  <si>
    <t>Kết quả tìm kiếm hiển thị các sản phẩm phù hợp mà không phân biệt chữ hoa hay chữ thường.</t>
  </si>
  <si>
    <t>FP30</t>
  </si>
  <si>
    <t>Kiểm tra tìm kiếm khi không nhập từ khóa</t>
  </si>
  <si>
    <t>"Đăng nhập vào tài khoản
Chọn tab cá nhân
Chọn mục yêu thích
Nhấn vào thanh tìm kiếm 
Nhấn Enter hoặc nút tìm kiếm mà không nhập gì</t>
  </si>
  <si>
    <t>Không có kết quả tìm kiếm hiển thị</t>
  </si>
  <si>
    <t>FP31</t>
  </si>
  <si>
    <t>Kiểm tra chức năng tìm kiếm với từ khóa số</t>
  </si>
  <si>
    <t xml:space="preserve">"Đăng nhập vào tài khoản
Chọn tab cá nhân
Chọn mục yêu thích
Nhập từ khoá là 1 chuỗi số
Nhấn Enter hoặc nút tìm kiếm </t>
  </si>
  <si>
    <t>2020 hoặc 8gb</t>
  </si>
  <si>
    <t>Kết quả tìm kiếm hiển thị các sản phẩm liên quan đến số đã nhập, ví dụ như " Macbook 2020" hoặc " Macbook 8GB".</t>
  </si>
  <si>
    <t>FP32</t>
  </si>
  <si>
    <t>Kiểm tra chức năng tìm kiếm khi không có kết nối internet</t>
  </si>
  <si>
    <t xml:space="preserve">"Đăng nhập vào tài khoản
Chọn tab cá nhân
Chọn mục yêu thích
Nhấn vào thanh tìm kiếm , ngắt kết nối internet
Nhập từ khoá và Enter hoặc nút tìm kiếm </t>
  </si>
  <si>
    <t>Hiển thị thông báo lỗi kết nối mạng hoặc nhắc nhở người dùng bật lại kết nối internet để thực hiện tìm kiếm.</t>
  </si>
  <si>
    <t>FP33</t>
  </si>
  <si>
    <t>Chi tiết sản phẩm</t>
  </si>
  <si>
    <t>Kiểm tra thanh header " Chi tiết sản phẩm "</t>
  </si>
  <si>
    <t>Thông tin sản phẩm đầy đủ</t>
  </si>
  <si>
    <t>"Đăng nhập vào tài khoản
Chọn tab cá nhân
Chọn mục yêu thích
Nhấn vào xem chi tiết sản phẩm</t>
  </si>
  <si>
    <t>Hiển thị đúng màu sắc, kích thước,cỡ chữ</t>
  </si>
  <si>
    <t>Thanh header " Chi tiết sản phẩm " chưa in đậm</t>
  </si>
  <si>
    <t>FP34</t>
  </si>
  <si>
    <t>Kiểm tra hiển thị hình ảnh sản phẩm</t>
  </si>
  <si>
    <t>Hình ảnh sản phẩm được hiển thị đầy đủ và rõ ràng.</t>
  </si>
  <si>
    <t>FP35</t>
  </si>
  <si>
    <t>Kiểm tra hiển thị thông tin giảm giá</t>
  </si>
  <si>
    <t>Icon giảm giá hiển thị ở góc trên bên trái của hình ảnh sản phẩm (nếu có).</t>
  </si>
  <si>
    <t>FP36</t>
  </si>
  <si>
    <t>Kiểm tra hiển thị nút yêu thích</t>
  </si>
  <si>
    <t>"Đăng nhập vào tài khoản
Chọn tab cá nhân
Chọn mục yêu thích
Nhấn vào xem chi tiết sản phẩm
Nhấn vào icon hình trái tim để yêu thích sản phẩm</t>
  </si>
  <si>
    <t xml:space="preserve">Nút yêu thích hoạt động, sản phẩm được thêm vào danh sách yêu thích, icon trái tim đổi màu </t>
  </si>
  <si>
    <t>Đã tích yêu thích nhưng khi vào xem chi tiết sản phẩm không hiển thị yêu thích</t>
  </si>
  <si>
    <t>FP37</t>
  </si>
  <si>
    <t>Kiểm tra điều hướng hình ảnh</t>
  </si>
  <si>
    <t>"Đăng nhập vào tài khoản
Chọn tab cá nhân
Chọn mục yêu thích
Nhấn vào xem chi tiết sản phẩm
Chuyển qua lại các hình ảnh bằng cách nhấn vào nút hoặc vuốt.</t>
  </si>
  <si>
    <t>Người dùng có thể chuyển qua lại giữa các hình ảnh của sản phẩm một cách dễ dàng.</t>
  </si>
  <si>
    <t>FP38</t>
  </si>
  <si>
    <t>Kiểm tra hiển thị số lượng ảnh</t>
  </si>
  <si>
    <t>"Đăng nhập vào tài khoản
Chọn tab cá nhân
Chọn mục yêu thích
Nhấn vào xem chi tiết sản phẩm
Kiểm tra số lượng ảnh hiển thị của sản phẩm</t>
  </si>
  <si>
    <t>Hiển thị đúng số lượng ảnh</t>
  </si>
  <si>
    <t>FP39</t>
  </si>
  <si>
    <t>Kiểm tra hiển thị thông tin sản phẩm</t>
  </si>
  <si>
    <t>"Đăng nhập vào tài khoản
Chọn tab cá nhân
Chọn mục yêu thích
Nhấn vào xem chi tiết sản phẩm
Kiểm tra hiển thị thông tin sản phẩm ( hình ảnh, tên sản phẩm, thương hiệu )</t>
  </si>
  <si>
    <t>Hiển thị đúng kích thước, cỡ chữ, hình ảnh không bị mờ</t>
  </si>
  <si>
    <t>FP40</t>
  </si>
  <si>
    <t>Kiểm tra giá sau giảm của sản phẩm ( nếu có )</t>
  </si>
  <si>
    <t>"Đăng nhập vào tài khoản
Chọn tab cá nhân
Chọn mục yêu thích
Nhấn vào xem chi tiết sản phẩm
Kiểm tra hiển thị giá sản phẩm ( kích thước, màu sắc, định dạng )</t>
  </si>
  <si>
    <t>Hiển thị đúng giá của sản phẩm, đúng kích thước, màu sắc, định dạng</t>
  </si>
  <si>
    <t>FP41</t>
  </si>
  <si>
    <t>"Đăng nhập vào tài khoản
Chọn tab cá nhân
Chọn mục yêu thích
Nhấn vào xem chi tiết sản phẩm
Kiểm tra hiển thị giá gốc của sản phẩm ( kích thước, màu sắc, định dạng )</t>
  </si>
  <si>
    <t>FP42</t>
  </si>
  <si>
    <t>Kiểm tra hiển thị nhãn mới "NEW"</t>
  </si>
  <si>
    <t>"Đăng nhập vào tài khoản
Chọn tab cá nhân
Chọn mục yêu thích
Nhấn vào xem chi tiết sản phẩm
Kiểm tra hiển thị nhãn sản phẩm mới</t>
  </si>
  <si>
    <t>Nhãn "NEW" hiển thị cạnh tên sản phẩm (nếu sản phẩm mới).</t>
  </si>
  <si>
    <t>FP43</t>
  </si>
  <si>
    <t>Kiểm tra hiển thị số lượng tồn kho của sản phẩm</t>
  </si>
  <si>
    <t>"Đăng nhập vào tài khoản
Chọn tab cá nhân
Chọn mục yêu thích
Nhấn vào xem chi tiết sản phẩm
Kiểm tra hiển thị số lượng tồn kho của sản phẩm</t>
  </si>
  <si>
    <t>Hiển thị đúng số lượng tồn kho và icon của sản phẩm</t>
  </si>
  <si>
    <t>FP44</t>
  </si>
  <si>
    <t>Kiểm tra chức năng nhắn tin với nhà bán hàng</t>
  </si>
  <si>
    <t>"Đăng nhập vào tài khoản
Chọn tab cá nhân
Chọn mục yêu thích
Nhấn vào xem chi tiết sản phẩm
Kiểm tra hiển thị chức năng nhắn tin ( icon hiển thị đúng màu, kích thước )</t>
  </si>
  <si>
    <t>Hiển thị đúng màu sắc, kích thước
Hộp thoại nhắn tin hoặc giao diện liên hệ với nhà bán hàng được mở.</t>
  </si>
  <si>
    <t>Chưa có</t>
  </si>
  <si>
    <t>FP45</t>
  </si>
  <si>
    <t>Kiểm tra chức năng chia sẻ sản phẩm</t>
  </si>
  <si>
    <t>"Đăng nhập vào tài khoản
Chọn tab cá nhân
Chọn mục yêu thích
Nhấn vào xem chi tiết sản phẩm
Kiểm tra hiển thị chức năng chia sẻ  ( icon hiển thị đúng màu, kích thước )</t>
  </si>
  <si>
    <t>Hiển thị đúng màu sắc, kích thước
Hiển thị màn hình chia sẻ</t>
  </si>
  <si>
    <t>FP46</t>
  </si>
  <si>
    <t>Kiểm tra khi nhấn nút chức năng hiển thị màn hình " Chia sẻ với bạn bè và gia đình</t>
  </si>
  <si>
    <t xml:space="preserve">"Đăng nhập vào tài khoản
Chọn tab cá nhân
Chọn mục yêu thích
Nhấn vào xem chi tiết sản phẩm
Nhấn vào nút chia sẻ --&gt; hiển thị màn hình chia sẻ 
Kiểm tra kích thước, cỡ chữ, màu sắc của màn hình '" Chia sẻ với bạn bè và gia đình " </t>
  </si>
  <si>
    <t>Hiển thị đúng màu sắc, kích thước, thước 
Hiển thị đủ chức năng  ( Sao chép liên kết, Lưu ảnh,Messenger, Facebook, Zalo, Instagram )</t>
  </si>
  <si>
    <t>FP47</t>
  </si>
  <si>
    <t>Kiểm tra hiển thị ở màn hình chia sẻ khi nhấn sao chép liên kết</t>
  </si>
  <si>
    <t xml:space="preserve">"Đăng nhập vào tài khoản
Chọn tab cá nhân
Chọn mục yêu thích
Nhấn vào xem chi tiết sản phẩm
Nhấn vào nút chia sẻ --&gt; hiển thị màn hình chia sẻ 
Kiểm tra nút Sao chép liên kết </t>
  </si>
  <si>
    <t>Hiển thị thông báo sao chép thành công sau khi nhấn sao chép liên kết</t>
  </si>
  <si>
    <t>FP48</t>
  </si>
  <si>
    <t>Kiểm tra hiển thị ở màn hình chia sẻ khi nhấn lưu ảnh</t>
  </si>
  <si>
    <t xml:space="preserve">"Đăng nhập vào tài khoản
Chọn tab cá nhân
Chọn mục yêu thích
Nhấn vào xem chi tiết sản phẩm
Nhấn vào nút chia sẻ --&gt; hiển thị màn hình chia sẻ 
Kiểm tra nút " Lưu ảnh  " </t>
  </si>
  <si>
    <t>Hiển thị thông báo " Lưu ảnh " thành công sau khi nhấn  " Lưu ảnh "</t>
  </si>
  <si>
    <t>FP49</t>
  </si>
  <si>
    <t>Kiểm tra hiển thị ở màn hình chia sẻ khi nhấn chọn " Messenger</t>
  </si>
  <si>
    <t xml:space="preserve">"Đăng nhập vào tài khoản
Chọn tab cá nhân
Chọn mục yêu thích
Nhấn vào xem chi tiết sản phẩm
Nhấn vào nút chia sẻ --&gt; hiển thị màn hình chia sẻ 
Kiểm tra nút " Messenger  " </t>
  </si>
  <si>
    <t>Hiển thị màn hình Messenger khi nhấn nút " Messenger "</t>
  </si>
  <si>
    <t>FP50</t>
  </si>
  <si>
    <t>Kiểm tra hiển thị ở màn hình chia sẻ khi nhấn chọn " Facebook "</t>
  </si>
  <si>
    <t xml:space="preserve">"Đăng nhập vào tài khoản
Chọn tab cá nhân
Chọn mục yêu thích
Nhấn vào xem chi tiết sản phẩm
Nhấn vào nút chia sẻ --&gt; hiển thị màn hình chia sẻ 
Kiểm tra nút " Facebook  " </t>
  </si>
  <si>
    <t>Hiển thị màn hình Messenger khi nhấn nút " Facebook "</t>
  </si>
  <si>
    <t>FP51</t>
  </si>
  <si>
    <t>Kiểm tra hiển thị ở màn hình chia sẻ khi nhấn chọn " Zalo "</t>
  </si>
  <si>
    <t xml:space="preserve">"Đăng nhập vào tài khoản
Chọn tab cá nhân
Chọn mục yêu thích
Nhấn vào xem chi tiết sản phẩm
Nhấn vào nút chia sẻ --&gt; hiển thị màn hình chia sẻ 
Kiểm tra nút " Zalo  " </t>
  </si>
  <si>
    <t>Hiển thị màn hình Messenger khi nhấn nút " Zalo "</t>
  </si>
  <si>
    <t>FP52</t>
  </si>
  <si>
    <t>Kiểm tra hiển ở màn hình chia sẻ khi nhấn chọn " Instagram "</t>
  </si>
  <si>
    <t xml:space="preserve">"Đăng nhập vào tài khoản
Chọn tab cá nhân
Chọn mục yêu thích
Nhấn vào xem chi tiết sản phẩm
Nhấn vào nút chia sẻ --&gt; hiển thị màn hình chia sẻ 
Kiểm tra nút " Instagram  " </t>
  </si>
  <si>
    <t>Hiển thị màn hình Messenger khi nhấn nút " Instagram "</t>
  </si>
  <si>
    <t>FP53</t>
  </si>
  <si>
    <t>Kiểm tra hiển thị thông tin chi tiết sản phẩm</t>
  </si>
  <si>
    <t>"Đăng nhập vào tài khoản
Chọn tab cá nhân
Chọn mục yêu thích
Nhấn vào xem chi tiết sản phẩm
Mở phần chi tiết sản phẩm phía dưới (  màu sắc, kích thước, cỡ kích )</t>
  </si>
  <si>
    <t>Thông tin chi tiết sản phẩm hiển thị đầy đủ.</t>
  </si>
  <si>
    <t>FP54</t>
  </si>
  <si>
    <t>Kiểm tra chức năng xem thêm sản phẩm</t>
  </si>
  <si>
    <t>"Đăng nhập vào tài khoản
Chọn tab cá nhân
Chọn mục yêu thích
Nhấn vào xem chi tiết sản phẩm
Nhấn vào " xem thêm " trong phần mô tả sản phẩm ( màu sắc, kích thước )</t>
  </si>
  <si>
    <t>Phần mô tả sản phẩm mở rộng hiển thị đầy đủ nội dung.</t>
  </si>
  <si>
    <t>FP55</t>
  </si>
  <si>
    <t>Kiểm tra nút quay lại</t>
  </si>
  <si>
    <t>"Đăng nhập vào tài khoản
Chọn tab cá nhân
Chọn mục yêu thích
Nhấn vào xem chi tiết sản phẩm
Nhấn vào  nút quay lại ở góc trái của màn hình</t>
  </si>
  <si>
    <t>Người dùng được quay về trang trước đó.</t>
  </si>
  <si>
    <t>FP56</t>
  </si>
  <si>
    <t>Kiểm tra hiển thị trang voucher khi người dùng nhấn vào link text "Xem tất cả"</t>
  </si>
  <si>
    <t>Dữ liệu thông tin sản phẩm được hiển thị đày đủ</t>
  </si>
  <si>
    <t>Điều hướng đến trang chi tiết sản phẩm
Cuộn xuống phía dưới trang
Kiểm tra và xác nhận hiển thị trang voucher khi người dùng nhấn vào link text "Xem tất cả"</t>
  </si>
  <si>
    <t>- hiển thị trang voucher khi người dùng nhấn vào link text "Xem tất cả"</t>
  </si>
  <si>
    <t>FP57</t>
  </si>
  <si>
    <t>Kiểm tra khi người dùng nhấn vào 1 voucher nhưng người dùng không đủ điều kiện để áp dụng voucher đó</t>
  </si>
  <si>
    <t>Điều hướng đến trang chi tiết sản phẩm
Chọn vào 1 voucher 
Kiểm tra và xác nhận người dùng sẽ không thực hiện được hành động khi nhấn vào 1 voucher khi không đủ điều kiện để áp dụng voucher</t>
  </si>
  <si>
    <t>- người dùng sẽ không thực hiện được hành động khi nhấn vào 1 voucher khi không đủ điều kiện để áp dụng voucher</t>
  </si>
  <si>
    <t>FP58</t>
  </si>
  <si>
    <t>Kiểm tra hiển thị đúng thông tin chi tiết voucher khi nhấn vào 1 voucher trong danh sách voucher</t>
  </si>
  <si>
    <t>Điều hướng đến trang chi tiết sản phẩm
Chọn vào 1 voucher
Kiểm tra và xác nhận hiển thị đúng thông tin chi tiết voucher khi nhấn vào 1 voucher trong danh sách</t>
  </si>
  <si>
    <t>- hiển thị đúng thông tin chi tiết voucher khi nhấn vào 1 voucher trong danh sách</t>
  </si>
  <si>
    <t>FP59</t>
  </si>
  <si>
    <t>Điều hướng đến trang chi tiết sản phẩm
Chọn vào 1 voucher
Kiểm tra và xác nhận hiển thị thông báo "Áp dụng thành công" và hiển thị tích xanh trên voucher được chọn khi người dùng áp dụng 1 voucher thành công</t>
  </si>
  <si>
    <t>- hiển thị thông báo "Áp dụng thành công" và hiển thị tích xanh trên voucher được chọn khi người dùng áp dụng 1 voucher thành công</t>
  </si>
  <si>
    <t>FP60</t>
  </si>
  <si>
    <t>Kiểm tra khi người dùng áp dụng nhiều voucher cho cùng 1 đơn hàng</t>
  </si>
  <si>
    <t>Điều hướng đến trang chi tiết sản phẩm
Chọn vào nhiều voucher 
Kiểm tra và xác nhận người dùng không thể thực hiệnh hành động chọn 1 voucher tiếp theo khi đã chọn 1 voucher khác, người dùng chỉ có thể chọn 1 trong những voucher mà đơn hàng đủ điều kiện để áp dụng</t>
  </si>
  <si>
    <t>- người dùng không thể thực hiện hành động chọn 1 voucher tiếp theo khi đã chọn 1 voucher khác, người dùng chỉ có thể chọn 1 trong những voucher mà đơn hàng đủ điều kiện để áp dụng</t>
  </si>
  <si>
    <t>FP61</t>
  </si>
  <si>
    <t>Kiểm tra các voucher trong danh sách không bị trùng</t>
  </si>
  <si>
    <t>Điều hướng đến trang chi tiết sản phẩm
Kiểm tra và xác nhận danh sách voucher hiển thị không bị trùng</t>
  </si>
  <si>
    <t>- danh sách voucher hiển thị không bị trùng</t>
  </si>
  <si>
    <t>FP62</t>
  </si>
  <si>
    <t xml:space="preserve">Kiểm tra hiển thị trang sản phẩm liên quan khi nhấn vào link text "Xem tất cả" </t>
  </si>
  <si>
    <t>Điều hướng đến trang chi tiết sản phẩm
Cuộn xuống phía dưới trang
Kiểm tra và xác nhận hiển thị trang sản phẩm liên quan khi nhấn vào link text "Xem tất cả"</t>
  </si>
  <si>
    <t>- hiển thị trang sản phẩm liên quan khi nhấn vào link text "Xem tất cả"</t>
  </si>
  <si>
    <t>FP63</t>
  </si>
  <si>
    <t>Kiểm tra các sản phẩm trong danh sách sản phẩm liên quan không bị trùng</t>
  </si>
  <si>
    <t>Điều hướng đến trang chi tiết sản phẩm
Cuộn xuống phía dưới trang
Kiểm tra và xác nhận sản phẩm trong danh sách sản phẩm liên quan không bị trùng</t>
  </si>
  <si>
    <t>- sản phẩm trong danh sách sản phẩm liên quan không bị trùng</t>
  </si>
  <si>
    <t>FP64</t>
  </si>
  <si>
    <t>Kiểm tra hiển thị dữ liệu đúng với sản phẩm liên quan</t>
  </si>
  <si>
    <t>Điều hướng đến trang chi tiết sản phẩm
Cuộn xuống phía dưới trang
Kiểm tra và xác nhận hiển thị danh sách dữ liệu sản phẩm liên quan đúng với sản phẩm</t>
  </si>
  <si>
    <t>-  hiển thị danh sách dữ liệu sản phẩm liên quan đúng với sản phẩm</t>
  </si>
  <si>
    <t>FP65</t>
  </si>
  <si>
    <t>Kiểm tra khi nhấn vào biểu tượng yêu thích sản phẩm thì biểu tượng chuyển sang màu cam và được lưu thành công vào danh sách sản phẩm yêu thích</t>
  </si>
  <si>
    <t>Điều hướng đến trang chi tiết sản phẩm
Click vào icon yêu thích trong 1 sản phẩm
Kiểm tra màu sắc của icon yêu thích chuyển sang màu đỏ
Trở lại trang chủ
Nhấn vào button "Cá nhân" 
Hệ thống chuyển đến trang "Thông tin cá nhân"
Click vào mục "Yêu thích"
Hệ thống điều hướng đến trang "Yêu thích"
Kiểm tra và xác nhận sản phẩm đã tồn tại trong danh sách yêu thích và được hiển thị đúng thông tin</t>
  </si>
  <si>
    <t>-  khi nhấn vào biểu tượng yêu thích sản phẩm thì biểu tượng chuyển sang màu cam và được lưu thành công vào danh sách sản phẩm yêu thích</t>
  </si>
  <si>
    <t>FP66</t>
  </si>
  <si>
    <t>Kiểm tra khi nhấn vào icon cart thì sản phẩm được thêm vào giỏ hàng thành công và hiển thị thông báo thêm thành công</t>
  </si>
  <si>
    <t>Điều hướng đến trang chi tiết sản phẩm
Click vào icon cart trong vùng hiển thị 1 sản phẩm
Kiểm ra và xác nhận hiển thị thông báo "Thêm thành công" 
Nhấn vào button chứa icon giỏ hàng dưới thanh menu 
Kiểm tra và xác nhận sản phẩm đã tồn tại trong danh sách giỏ hàng và được hiển thị đúng thông tin</t>
  </si>
  <si>
    <t>-  khi nhấn vào icon cart thì sản phẩm được thêm vào giỏ hàng thành công và hiển thị thông báo thêm thành công</t>
  </si>
  <si>
    <t>FP67</t>
  </si>
  <si>
    <t>Kiểm tra khi nhấn vào button cart "Thêm giỏ hàng" thì chuyển sang trang giỏ hàng</t>
  </si>
  <si>
    <t xml:space="preserve">Điều hướng đến trang chi tiết sản phẩm
Cuộn xuống phía dưới trang
Nhấn vào button cart "Thêm giỏ hàng"
Kiểm tra và xác nhận hệ thống chuyển sang trang "Giỏ hàng" </t>
  </si>
  <si>
    <t xml:space="preserve">- hệ thống chuyển sang trang "Giỏ hàng" </t>
  </si>
  <si>
    <t>FP68</t>
  </si>
  <si>
    <t>Kiểm tra khi nhấn vào button cart "Thêm giỏ hàng" thì dữ liệu được hiển thị đúng trên trang GIỏ hàng</t>
  </si>
  <si>
    <t>Điều hướng đến trang chi tiết sản phẩm
Cuộn xuống phía dưới trang
Nhấn vào button cart "Thêm giỏ hàng"
Kiểm tra và xác nhận hiển thị đúng thông tin dữ liệu trên trang Giỏ hàng</t>
  </si>
  <si>
    <t>hiển thị đúng thông tin dữ liệu sản phẩm trên trang Giỏ hàng</t>
  </si>
  <si>
    <t>FP69</t>
  </si>
  <si>
    <t>Kiểm tra khi nhấn vào button mua ngay thì hiển thị hộp thoại thông báo chứa dữ liệu của sản phẩm</t>
  </si>
  <si>
    <t>Điều hướng đến trang chi tiết sản phẩm
Cuộn xuống phía dưới trang
Nhấn vào button cart "Mua ngay"
Kiểm tra và xác nhận hệ thống hiển thị hộp thoại thông báo chứa dữ liệu của sản phẩm</t>
  </si>
  <si>
    <t>- hệ thống hiển thị hộp thoại thông báo chứa dữ liệu của sản phẩm</t>
  </si>
  <si>
    <t>FP70</t>
  </si>
  <si>
    <t>Kiểm tra hình ảnh sản phẩm hiển thị đúng trên hộp thoại khi nhấn vào button mua ngay</t>
  </si>
  <si>
    <t>Điều hướng đến trang chi tiết sản phẩm
Cuộn xuống phía dưới trang
Nhấn vào button cart "Mua ngay"
Kiểm tra và xác nhận hình ảnh sản phẩm hiển thị tương ứng trước đó khi nhấn vào button "Mua ngay"</t>
  </si>
  <si>
    <t>- hình ảnh sản phẩm hiển thị tương ứng trước đó khi nhấn vào button "Mua ngay"</t>
  </si>
  <si>
    <t>FP71</t>
  </si>
  <si>
    <t>Kiểm tra hiển thị đúng thương hiệu sản phẩm trên hộp thoại</t>
  </si>
  <si>
    <t>Điều hướng đến trang chi tiết sản phẩm
Cuộn xuống phía dưới trang
Nhấn vào button cart "Mua ngay"
Kiểm tra và xác nhận thương hiệu sản phẩm hiển thị đúng và tương ứng khi nhấn vào button "Mua ngay"</t>
  </si>
  <si>
    <t>- thương hiệu sản phẩm hiển thị đúng và tương ứng khi nhấn vào button "Mua ngay"</t>
  </si>
  <si>
    <t>FP72</t>
  </si>
  <si>
    <t>Kiểm tra hiển thị đúng giá tiền sản phẩm trên hộp thoại</t>
  </si>
  <si>
    <t>Điều hướng đến trang chi tiết sản phẩm
Cuộn xuống phía dưới trang
Nhấn vào button cart "Mua ngay"
Kiểm tra và xác nhận giá tiền sản phẩm hiển thị đúng và tương ứng khi nhấn vào button "Mua ngay"</t>
  </si>
  <si>
    <t>-giá tiền sản phẩm hiển thị đúng và tương ứng khi nhấn vào button "Mua ngay"</t>
  </si>
  <si>
    <t>FP73</t>
  </si>
  <si>
    <t>Kiểm tra hiển thị giá gốc sản phẩm trên hộp thoại</t>
  </si>
  <si>
    <t>Điều hướng đến trang chi tiết sản phẩm
Cuộn xuống phía dưới trang
Nhấn vào button cart "Mua ngay"
Kiểm tra và xác nhận giá tiền gốc sản phẩm hiển thị đúng và tương ứng khi nhấn vào button "Mua ngay"</t>
  </si>
  <si>
    <t>- giá tiền gốc sản phẩm hiển thị đúng và tương ứng khi nhấn vào button "Mua ngay"</t>
  </si>
  <si>
    <t>FP74</t>
  </si>
  <si>
    <t xml:space="preserve">Kiểm tra tên sản phẩm hiển thị đúng trên hộp thoại </t>
  </si>
  <si>
    <t>Điều hướng đến trang chi tiết sản phẩm
Cuộn xuống phía dưới trang
Nhấn vào button cart "Mua ngay"
Kiểm tra và xác nhận tên sản phẩm hiển thị đúng và tương ứng khi nhấn vào button "Mua ngay"</t>
  </si>
  <si>
    <t>- tên sản phẩm hiển thị đúng và tương ứng khi nhấn vào button "Mua ngay"</t>
  </si>
  <si>
    <t>FP75</t>
  </si>
  <si>
    <t>Kiểm tra hiển thị đúng số lượng mặc định là 1 trên hộp thoại</t>
  </si>
  <si>
    <t>Điều hướng đến trang chi tiết sản phẩm
Cuộn xuống phía dưới trang
Nhấn vào button cart "Mua ngay"
Kiểm tra và xác nhận số lượng sản phẩm mặc định hiển thị đúng và tương ứng trên hộp thoại khi nhấn vào button "Mua ngay"</t>
  </si>
  <si>
    <t>-  hiển thị đúng số lượng mặc định là 1 trên hộp thoại</t>
  </si>
  <si>
    <t>FP76</t>
  </si>
  <si>
    <t>Kiểm tra khi không áp dụng mã giảm giá thì có hiển thị số tiền được giảm hay text đã áp dụng giảm giá</t>
  </si>
  <si>
    <t>Điều hướng đến trang chi tiết sản phẩm
Cuộn xuống phía dưới trang
Nhấn vào button cart "Mua ngay"
Kiểm tra và xác nhận khi không áp dụng mã giảm giá thì chỉ hiển thị tổng số tiền</t>
  </si>
  <si>
    <t>-  khi không áp dụng mã giảm giá thì chỉ hiển thị tổng số tiền</t>
  </si>
  <si>
    <t>FP77</t>
  </si>
  <si>
    <t xml:space="preserve">Kiểm tra hiển thị số tiền giảm giá đúng khi áp dụng voucher </t>
  </si>
  <si>
    <t>Điều hướng đến trang chi tiết sản phẩm
Cuộn xuống phía dưới trang
Nhấn vào button cart "Mua ngay"
Kiểm tra và xác nhận hiển thị số tiền giảm giá đúng khi áp dụng voucher</t>
  </si>
  <si>
    <t>FP78</t>
  </si>
  <si>
    <t xml:space="preserve">Kiểm tra tổng số tiền sản phẩm sau khi đã áp dụng voucher hiển thị đúng trên hộp thoại khi nhấn vào button mua hàng </t>
  </si>
  <si>
    <t xml:space="preserve">Điều hướng đến trang chi tiết sản phẩm
Cuộn xuống phía dưới trang
Nhấn vào button cart "Mua ngay"
Kiểm tra và xác nhận hiển thị tổng số tiền sản phẩm sau khi đã áp dụng voucher hiển thị đúng trên hộp thoại khi nhấn vào button mua hàng </t>
  </si>
  <si>
    <t xml:space="preserve">- tổng số tiền sản phẩm sau khi đã áp dụng voucher hiển thị đúng trên hộp thoại khi nhấn vào button mua hàng </t>
  </si>
  <si>
    <t>FP79</t>
  </si>
  <si>
    <t xml:space="preserve">Kiểm tra số lượng sản phẩm giảm khi nhấn vào button (-) </t>
  </si>
  <si>
    <t>Điều hướng đến trang chi tiết sản phẩm
Cuộn xuống phía dưới trang
Nhấn vào button cart "Mua ngay"
Nhấn vào button (-) 
Kiểm tra và xác nhận số lượng sản phẩm giảm</t>
  </si>
  <si>
    <t>- số lượng sản phẩm giảm khi nhấn vào button (-)</t>
  </si>
  <si>
    <t>FP80</t>
  </si>
  <si>
    <t>Kiểm tra số lượng sản phẩm tăng khi nhấn vào button (+)</t>
  </si>
  <si>
    <t>Điều hướng đến trang chi tiết sản phẩm
Cuộn xuống phía dưới trang
Nhấn vào button cart "Mua ngay"
Nhấn vào button (+) 
Kiểm tra và xác nhận số lượng sản phẩm tăng</t>
  </si>
  <si>
    <t>- số lượng sản phẩm tăng khi nhấn vào button (+)</t>
  </si>
  <si>
    <t>FP81</t>
  </si>
  <si>
    <t>Kiểm tra hiển thị tổng tiền hàng</t>
  </si>
  <si>
    <t xml:space="preserve">Điều hướng đến trang chi tiết sản phẩm
Cuộn xuống phía dưới trang
Nhấn vào button cart "Mua ngay"
Kiểm tra hiển tổng tiền hàng khi tăng hoặc giảm thêm số lượng sản phẩm
</t>
  </si>
  <si>
    <t>Hiển thị đúng số tiền sản phẩm khi tăng hoặc giảm</t>
  </si>
  <si>
    <t>FP82</t>
  </si>
  <si>
    <t>Kiểm tra hiển thị tổng tiền phí vận chuyển</t>
  </si>
  <si>
    <t xml:space="preserve">Điều hướng đến trang chi tiết sản phẩm
Cuộn xuống phía dưới trang
Nhấn vào button cart "Mua ngay"
Kiểm tra hiển thị tổng tiền phí vận chuyển của đơn hàng
</t>
  </si>
  <si>
    <t>Hiển thị đúng số tiền phí vận chuyển của đơn hàng</t>
  </si>
  <si>
    <t>FP83</t>
  </si>
  <si>
    <t>Kiểm tra hiển thị tổng thanh toán</t>
  </si>
  <si>
    <t xml:space="preserve">Điều hướng đến trang chi tiết sản phẩm
Cuộn xuống phía dưới trang
Nhấn vào button cart "Mua ngay" 
Kiểm tra hiển thị tổng tiền thanh toán </t>
  </si>
  <si>
    <t>Hiển thị đúng tổng tiền thanh toán</t>
  </si>
  <si>
    <t>FP84</t>
  </si>
  <si>
    <t>Kiểm tra hệ thống chuyển trang "Giỏ hàng của tôi" khi nhấn vào button "Tiến hành thanh toán"</t>
  </si>
  <si>
    <t>Điều hướng đến trang chi tiết sản phẩm
Cuộn xuống phía dưới trang
Nhấn vào button cart "Mua ngay"
Nhấn vào button "Tiến hành thanh toán"
Kiểm tra và xác nhận hệ thống chuyển sang trang "Giỏ hàng"</t>
  </si>
  <si>
    <t>FP85</t>
  </si>
  <si>
    <t>Kiểm tra hiển thị đúng thông tin sản phẩm khi nhấn vào button tiến hành thanh toán</t>
  </si>
  <si>
    <t>Điều hướng đến trang chi tiết sản phẩm
Cuộn xuống phía dưới trang
Nhấn vào button cart "Mua ngay"
Nhấn vào button "Tiến hành thanh toán"
Hệ thống chuyển sang trang "Giỏ hàng"
Kiểm tra và xác nhận hiển thị đúng dữ liệu thông tin sản phẩm trên trang "Giỏ hàng"</t>
  </si>
  <si>
    <t>- hiển thị đúng dữ liệu thông tin sản phẩm trên trang "Giỏ hàng"</t>
  </si>
  <si>
    <t>FP86</t>
  </si>
  <si>
    <t xml:space="preserve">Kiểm tra hệ thống hiển thị "Hết hàng" khi sản phẩm  có sẵn bé hơn 1 </t>
  </si>
  <si>
    <t>Điều hướng đến trang chi tiết sản phẩm
Kiểm tra hiển thị "Hết hàng" khi sản phẩm đang trong trạng thái hết hàng</t>
  </si>
  <si>
    <t>Hiển thị " Hết hàng" chữ màu đỏ và kèm icon</t>
  </si>
  <si>
    <t>FP87</t>
  </si>
  <si>
    <t>Kiểm tra hệ thống hiển thị button "Liên Hệ" khi hết hàng</t>
  </si>
  <si>
    <t>Điều hướng đến trang chi tiết sản phẩm
Kiểm tra hệ thống hiển thị button "Liên hệ" khi hết hàng</t>
  </si>
  <si>
    <t>- hệ thống hiển thị nút “Liên hệ” khi hết hàng</t>
  </si>
  <si>
    <t>FP88</t>
  </si>
  <si>
    <t>Kiểm tra hệ thống chuyển tới link Zalo OA khi nhấn vào button liên hệ</t>
  </si>
  <si>
    <t>Điều hướng đến trang chi tiết sản phẩm
Nhấn button "Liên Hệ"
Kiểm tra hệ thống chuyển tới link Zalo OA</t>
  </si>
  <si>
    <t>- hệ thống chuyển hướng về link Zalo OA khi nhấn vào nút liên hệ</t>
  </si>
  <si>
    <t>OH01</t>
  </si>
  <si>
    <t>Người dùng ở màn hình " Lịch sử đơn hàng "</t>
  </si>
  <si>
    <t>Đăng nhập vào tài khoản
Chọn tab Cá nhân 
Chọn Đơn hàng --&gt; xem tất cả
Quan sát màn hình Lịch sử đơn hàng</t>
  </si>
  <si>
    <t>Chưa in đậm thanh header " Lịch sử đơn hàng "</t>
  </si>
  <si>
    <t>OH02</t>
  </si>
  <si>
    <t>Thanh trạng thái</t>
  </si>
  <si>
    <t>Đăng nhập vào tài khoản
Chọn tab Cá nhân 
Chọn Đơn hàng --&gt; xem tất cả
Quan sát thanh trạng thái của lịch sử đơn hàng ( kiểm tra kích thước , màu sắc, cỡ chữ _</t>
  </si>
  <si>
    <t xml:space="preserve">Hiển thị đúng màu sắc, kích thước,cỡ chữ 
</t>
  </si>
  <si>
    <t>Không in đậm khi chọn từng trạng thái</t>
  </si>
  <si>
    <t>OH03</t>
  </si>
  <si>
    <t xml:space="preserve"> Lịch sử đơn hàng - UI</t>
  </si>
  <si>
    <t>Hiển thị tab "Tất cả"</t>
  </si>
  <si>
    <t>Điều kiện có sẵn đơn hàng</t>
  </si>
  <si>
    <t xml:space="preserve">Đăng nhập vào tài khoản
Chọn tab Cá nhân 
Chọn Đơn hàng --&gt; xem tất cả 
Chọn tab " Tất cả "
</t>
  </si>
  <si>
    <t>Hiển thị tất cả đơn hàng đã đặt.</t>
  </si>
  <si>
    <t>OH04</t>
  </si>
  <si>
    <t>Kiểm tra mã đơn hàng</t>
  </si>
  <si>
    <t>Đăng nhập vào tài khoản
Chọn tab Cá nhân 
Chọn Đơn hàng --&gt; xem tất cả 
Chọn tab " Tất cả " 
Kiểm tra mã đơn hàng</t>
  </si>
  <si>
    <t>Hiển thị đúng mã đơn hàng</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</si>
  <si>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</si>
  <si>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OH05</t>
  </si>
  <si>
    <t>Kiểm tra thời gian đặt hàng</t>
  </si>
  <si>
    <t>Đăng nhập vào tài khoản
Chọn tab Cá nhân 
Chọn Đơn hàng --&gt; xem tất cả 
Chọn tab " Tất cả " 
Kiểm tra thời gian đặt hàng</t>
  </si>
  <si>
    <t>Hiển thị đúng thời gian đặt hàng</t>
  </si>
  <si>
    <t>OH06</t>
  </si>
  <si>
    <t>Kiểm tra hiển thị tên sản phẩm</t>
  </si>
  <si>
    <t>Đăng nhập vào tài khoản
Chọn tab Cá nhân 
Chọn Đơn hàng --&gt; xem tất cả 
Chọn tab " Tất cả " 
Kiểm tra tên sản phẩm</t>
  </si>
  <si>
    <t>Hiển thị đúng tên sản phẩm</t>
  </si>
  <si>
    <t>OH07</t>
  </si>
  <si>
    <t>Kiểm tra hiển thị số lượng</t>
  </si>
  <si>
    <t>Đăng nhập vào tài khoản
Chọn tab Cá nhân 
Chọn Đơn hàng --&gt; xem tất cả 
Chọn tab " Tất cả " 
Kiểm tra số lượng</t>
  </si>
  <si>
    <t>Hiển thị đúng số lượng</t>
  </si>
  <si>
    <t>OH08</t>
  </si>
  <si>
    <t>Kiểm tra hiển thị giá gốc</t>
  </si>
  <si>
    <t xml:space="preserve">Đăng nhập vào tài khoản
Chọn tab Cá nhân 
Chọn Đơn hàng --&gt; xem tất cả 
Chọn tab " Tất cả " 
Kiểm tra giá gốc </t>
  </si>
  <si>
    <t>Hiển thị đúng giá gốc</t>
  </si>
  <si>
    <t>OH09</t>
  </si>
  <si>
    <t>Kiểm tra hiển thị gía sau giảm</t>
  </si>
  <si>
    <t>Đăng nhập vào tài khoản
Chọn tab Cá nhân 
Chọn Đơn hàng --&gt; xem tất cả 
Chọn tab " Tất cả " 
Kiểm tra giá sau giảm</t>
  </si>
  <si>
    <t>Hiển thị đúng giá sau giảm và giá sau giảm giá không cần in đậm</t>
  </si>
  <si>
    <t>Gía sau giảm giá in đậm</t>
  </si>
  <si>
    <t>OH10</t>
  </si>
  <si>
    <t>Đăng nhập vào tài khoản
Chọn tab Cá nhân 
Chọn Đơn hàng --&gt; xem tất cả 
Chọn tab " Tất cả " 
Kiểm tra hình ảnh sản phẩm</t>
  </si>
  <si>
    <t>Hiển thị hình ảnh sản phẩm</t>
  </si>
  <si>
    <t xml:space="preserve">Chưa hiển thị hình ảnh sản phầm </t>
  </si>
  <si>
    <t>OH11</t>
  </si>
  <si>
    <t xml:space="preserve"> Kiểm tra ghi chú </t>
  </si>
  <si>
    <t xml:space="preserve">Đăng nhập vào tài khoản
Chọn tab Cá nhân 
Chọn Đơn hàng --&gt; xem tất cả 
Chọn tab " Tất cả " 
Kiểm tra ghi chú </t>
  </si>
  <si>
    <t>Hiển thị đúng ghi chú</t>
  </si>
  <si>
    <t>OH12</t>
  </si>
  <si>
    <t>Kiểm tra khi nhấn vào xem chi tiết sản phẩm</t>
  </si>
  <si>
    <t>Đăng nhập vào tài khoản
Chọn tab Cá nhân 
Chọn Đơn hàng --&gt; xem tất cả 
Chọn tab " Tất cả " 
Nhấn chọn vào 1 chỗ bất kì để xem chi tiết sản phẩm --&gt; kiểm tra vùng tương tác không phù hợp</t>
  </si>
  <si>
    <t>Chọn vào bất kì vị trí nào cũng xem được chi tiết</t>
  </si>
  <si>
    <t>Vùng tương tác phù hợp</t>
  </si>
  <si>
    <t>Vùng tương tác không phù hợp</t>
  </si>
  <si>
    <t>OH13</t>
  </si>
  <si>
    <t>Kiểm tra khi loading danh sách sản phẩm</t>
  </si>
  <si>
    <t>Đăng nhập vào tài khoản
Chọn tab Cá nhân 
Chọn Đơn hàng --&gt; xem tất cả 
Chọn tab " Tất cả " 
Kiểm tra thao tác khi loading  sản phẩm</t>
  </si>
  <si>
    <t>Hiển thị " Đang tải thêm " khi loading sản phẩm</t>
  </si>
  <si>
    <t>OH14</t>
  </si>
  <si>
    <t>Kiểm tra khoảng cách giữ các dòng với nhau</t>
  </si>
  <si>
    <t>Đăng nhập vào tài khoản
Chọn tab Cá nhân 
Chọn Đơn hàng --&gt; xem tất cả 
Chọn tab " Tất cả " 
Kiểm tra khoảng cách giữa các dòng với nhau</t>
  </si>
  <si>
    <t>- Khoảng cách giữa thanh header " Lịch sử đơn hàng " và tab trạng thái "
- Khoảng cách giữa " Ghi chú " và " Tổng số tiền "
- Khoảng cách giữa tab " Chờ xác nhận " và " Mã đơn hàng "</t>
  </si>
  <si>
    <t>Hiển thị đúng khoảng cách</t>
  </si>
  <si>
    <t>Hiển thị sai khoảng cách</t>
  </si>
  <si>
    <t>OH15</t>
  </si>
  <si>
    <t>Hiển thị tab "Chờ xác nhận"</t>
  </si>
  <si>
    <t xml:space="preserve">Đăng nhập vào tài khoản
Chọn tab Cá nhân 
Chọn Đơn hàng --&gt; xem tất cả 
Chọn tab " Chờ xác nhận "
</t>
  </si>
  <si>
    <t>Hiển thị đơn hàng đang chờ xác nhận.</t>
  </si>
  <si>
    <t>OH16</t>
  </si>
  <si>
    <t>Đăng nhập vào tài khoản
Chọn tab Cá nhân 
Chọn Đơn hàng --&gt; xem tất cả 
Chọn tab " Chờ xác nhận " 
Kiểm tra mã đơn hàng</t>
  </si>
  <si>
    <t>OH17</t>
  </si>
  <si>
    <t>Đăng nhập vào tài khoản
Chọn tab Cá nhân 
Chọn Đơn hàng --&gt; xem tất cả 
Chọn tab " Chờ xác nhận " 
Kiểm tra thời gian đặt hàng</t>
  </si>
  <si>
    <t>OH18</t>
  </si>
  <si>
    <t>Đăng nhập vào tài khoản
Chọn tab Cá nhân 
Chọn Đơn hàng --&gt; xem tất cả 
Chọn tab " Chờ xác nhận " 
Kiểm tra tên sản phẩm</t>
  </si>
  <si>
    <t>OH19</t>
  </si>
  <si>
    <t>Đăng nhập vào tài khoản
Chọn tab Cá nhân 
Chọn Đơn hàng --&gt; xem tất cả 
Chọn tab " Chờ xác nhận " 
Kiểm tra số lượng</t>
  </si>
  <si>
    <t>OH20</t>
  </si>
  <si>
    <t xml:space="preserve">Đăng nhập vào tài khoản
Chọn tab Cá nhân 
Chọn Đơn hàng --&gt; xem tất cả 
Chọn tab " Chờ xác nhận " 
Kiểm tra giá gốc </t>
  </si>
  <si>
    <t>OH21</t>
  </si>
  <si>
    <t>Đăng nhập vào tài khoản
Chọn tab Cá nhân 
Chọn Đơn hàng --&gt; xem tất cả 
Chọn tab " Chờ xác nhận " 
Kiểm tra giá sau giảm</t>
  </si>
  <si>
    <t>Hiển thị đúng giá sau giảm</t>
  </si>
  <si>
    <t>OH22</t>
  </si>
  <si>
    <t>Đăng nhập vào tài khoản
Chọn tab Cá nhân 
Chọn Đơn hàng --&gt; xem tất cả 
Chọn tab " Chờ xác nhận " 
Kiểm tra hình ảnh sản phẩm</t>
  </si>
  <si>
    <t>OH23</t>
  </si>
  <si>
    <t xml:space="preserve">Đăng nhập vào tài khoản
Chọn tab Cá nhân 
Chọn Đơn hàng --&gt; xem tất cả 
Chọn tab " Chờ xác nhận " 
Kiểm tra ghi chú </t>
  </si>
  <si>
    <t>OH24</t>
  </si>
  <si>
    <t>Đăng nhập vào tài khoản
Chọn tab Cá nhân 
Chọn Đơn hàng --&gt; xem tất cả 
Chọn tab " Chờ xác nhận " 
Kiểm tra thao tác khi loading  sản phẩm</t>
  </si>
  <si>
    <t>OH25</t>
  </si>
  <si>
    <t>Đăng nhập vào tài khoản
Chọn tab Cá nhân 
Chọn Đơn hàng --&gt; xem tất cả 
Chọn tab " Chờ xác nhận " 
Kiểm tra khoảng cách giữa các dòng với nhau</t>
  </si>
  <si>
    <t>OH26</t>
  </si>
  <si>
    <t>Hiển thị tab " Đang xử lý "</t>
  </si>
  <si>
    <t xml:space="preserve">Đăng nhập vào tài khoản
Chọn tab Cá nhân 
Chọn Đơn hàng --&gt; xem tất cả 
Chọn tab " Đang xử lý "
</t>
  </si>
  <si>
    <t>OH27</t>
  </si>
  <si>
    <t>Đăng nhập vào tài khoản
Chọn tab Cá nhân 
Chọn Đơn hàng --&gt; xem tất cả 
Chọn tab " Đang xử lý " 
Kiểm tra mã đơn hàng</t>
  </si>
  <si>
    <t>OH28</t>
  </si>
  <si>
    <t>Đăng nhập vào tài khoản
Chọn tab Cá nhân 
Chọn Đơn hàng --&gt; xem tất cả 
Chọn tab " Đang xử lý " 
Kiểm tra thời gian đặt hàng</t>
  </si>
  <si>
    <t>OH29</t>
  </si>
  <si>
    <t>Đăng nhập vào tài khoản
Chọn tab Cá nhân 
Chọn Đơn hàng --&gt; xem tất cả 
Chọn tab " Đang xử lý " 
Kiểm tra tên sản phẩm</t>
  </si>
  <si>
    <t>OH30</t>
  </si>
  <si>
    <t>Đăng nhập vào tài khoản
Chọn tab Cá nhân 
Chọn Đơn hàng --&gt; xem tất cả 
Chọn tab " Đang xử lý " 
Kiểm tra số lượng</t>
  </si>
  <si>
    <t>OH31</t>
  </si>
  <si>
    <t xml:space="preserve">Đăng nhập vào tài khoản
Chọn tab Cá nhân 
Chọn Đơn hàng --&gt; xem tất cả 
Chọn tab " Đang xử lý " 
Kiểm tra giá gốc </t>
  </si>
  <si>
    <t>OH32</t>
  </si>
  <si>
    <t>Đăng nhập vào tài khoản
Chọn tab Cá nhân 
Chọn Đơn hàng --&gt; xem tất cả 
Chọn tab " Đang xử lý " 
Kiểm tra giá sau giảm</t>
  </si>
  <si>
    <t>OH33</t>
  </si>
  <si>
    <t>Đăng nhập vào tài khoản
Chọn tab Cá nhân 
Chọn Đơn hàng --&gt; xem tất cả 
Chọn tab " Đang xử lý " 
Kiểm tra hình ảnh sản phẩm</t>
  </si>
  <si>
    <t>OH34</t>
  </si>
  <si>
    <t xml:space="preserve">Đăng nhập vào tài khoản
Chọn tab Cá nhân 
Chọn Đơn hàng --&gt; xem tất cả 
Chọn tab " Đang xử lý " 
Kiểm tra ghi chú </t>
  </si>
  <si>
    <t>OH35</t>
  </si>
  <si>
    <t>OH36</t>
  </si>
  <si>
    <t>OH37</t>
  </si>
  <si>
    <t>Hiển thị tab " Đang giao "</t>
  </si>
  <si>
    <t xml:space="preserve">Đăng nhập vào tài khoản
Chọn tab Cá nhân 
Chọn Đơn hàng --&gt; xem tất cả 
Chọn tab " Đang giao "
</t>
  </si>
  <si>
    <t>OH38</t>
  </si>
  <si>
    <t>Đăng nhập vào tài khoản
Chọn tab Cá nhân 
Chọn Đơn hàng --&gt; xem tất cả 
Chọn tab " Đang giao " 
Kiểm tra mã đơn hàng</t>
  </si>
  <si>
    <t>OH39</t>
  </si>
  <si>
    <t>Đăng nhập vào tài khoản
Chọn tab Cá nhân 
Chọn Đơn hàng --&gt; xem tất cả 
Chọn tab " Đang giao " 
Kiểm tra thời gian đặt hàng</t>
  </si>
  <si>
    <t>OH40</t>
  </si>
  <si>
    <t>Đăng nhập vào tài khoản
Chọn tab Cá nhân 
Chọn Đơn hàng --&gt; xem tất cả 
Chọn tab " Đang giao " 
Kiểm tra tên sản phẩm</t>
  </si>
  <si>
    <t>OH41</t>
  </si>
  <si>
    <t>Đăng nhập vào tài khoản
Chọn tab Cá nhân 
Chọn Đơn hàng --&gt; xem tất cả 
Chọn tab " Đang giao " 
Kiểm tra số lượng</t>
  </si>
  <si>
    <t>OH42</t>
  </si>
  <si>
    <t xml:space="preserve">Đăng nhập vào tài khoản
Chọn tab Cá nhân 
Chọn Đơn hàng --&gt; xem tất cả 
Chọn tab " Đang giao" 
Kiểm tra giá gốc </t>
  </si>
  <si>
    <t>OH43</t>
  </si>
  <si>
    <t>Đăng nhập vào tài khoản
Chọn tab Cá nhân 
Chọn Đơn hàng --&gt; xem tất cả 
Chọn tab " Đang giao " 
Kiểm tra giá sau giảm</t>
  </si>
  <si>
    <t>OH44</t>
  </si>
  <si>
    <t>Đăng nhập vào tài khoản
Chọn tab Cá nhân 
Chọn Đơn hàng --&gt; xem tất cả 
Chọn tab " Đang giao" 
Kiểm tra hình ảnh sản phẩm</t>
  </si>
  <si>
    <t>OH45</t>
  </si>
  <si>
    <t xml:space="preserve">Đăng nhập vào tài khoản
Chọn tab Cá nhân 
Chọn Đơn hàng --&gt; xem tất cả 
Chọn tab " Đang giao " 
Kiểm tra ghi chú </t>
  </si>
  <si>
    <t>OH46</t>
  </si>
  <si>
    <t>OH47</t>
  </si>
  <si>
    <t>OH48</t>
  </si>
  <si>
    <t>Hiển thị tab " Đã giao "</t>
  </si>
  <si>
    <t xml:space="preserve">Đăng nhập vào tài khoản
Chọn tab Cá nhân 
Chọn Đơn hàng --&gt; xem tất cả 
Chọn tab " Đã giao "
</t>
  </si>
  <si>
    <t>OH49</t>
  </si>
  <si>
    <t>Đăng nhập vào tài khoản
Chọn tab Cá nhân 
Chọn Đơn hàng --&gt; xem tất cả 
Chọn tab " Đã giao " 
Kiểm tra mã đơn hàng</t>
  </si>
  <si>
    <t>OH50</t>
  </si>
  <si>
    <t>Đăng nhập vào tài khoản
Chọn tab Cá nhân 
Chọn Đơn hàng --&gt; xem tất cả 
Chọn tab " Đã giao " 
Kiểm tra thời gian đặt hàng</t>
  </si>
  <si>
    <t>OH51</t>
  </si>
  <si>
    <t>Đăng nhập vào tài khoản
Chọn tab Cá nhân 
Chọn Đơn hàng --&gt; xem tất cả 
Chọn tab " Đã giao " 
Kiểm tra tên sản phẩm</t>
  </si>
  <si>
    <t>OH52</t>
  </si>
  <si>
    <t>Đăng nhập vào tài khoản
Chọn tab Cá nhân 
Chọn Đơn hàng --&gt; xem tất cả 
Chọn tab " Đã giao " 
Kiểm tra số lượng</t>
  </si>
  <si>
    <t>OH53</t>
  </si>
  <si>
    <t>OH54</t>
  </si>
  <si>
    <t>Đăng nhập vào tài khoản
Chọn tab Cá nhân 
Chọn Đơn hàng --&gt; xem tất cả 
Chọn tab " Đã giao " 
Kiểm tra giá sau giảm</t>
  </si>
  <si>
    <t>OH55</t>
  </si>
  <si>
    <t>Đăng nhập vào tài khoản
Chọn tab Cá nhân 
Chọn Đơn hàng --&gt; xem tất cả 
Chọn tab " Đã giao " 
Kiểm tra hình ảnh sản phẩm</t>
  </si>
  <si>
    <t>OH56</t>
  </si>
  <si>
    <t xml:space="preserve">Đăng nhập vào tài khoản
Chọn tab Cá nhân 
Chọn Đơn hàng --&gt; xem tất cả 
Chọn tab " Đã giao " 
Kiểm tra ghi chú </t>
  </si>
  <si>
    <t>OH57</t>
  </si>
  <si>
    <t>Hiển thị tab " Đã huỷ "</t>
  </si>
  <si>
    <t xml:space="preserve">Đăng nhập vào tài khoản
Chọn tab Cá nhân 
Chọn Đơn hàng --&gt; xem tất cả 
Chọn tab " Đã huỷ "
</t>
  </si>
  <si>
    <t>OH58</t>
  </si>
  <si>
    <t>Đăng nhập vào tài khoản
Chọn tab Cá nhân 
Chọn Đơn hàng --&gt; xem tất cả 
Chọn tab " Đã huỷ " 
Kiểm tra mã đơn hàng</t>
  </si>
  <si>
    <t>OH59</t>
  </si>
  <si>
    <t>Đăng nhập vào tài khoản
Chọn tab Cá nhân 
Chọn Đơn hàng --&gt; xem tất cả 
Chọn tab " Đã huỷ " 
Kiểm tra thời gian đặt hàng</t>
  </si>
  <si>
    <t>OH60</t>
  </si>
  <si>
    <t>Đăng nhập vào tài khoản
Chọn tab Cá nhân 
Chọn Đơn hàng --&gt; xem tất cả 
Chọn tab " Đã huỷ " 
Kiểm tra tên sản phẩm</t>
  </si>
  <si>
    <t>OH61</t>
  </si>
  <si>
    <t>Đăng nhập vào tài khoản
Chọn tab Cá nhân 
Chọn Đơn hàng --&gt; xem tất cả 
Chọn tab " Đã huỷ " 
Kiểm tra số lượng</t>
  </si>
  <si>
    <t>OH62</t>
  </si>
  <si>
    <t xml:space="preserve">Đăng nhập vào tài khoản
Chọn tab Cá nhân 
Chọn Đơn hàng --&gt; xem tất cả 
Chọn tab " Đã huỷ " 
Kiểm tra giá gốc </t>
  </si>
  <si>
    <t>OH63</t>
  </si>
  <si>
    <t>Đăng nhập vào tài khoản
Chọn tab Cá nhân 
Chọn Đơn hàng --&gt; xem tất cả 
Chọn tab " Đã huỷ " 
Kiểm tra giá sau giảm</t>
  </si>
  <si>
    <t>OH64</t>
  </si>
  <si>
    <t>Đăng nhập vào tài khoản
Chọn tab Cá nhân 
Chọn Đơn hàng --&gt; xem tất cả 
Chọn tab " Đã huỷ " 
Kiểm tra hình ảnh sản phẩm</t>
  </si>
  <si>
    <t>OH65</t>
  </si>
  <si>
    <t xml:space="preserve">Đăng nhập vào tài khoản
Chọn tab Cá nhân 
Chọn Đơn hàng --&gt; xem tất cả 
Chọn tab " Đã huỷ " 
Kiểm tra ghi chú </t>
  </si>
  <si>
    <t>OH66</t>
  </si>
  <si>
    <t>Kiểm tra Tổng số tiền và tổng số lượng  sản phẩm</t>
  </si>
  <si>
    <t>Đăng nhập vào tài khoản
Chọn tab Cá nhân 
Chọn Đơn hàng --&gt; xem tất cả 
Chọn tab " Đã huỷ " 
Kiểm tra Tổng số tiền và tổng số lượng hiển thị của đơn hàng đã hủy ( kiểm tra kích thước, cỡ chữ , màu sắc )</t>
  </si>
  <si>
    <t>Hiển thị đúng tổng số lượng sản phẩm 
Hiển thị đúng màu sắc, kích thước, cỡ chữ</t>
  </si>
  <si>
    <t>OH67</t>
  </si>
  <si>
    <t>Kiểm tra hiển thị nút Mua lại</t>
  </si>
  <si>
    <t>Đăng nhập vào tài khoản
Chọn tab Cá nhân 
Chọn Đơn hàng --&gt; xem tất cả 
Chọn tab " Đã huỷ " 
Kiểm tra chức năng nút Mua lại , kiểm tra màu sắc, kích thước, cỡ chữ</t>
  </si>
  <si>
    <t>Hiển thị đúng màu sắc, kích thước,cỡ chữ 
Khi nhấn vào Mua lại sẽ ra màn hình  Thông tin đơn hàng để mua lại</t>
  </si>
  <si>
    <t>OH68</t>
  </si>
  <si>
    <t>Màn hình lịch sử đơn hàng Đã hủy - Mua lại</t>
  </si>
  <si>
    <t>Kiểm tra hiển thị " GIỎ HÀNG CỦA TÔI " khi nhấn mua lại</t>
  </si>
  <si>
    <t>Đăng nhập vào tài khoản
Chọn tab Cá nhân 
Chọn Đơn hàng --&gt; xem tất cả 
Chọn tab " Đã huỷ " 
Kiểm tra chức năng nút Mua lại , khi nhấn vào sẽ hiển thị ra màn hình " GIỎ HÀNG CỦA TÔI " hoặc hiển thị " SẢN PHẨM ĐÃ HẾT "</t>
  </si>
  <si>
    <t>OH69</t>
  </si>
  <si>
    <t>UI - Mua lại ( Trường hợp 1 :  còn hàng)</t>
  </si>
  <si>
    <t>KIểm tra heading "Giỏ hàng của tôi" (Kích thước, vị trí, màu chữ)</t>
  </si>
  <si>
    <t xml:space="preserve">Người dùng có tài khoản và Đăng nhập thành công
</t>
  </si>
  <si>
    <t xml:space="preserve">Điều hướng tới trang "Giỏ hàng của tôi"
Kiểm tra hiển thị chính xác kich thước, vị trí và màu chữ của heading </t>
  </si>
  <si>
    <t xml:space="preserve">- hiển thị chính xác kich thước, vị trí và màu chữ của heading </t>
  </si>
  <si>
    <t>OH70</t>
  </si>
  <si>
    <t>Kiêm tra button close khi muốn đóng trang "Chọn Voucher"( Vị trí, kích thước)</t>
  </si>
  <si>
    <t>Người dùng có tài khoản vàĐăng nhập thành công
Danh sách sản phẩm trong giỏ hàng đã tải hoàn tất</t>
  </si>
  <si>
    <t>Điều hướng tới trang "Giỏ hàng của tôi"
Chọn vào icon &gt; bên phải của vùng hiển thị số tiền giảm giá
Nhấn button close trên trang
Kiểm tra và xác nhận hệ thống đóng trang "Chọn voucher"</t>
  </si>
  <si>
    <t>- hệ thống đóng trang "Chọn voucher"</t>
  </si>
  <si>
    <t>OH71</t>
  </si>
  <si>
    <t>Kiểm tra button "Back" (Vị trí, kích thước)</t>
  </si>
  <si>
    <t xml:space="preserve">Người dùng có tài khoản vàĐăng nhập thành công
</t>
  </si>
  <si>
    <t>Điều hướng tới trang "Giỏ hàng của tôi"
Kiểm tra hiển thị chính xác kich thước, vị trí của button "Back"</t>
  </si>
  <si>
    <t>- hiển thị chính xác kich thước, vị trí của button "Back"</t>
  </si>
  <si>
    <t>OH72</t>
  </si>
  <si>
    <t>Kiểm tra hộp tìm kiếm (Vị trí, kích thước)</t>
  </si>
  <si>
    <t>Điều hướng tới trang "Giỏ hàng của tôi"
Kiểm tra hiển thị chính xác kich thước, vị trí của hộp tìm kiếm</t>
  </si>
  <si>
    <t>- hiển thị chính xác kich thước, vị trí của hộp tìm kiếm</t>
  </si>
  <si>
    <t>OH73</t>
  </si>
  <si>
    <t>Kiểm tra plahoder của input tìm kiếm bao gồm cả icon</t>
  </si>
  <si>
    <t xml:space="preserve">Điều hướng tới trang "Giỏ hàng của tôi"
Kiểm tra hiển thị chính xác kich thước, vị trí và màu chữ của plahoder trong hộp thoại tìm kiếm </t>
  </si>
  <si>
    <t xml:space="preserve">- hiển thị chính xác kich thước, vị trí và màu chữ của plahoder trong hộp thoại tìm kiếm </t>
  </si>
  <si>
    <t>OH74</t>
  </si>
  <si>
    <t xml:space="preserve">Kiểm tra hộp thoại tìm kiếm khi button "Xoá" hiển thị và khi bị ẩn </t>
  </si>
  <si>
    <t xml:space="preserve">Điều hướng tới trang "Giỏ hàng của tôi"
Kiểm tra hiển thị đúng kích thước của hộp tìm kiếm khi button "Xoá" hiển thị và khi button "Xoá" bị ẩn </t>
  </si>
  <si>
    <t xml:space="preserve">- hiển thị đúng kích thước của hộp tìm kiếm khi button "Xoá" hiển thị và khi button "Xoá" bị ẩn </t>
  </si>
  <si>
    <t>OH75</t>
  </si>
  <si>
    <t>Kiểm tra button xoá (Kích thước, vị trí, màu sắc, màu viền)</t>
  </si>
  <si>
    <t xml:space="preserve">Điều hướng tới trang "Giỏ hàng của tôi"
Kiểm tra hiển thị chính xác kich thước, vị trí, màu sắc, màu nền, button "Xoá" </t>
  </si>
  <si>
    <t xml:space="preserve">- hiển thị chính xác kich thước, vị trí, màu sắc, màu nền, button "Xoá" </t>
  </si>
  <si>
    <t>OH76</t>
  </si>
  <si>
    <t>Kiểm tra danh sách sản phẩm (Vị trí)</t>
  </si>
  <si>
    <t>Người dùng có tài khoản vàĐăng nhập thành công
Danh sách sản phẩm trong giỏ hàng tồn tại và đã tải hoàn tất</t>
  </si>
  <si>
    <t xml:space="preserve">Điều hướng tới trang "Giỏ hàng của tôi"
Kiểm tra hiển thị chính xác vị trí của danh sách sản phẩm </t>
  </si>
  <si>
    <t xml:space="preserve">- hiển thị chính xác vị trí của danh sách sản phẩm </t>
  </si>
  <si>
    <t>OH77</t>
  </si>
  <si>
    <t>Kiểm tra khả năng cuộn danh sách</t>
  </si>
  <si>
    <t>Điều hướng tới trang "Giỏ hàng của tôi"
Kiểm tra khả năng cuộn mượt mà của danh sách</t>
  </si>
  <si>
    <t>- khả năng cuộn mượt mà của danh sách</t>
  </si>
  <si>
    <t>OH78</t>
  </si>
  <si>
    <t>Kiểm tra khoảng cách giữa các mục sản phẩm trong giỏ hàng</t>
  </si>
  <si>
    <t xml:space="preserve">Điều hướng tới trang "Giỏ hàng của tôi"
Kiểm tra hiển thị chính xác khoảng cách giữa các mục sản phẩm trong giỏ hàng </t>
  </si>
  <si>
    <t xml:space="preserve">- hiển thị chính xác khoảng cách giữa các mục sản phẩm trong giỏ hàng </t>
  </si>
  <si>
    <t>OH79</t>
  </si>
  <si>
    <t>Kiểm tra vị trí checkbox trong 1 mục sản phẩm</t>
  </si>
  <si>
    <t xml:space="preserve">Điều hướng tới trang "Giỏ hàng của tôi"
Kiểm tra hiển thị chính xác kich thước, vị trí của check box trong 1 mục sản phẩm </t>
  </si>
  <si>
    <t xml:space="preserve">-hiển thị chính xác kich thước, vị trí của check box trong 1 mục sản phẩm </t>
  </si>
  <si>
    <t>OH80</t>
  </si>
  <si>
    <t>Kiểm tra hình ảnh sản phẩm trong 1 mục sản phẩm</t>
  </si>
  <si>
    <t>Điều hướng tới trang "Giỏ hàng của tôi"
Kiểm tra hiển thị chính xác kich thước, vị trí của hình ảnh sản phẩm trong 1 mục sản phẩm</t>
  </si>
  <si>
    <t>- hiển thị chính xác kich thước, vị trí của hình ảnh sản phẩm trong 1 mục sản phẩm</t>
  </si>
  <si>
    <t>OH81</t>
  </si>
  <si>
    <t>Kiểm tra tên sản phẩm trong 1 mục sản phẩm</t>
  </si>
  <si>
    <t>Điều hướng tới trang "Giỏ hàng của tôi"
Kiểm tra hiển thị chính xác kich thước, vị trí và màu chữ tên sản phẩm</t>
  </si>
  <si>
    <t>- hiển thị chính xác kich thước, vị trí và màu chữ tên sản phẩm</t>
  </si>
  <si>
    <t>OH82</t>
  </si>
  <si>
    <t>Kiểm tra giá sản phẩm trong 1 mục sản phẩm</t>
  </si>
  <si>
    <t>Điều hướng tới trang "Giỏ hàng của tôi"
Kiểm tra hiển thị chính xác kich thước, vị trí và màu chữ của giá sản phẩm</t>
  </si>
  <si>
    <t>- hiển thị chính xác kich thước, vị trí và màu chữ của giá sản phẩm</t>
  </si>
  <si>
    <t>OH83</t>
  </si>
  <si>
    <t>Kiểm tra dấu ba chấm để hiển thị select trong 1 mục sản phẩm</t>
  </si>
  <si>
    <t>Điều hướng tới trang "Giỏ hàng của tôi"
Kiểm tra hiển thị chính xác kich thước, vị trí của dấu ba chấm</t>
  </si>
  <si>
    <t>-  hiển thị chính xác kich thước, vị trí của dấu ba chấm</t>
  </si>
  <si>
    <t>OH84</t>
  </si>
  <si>
    <t>Kiểm tra button (-) trong 1 mục sản phẩm</t>
  </si>
  <si>
    <t>Điều hướng tới trang "Giỏ hàng của tôi"
Kiểm tra hiển thị chính xác kich thước, vị trí của button (-) trong 1 mục sản phẩm</t>
  </si>
  <si>
    <t>- hiển thị chính xác kich thước, vị trí của button (-) trong 1 mục sản phẩm</t>
  </si>
  <si>
    <t>OH85</t>
  </si>
  <si>
    <t>Kiểm tra button (+) trong 1 mục sản phẩm</t>
  </si>
  <si>
    <t>Điều hướng tới trang "Giỏ hàng của tôi"
Kiểm tra hiển thị chính xác kich thước, vị trí của button (+) trong 1 mục sản phẩm</t>
  </si>
  <si>
    <t>-  hiển thị chính xác kich thước, vị trí của button (+) trong 1 mục sản phẩm</t>
  </si>
  <si>
    <t>OH86</t>
  </si>
  <si>
    <t>Kiểm tra vùng hiển thị số lượng sản phẩm trong 1 mục sản phẩm</t>
  </si>
  <si>
    <t xml:space="preserve">Điều hướng tới trang "Giỏ hàng của tôi"
Kiểm tra hiển thị chính xác kich thước, vị trí của vùng hiển thị số lượng sản phẩm trong 1 mục sản phẩm </t>
  </si>
  <si>
    <t xml:space="preserve">- hiển thị chính xác kich thước, vị trí của vùng hiển thị số lượng sản phẩm trong 1 mục sản phẩm </t>
  </si>
  <si>
    <t>OH87</t>
  </si>
  <si>
    <t>Kiểm tra vùng hiển thị số tiền giảm giá theo mã giảm giá</t>
  </si>
  <si>
    <t>Điều hướng tới trang "Giỏ hàng của tôi"
Kiểm tra hiển thị chính xác kich thước, vị trí và màu chữ của của vùng hiển thị số tiền giảm giá theo mã giảm giá</t>
  </si>
  <si>
    <t>- hiển thị chính xác kich thước, vị trí và màu chữ của của vùng hiển thị số tiền giảm giá theo mã giảm giá</t>
  </si>
  <si>
    <t>OH88</t>
  </si>
  <si>
    <t>Kiểm tra vùng hiển thị số tiền giảm giá theo mã vận chuyển</t>
  </si>
  <si>
    <t>Điều hướng tới trang "Giỏ hàng của tôi"
Kiểm tra hiển thị chính xác kich thước, vị trí và màu chữ của của vùng hiển thị số tiền giảm giá theo mã vận chuyển</t>
  </si>
  <si>
    <t>- hiển thị chính xác kich thước, vị trí và màu chữ của của vùng hiển thị số tiền giảm giá theo mã vận chuyển</t>
  </si>
  <si>
    <t>OH89</t>
  </si>
  <si>
    <t>Kiểm tra button icon (&gt;) bên phải vùng hiển thị giảm giá</t>
  </si>
  <si>
    <t>Điều hướng tới trang "Giỏ hàng của tôi"
Kiểm tra hiển thị chính xác kich thước, vị trí của button icon (&lt;) bên phải vùng hiển thị giảm giá</t>
  </si>
  <si>
    <t>- hiển thị chính xác kich thước, vị trí của button icon (&lt;) bên phải vùng hiển thị giảm giá</t>
  </si>
  <si>
    <t>OH90</t>
  </si>
  <si>
    <t>Kiểm tra hiển thị ô checkbox tất cả</t>
  </si>
  <si>
    <t>Điều hướng tới trang "Giỏ hàng của tôi"
Kiểm tra hiển thị chính xác kich thước, vị trí của ô checkbox tất cả</t>
  </si>
  <si>
    <t>- hiển thị chính xác kich thước, vị trí của ô checkbox tất cả</t>
  </si>
  <si>
    <t>OH91</t>
  </si>
  <si>
    <t>kiểm tra vùng hiển thị tổng tiền</t>
  </si>
  <si>
    <t>Điều hướng tới trang "Giỏ hàng của tôi"
Kiểm tra hiển thị chính xác kich thước, vị trí và màu chữ của vùng hiển thị tổng tiền</t>
  </si>
  <si>
    <t>- hiển thị chính xác kich thước, vị trí và màu chữ của vùng hiển thị tổng tiền</t>
  </si>
  <si>
    <t>OH92</t>
  </si>
  <si>
    <t>Kiểm tra vùng hiển thị tổng giảm giá</t>
  </si>
  <si>
    <t>Điều hướng tới trang "Giỏ hàng của tôi"
Kiểm tra hiển thị chính xác kich thước, vị trí và màu chữ tổng giảm giá</t>
  </si>
  <si>
    <t>- hiển thị chính xác kich thước, vị trí và màu chữ tổng giảm giá</t>
  </si>
  <si>
    <t>OH93</t>
  </si>
  <si>
    <t>Kiểm tra hiển thị button Thanh toán</t>
  </si>
  <si>
    <t>Điều hướng tới trang "Giỏ hàng của tôi"
Kiểm tra hiển thị chính xác kich thước, vị trí và màu nền của button "Thanh toán"</t>
  </si>
  <si>
    <t>- hiển thị chính xác kich thước, vị trí và màu nền của button "Thanh toán"</t>
  </si>
  <si>
    <t>OH94</t>
  </si>
  <si>
    <t>Kiểm tra hộp thoại  "Xoá tất cả"</t>
  </si>
  <si>
    <t>Điều hướng tới trang "Giỏ hàng của tôi"
Kiểm tra hiển thị chính xác kich thước, vị trí của hộp thoại "Xoá tất cả"</t>
  </si>
  <si>
    <t>- hiển thị chính xác kich thước, vị trí của hộp thoại "Xoá tất cả"</t>
  </si>
  <si>
    <t>OH95</t>
  </si>
  <si>
    <t>Kiểm tra thông báo trong hộp thoại "Xoá tất cả"</t>
  </si>
  <si>
    <t>Điều hướng tới trang "Giỏ hàng của tôi"
Kiểm tra hiển thị đúng thông báo "Bạn có chắc muốn xoá x sản phẩm này</t>
  </si>
  <si>
    <t>- hiển thị đúng thông báo "Bạn có chắc muốn xoá x sản phẩm này</t>
  </si>
  <si>
    <t>OH96</t>
  </si>
  <si>
    <t>KIểm tra button đồng ý trong hộp thoại "Xoá tất cả:</t>
  </si>
  <si>
    <t>Điều hướng tới trang "Giỏ hàng của tôi"
Kiểm tra hiển thị chính xác kich thước, vị trí, màu nền và màu viền của button "Đồng ý" trong hộp thoại "Xoá tất cả"</t>
  </si>
  <si>
    <t>- hiển thị chính xác kich thước, vị trí, màu nền và màu viền của button "Đồng ý" trong hộp thoại "Xoá tất cả"</t>
  </si>
  <si>
    <t>OH97</t>
  </si>
  <si>
    <t>Kiểm tra button "Không" trong hộp thoại "Xoá tất cả"</t>
  </si>
  <si>
    <t>Điều hướng tới trang "Giỏ hàng của tôi"
Kiểm tra hiển thị chính xác kich thước, vị trí, màu nền và màu viền của button "Không" trong hộp thoại "Xoá tất cả"</t>
  </si>
  <si>
    <t>- hiển thị chính xác kich thước, vị trí, màu nền và màu viền của button "Không" trong hộp thoại "Xoá tất cả"</t>
  </si>
  <si>
    <t>OH98</t>
  </si>
  <si>
    <t>Kiểm tra vị trí của các options khi nhấn vào nút ba chấm trong mỗi sản phẩm</t>
  </si>
  <si>
    <t xml:space="preserve">Điều hướng tới trang "Giỏ hàng của tôi"
Kiểm tra hiển thị đúng vị trí, kích thước, màu chữ của các options khi nhấn vào nút ba chấm trong mỗi sản phẩm </t>
  </si>
  <si>
    <t xml:space="preserve">- hiển thị đúng vị trí, kích thước, màu chữ của các options khi nhấn vào nút ba chấm trong mỗi sản phẩm </t>
  </si>
  <si>
    <t>OH99</t>
  </si>
  <si>
    <t>Kiểm tra hiển thị thông báo "Đã thêm vào yêu thích"</t>
  </si>
  <si>
    <t>Điều hướng tới trang "Giỏ hàng của tôi"
Kiểm tra hiển thị chính xác kich thước, vị trí và màu chữ của thông báo "Đã thêm vào yêu thích"</t>
  </si>
  <si>
    <t>- hiển thị chính xác kich thước, vị trí và màu chữ của thông báo "Đã thêm vào yêu thích"</t>
  </si>
  <si>
    <t>OH100</t>
  </si>
  <si>
    <t>Mua lại - UI ( Trường hợp 2 : Hết hàng )</t>
  </si>
  <si>
    <t>Kiểm tra hiển thị thông báo " Sản phẩm đã hết "</t>
  </si>
  <si>
    <t>Người dùng ở màn hình : Thông tin đơn hàng  ( tab đã hủy )</t>
  </si>
  <si>
    <t>Đăng nhập vào tài khoản 
Chọn mục cá nhân 
Chọn đơn hàng --&gt; Lịch sử đơn hàng ( tab đã hủy )
Nhấn Mua lại --&gt; hiển thị thông báo sản phẩm đã hết ( kiểm tra icon, màu sắc, kích thước, cỡ chữ )</t>
  </si>
  <si>
    <t>Hiển thị đúng icon, màu sắc, kích thước, cỡ chữ</t>
  </si>
  <si>
    <t>OH101</t>
  </si>
  <si>
    <t>Kiểm tra hiển thị dòng text : Rất tiết,... tương tự khác "</t>
  </si>
  <si>
    <t>Đăng nhập vào tài khoản 
Chọn mục cá nhân 
Chọn đơn hàng --&gt; Lịch sử đơn hàng ( tab đã hủy )
Nhấn Mua lại --&gt; hiển thị dòng text ( kiểm tra icon, màu sắc, kích thước, cỡ chữ )</t>
  </si>
  <si>
    <t>OH102</t>
  </si>
  <si>
    <t>Kiểm tra hiển thị button : Đồng ý</t>
  </si>
  <si>
    <t>Đăng nhập vào tài khoản 
Chọn mục cá nhân 
Chọn đơn hàng --&gt; Lịch sử đơn hàng ( tab đã hủy )
Nhấn Mua lại --&gt; hiển thị button Đồng ý ( kiểm tra icon, màu sắc, kích thước, cỡ chữ )</t>
  </si>
  <si>
    <t>OH103</t>
  </si>
  <si>
    <t>Kiểm tra hiển thị  khi nhấn Đồng ý</t>
  </si>
  <si>
    <t>Đăng nhập vào tài khoản 
Chọn mục cá nhân 
Chọn đơn hàng --&gt; Lịch sử đơn hàng ( tab đã hủy )
Nhấn Mua lại --&gt; hiển thị khi nhấn Đồng ý --&gt; sẽ tắt thông báo " Sản phẩm đã hết " và hiển thị màn hình cũ</t>
  </si>
  <si>
    <t>Hiển thị màn hình thông tin đơn hàng</t>
  </si>
  <si>
    <t>OH104</t>
  </si>
  <si>
    <t>Kiểm tra tiêu đề "Chọn voucher" (Kích thước, vị trí, màu sắc)</t>
  </si>
  <si>
    <t>Điều hướng tới trang "Giỏ hàng của tôi"
Chọn &gt; bên phải vùng hiển thị giảm gía
Kiểm tra hiển thị chính xác kich thước, vị trí và màu chữ của heading "Chọn voucher"</t>
  </si>
  <si>
    <t>- hiển thị chính xác kich thước, vị trí và màu chữ của heading "Chọn voucher"</t>
  </si>
  <si>
    <t>OH105</t>
  </si>
  <si>
    <t>Điều hướng tới trang "Giỏ hàng của tôi"
Chọn (&gt;) bên phải vùng hiển thị giảm gía
Kiểm tra hiển thị chính xác kich thước, vị trí của hộp tìm kiếm</t>
  </si>
  <si>
    <t>OH106</t>
  </si>
  <si>
    <t>Kiểm tra plahoder của hộp thoại tìm kiếm</t>
  </si>
  <si>
    <t>Điều hướng tới trang "Giỏ hàng của tôi"
Chọn (&gt;) bên phải vùng hiển thị giảm gía
Kiểm tra hiển thị chính xác kich thước, vị trí của plahoder của hộp thoại tìm kiếm</t>
  </si>
  <si>
    <t>- hiển thị chính xác kich thước, vị trí của plahoder của hộp thoại tìm kiếm</t>
  </si>
  <si>
    <t>OH107</t>
  </si>
  <si>
    <t>Kiểm tra button Áp dụng</t>
  </si>
  <si>
    <t>Điều hướng tới trang "Giỏ hàng của tôi"
Chọn (&gt;) bên phải vùng hiển thị giảm gía
Kiểm tra hiển thị chính xác kich thước, vị trí, màu chữ, màu nền của button Áp dụn</t>
  </si>
  <si>
    <t>- hiển thị chính xác kich thước, vị trí, màu chữ, màu nền của button Áp dụn</t>
  </si>
  <si>
    <t>OH108</t>
  </si>
  <si>
    <t>Kiểm tra text ưu đãi phí vận chuyển</t>
  </si>
  <si>
    <t>Điều hướng tới trang "Giỏ hàng của tôi"
Chọn (&gt;) bên phải vùng hiển thị giảm gía
Kiểm tra hiển thị chính xác kich thước, vị trí, màu chữ của text Ưu đãi phí vận chuyển</t>
  </si>
  <si>
    <t>- hiển thị chính xác kich thước, vị trí, màu chữ của text Ưu đãi phí vận chuyển</t>
  </si>
  <si>
    <t>OH109</t>
  </si>
  <si>
    <t>Điều hướng tới trang "Giỏ hàng của tôi"
Chọn (&gt;) bên phải vùng hiển thị giảm gía
Kiểm tra hiển thị chính xác kich thước, vị trí và màu chữ của text  chỉ chọn được 1 voucher</t>
  </si>
  <si>
    <t>- hiển thị chính xác kich thước, vị trí và màu chữ của text  chỉ chọn được 1 voucher</t>
  </si>
  <si>
    <t>OH110</t>
  </si>
  <si>
    <t>Kiểm tra danh sách voucher</t>
  </si>
  <si>
    <t>Điều hướng tới trang "Giỏ hàng của tôi"
Chọn (&gt;) bên phải vùng hiển thị giảm gía
Kiểm tra hiển thị chính xác kich thước, vị trí của danh sách voucher</t>
  </si>
  <si>
    <t>- hiển thị chính xác kich thước, vị trí của danh sách voucher</t>
  </si>
  <si>
    <t>OH111</t>
  </si>
  <si>
    <t>Kiểm tra khoảng cách giữa các mục voucher</t>
  </si>
  <si>
    <t>Điều hướng tới trang "Giỏ hàng của tôi"
Chọn (&gt;) bên phải vùng hiển thị giảm gía
Kiểm tra hiển thị chính xác khoảng cách giữa các mục voucher</t>
  </si>
  <si>
    <t>- hiển thị chính xác khoảng cách giữa các mục voucher</t>
  </si>
  <si>
    <t>OH112</t>
  </si>
  <si>
    <t>Kiểm tra hiển thị đầy đủ nội dung trong 1 voucher mã vận chuyển</t>
  </si>
  <si>
    <t>Điều hướng tới trang "Giỏ hàng của tôi"
Chọn (&gt;) bên phải vùng hiển thị giảm gía
Kiểm tra hiển thị đầy đủ nội dung trong 1 voucher, bao gồm các nội dung như  số phần trăm giảm,tên voucher, điều kiện giảm và hạn sử dụng</t>
  </si>
  <si>
    <t>- hiển thị đầy đủ nội dung trong 1 voucher, bao gồm các nội dung như  số phần trăm giảm,tên voucher, điều kiện giảm và hạn sử dụng</t>
  </si>
  <si>
    <t>OH113</t>
  </si>
  <si>
    <t xml:space="preserve">Kiểm tra màu nền của các vùng hiển thị </t>
  </si>
  <si>
    <t>Điều hướng tới trang "Giỏ hàng của tôi"
Chọn (&gt;) bên phải vùng hiển thị giảm gía
Kiểm tra hiển thị đúng màu nền của các vùng hiển thị, bên phải thẻ hiển thị màu trăng xám, bên trái thẻ hiển thị màu xanh lá cây</t>
  </si>
  <si>
    <t>- hiển thị đúng màu nền của các vùng hiển thị, bên phải thẻ hiển thị màu trăng xám, bên trái thẻ hiển thị màu xanh lá cây</t>
  </si>
  <si>
    <t>OH114</t>
  </si>
  <si>
    <t>Kiểm tra ô tích radio trong 1 mục voucher</t>
  </si>
  <si>
    <t>Điều hướng tới trang "Giỏ hàng của tôi"
Chọn (&gt;) bên phải vùng hiển thị giảm gía
Kiểm tra hiển thị đúng kích thước và vị trí của ô radio trong 1 mục voucher</t>
  </si>
  <si>
    <t>- hiển thị đúng kích thước và vị trí của ô radio trong 1 mục voucher</t>
  </si>
  <si>
    <t>OH115</t>
  </si>
  <si>
    <t>Kiểm tra khả năng có thể chọn ở mỗi mục voucher</t>
  </si>
  <si>
    <t>Điều hướng tới trang "Giỏ hàng của tôi"
Chọn (&gt;) bên phải vùng hiển thị giảm gía
Nhấn vào 1 ô radio trên một mục voucher bất kì
Kiểm tra khả năng có thể chọn trên mỗi mục voucher</t>
  </si>
  <si>
    <t>- khả năng có thể chọn trên mỗi mục voucher</t>
  </si>
  <si>
    <t>OH116</t>
  </si>
  <si>
    <t>Kiểm tra khả năng chỉ chọn duy nhất 1 voucher trong danh sách voucher</t>
  </si>
  <si>
    <t>Điều hướng tới trang "Giỏ hàng của tôi"
Chọn (&gt;) bên phải vùng hiển thị giảm gía
Nhấn vào 1 ô radio trên một mục voucher bất kì
Tiếp tục nhấn vào 1 ô radio khác trên mục voucher khác
Kiểm tra  khả năng chỉ chọn duy nhất 1 voucher trong danh sách voucher</t>
  </si>
  <si>
    <t>- khả năng chỉ chọn duy nhất 1 voucher trong danh sách voucher</t>
  </si>
  <si>
    <t>OH117</t>
  </si>
  <si>
    <t>Kiểm tra tên voucher trong mỗi mục voucher</t>
  </si>
  <si>
    <t>Điều hướng tới trang "Giỏ hàng của tôi"
Chọn (&gt;) bên phải vùng hiển thị giảm gía
Kiểm tra hiển thị chính xác kich thước, vị trí và màu chữ của tên Voucher trên mỗi mục voucher</t>
  </si>
  <si>
    <t>- hiển thị chính xác kich thước, vị trí và màu chữ của tên Voucher trên mỗi mục voucher</t>
  </si>
  <si>
    <t>OH118</t>
  </si>
  <si>
    <t>Kiểm tra text phần trăm giảm trong 1 mục voucher</t>
  </si>
  <si>
    <t>Điều hướng tới trang "Giỏ hàng của tôi"
Chọn (&gt;) bên phải vùng hiển thị giảm gía
Kiểm tra hiển thị chính xác kich thước, vị trí và màu chữ của text phần trăm giảm trong 1 mục voucher</t>
  </si>
  <si>
    <t>- hiển thị chính xác kich thước, vị trí và màu chữ của text phần trăm giảm trong 1 mục voucher</t>
  </si>
  <si>
    <t>OH119</t>
  </si>
  <si>
    <t>Kiêm tra điều kiện voucher trong 1 mục voucher</t>
  </si>
  <si>
    <t>Điều hướng tới trang "Giỏ hàng của tôi"
Chọn (&gt;) bên phải vùng hiển thị giảm gía
Kiểm tra hiển thị chính xác vị trí, kích thước, màu chữ của điều kiện voucher trong 1 mục voucher</t>
  </si>
  <si>
    <t>- hiển thị chính xác vị trí, kích thước, màu chữ của điều kiện voucher trong 1 mục voucher</t>
  </si>
  <si>
    <t>OH120</t>
  </si>
  <si>
    <t>Kiểm tra hạn sử dụng trong 1 mục voucher</t>
  </si>
  <si>
    <t>Điều hướng tới trang "Giỏ hàng của tôi"
Chọn (&gt;) bên phải vùng hiển thị giảm gía
Kiểm tra hiển thị chính xác kich thước, vị trí và màu chữ hạn sử dụng trong 1 mục voucher</t>
  </si>
  <si>
    <t>- hiển thị chính xác kich thước, vị trí và màu chữ hạn sử dụng trong 1 mục voucher</t>
  </si>
  <si>
    <t>OH121</t>
  </si>
  <si>
    <t>Kiểm tra text "Xem thêm"</t>
  </si>
  <si>
    <t>Điều hướng tới trang "Giỏ hàng của tôi"
Chọn (&gt;) bên phải vùng hiển thị giảm gía
Kiểm tra hiển thị chính xác kich thước, vị trí và màu chữ của "Xem thêm"</t>
  </si>
  <si>
    <t>- hiển thị chính xác kich thước, vị trí và màu chữ của "Xem thêm"</t>
  </si>
  <si>
    <t>OH122</t>
  </si>
  <si>
    <t>Kiểm tra text "Thu gọn"</t>
  </si>
  <si>
    <t>Điều hướng tới trang "Giỏ hàng của tôi"
Chọn (&gt;) bên phải vùng hiển thị giảm gía
Kiểm tra hiển thị chính xác kich thước, vị trí và màu chữ của "Thu gọn"</t>
  </si>
  <si>
    <t>- hiển thị chính xác kich thước, vị trí và màu chữ của "Thu gọn"</t>
  </si>
  <si>
    <t>OH123</t>
  </si>
  <si>
    <t>Kiểm tra text "Mã giảm giá sản phẩm"</t>
  </si>
  <si>
    <t>Điều hướng tới trang "Giỏ hàng của tôi"
Chọn (&gt;) bên phải vùng hiển thị giảm gía
Kiểm tra hiển thị chính xác kich thước, vị trí và màu chữ của text "Mã giảm giá sản phẩm"</t>
  </si>
  <si>
    <t>- hiển thị chính xác kich thước, vị trí và màu chữ của text "Mã giảm giá sản phẩm"</t>
  </si>
  <si>
    <t>OH124</t>
  </si>
  <si>
    <t>Kiểm tra khả năng cuộn lên xuống danh sách mã giảm giá</t>
  </si>
  <si>
    <t>Điều hướng tới trang "Giỏ hàng của tôi"
Chọn (&gt;) bên phải vùng hiển thị giảm gía
Kiểm tra khả năng cuộn lên cuộn xuống danh sách mã giảm giá bằng cách cuộn lên danh sách hoặc cuộn xuống danh sách</t>
  </si>
  <si>
    <t xml:space="preserve">- khả năng cuộn tốt khi cuộn lên cuộn xuống danh sách mã giảm giá </t>
  </si>
  <si>
    <t>OH125</t>
  </si>
  <si>
    <t xml:space="preserve">Kiểm tra khoảng cách giữa các mục trong danh sách mã giảm giá </t>
  </si>
  <si>
    <t>Điều hướng tới trang "Giỏ hàng của tôi"
Chọn (&gt;) bên phải vùng hiển thị giảm gía
Kiểm tra khoảng cách giữa các mục trong danh sách mã giảm giá</t>
  </si>
  <si>
    <t>- hiển thị đúng khoảng cách giữa các mục trong danh sách mã giảm giá</t>
  </si>
  <si>
    <t>OH126</t>
  </si>
  <si>
    <t>Kiểm tra hiển thị đầy đủ nội dụng của 1 voucher trong danh sách giảm giá</t>
  </si>
  <si>
    <t>Điều hướng tới trang "Giỏ hàng của tôi"
Chọn (&gt;) bên phải vùng hiển thị giảm gía
Kiểm tra hiển thị đầy đủ nội dung trong 1 voucher theo mã giảm giá bao gồm, các nội dung như  số phần trăm giảm,tên voucher, điều kiện giảm và hạn sử dụng</t>
  </si>
  <si>
    <t>- hiển thị đầy đủ nội dung trong 1 voucher theo mã giảm giá bao gồm, các nội dung như  số phần trăm giảm,tên voucher, điều kiện giảm và hạn sử dụng</t>
  </si>
  <si>
    <t>OH127</t>
  </si>
  <si>
    <t>Kiểm tra button "Sử dụng"</t>
  </si>
  <si>
    <t>Điều hướng tới trang "Giỏ hàng của tôi"
Chọn (&gt;) bên phải vùng hiển thị giảm gía
Kiểm tra hiển thị đúng kích thước, vị trí, màu chữ và màu nền của 1 button "Sử dụng"</t>
  </si>
  <si>
    <t>- hiển thị đúng kích thước, vị trí, màu chữ và màu nền của 1 button "Sử dụng"</t>
  </si>
  <si>
    <t>OH128</t>
  </si>
  <si>
    <t>Kiểm tra button "Sử dụng" được giữ nguyên khi người dùng cuộn lên và cuộn xuống danh sách</t>
  </si>
  <si>
    <t>Điều hướng tới trang "Giỏ hàng của tôi"
Chọn (&gt;) bên phải vùng hiển thị giảm gía
Cuộn danh sách lên hoặc xuống
Kiểm tra button "Sử dụng" được giữ nguyên khi người dùng cuộn lên và cuộn xuống danh sách</t>
  </si>
  <si>
    <t>- button "Sử dụng" được giữ nguyên khi người dùng cuộn lên và cuộn xuống danh sách</t>
  </si>
  <si>
    <t>OH129</t>
  </si>
  <si>
    <t>Kiểm tra số lượng sản phẩm trên tiêu đề tương ứng với các sản phẩm có trong giỏ hàng</t>
  </si>
  <si>
    <t>Điều hướng tới trang "Giỏ hàng của tôi"
Đếm số sản phẩm có trong giỏ hàng
Kiểm tra số lượng sản phẩm trên tiêu đề tương ứng với số sản phẩm có trong giỏ hàng</t>
  </si>
  <si>
    <t>- số lượng sản phẩm trên tiêu đề tương ứng với số sản phẩm có trong giỏ hàng</t>
  </si>
  <si>
    <t>OH130</t>
  </si>
  <si>
    <t>Kiểm tra hệ thống trở lại màn hình cha trước đó khi ấn vào button "Back"</t>
  </si>
  <si>
    <t>Điều hướng tới trang "Giỏ hàng của tôi"
Nhấn button "Back"
Kiểm tra hệ thống trở lại màn hình cha trước đó khi ấn vào button "Back"</t>
  </si>
  <si>
    <t>- hệ thống trở lại màn hình cha trước đó khi ấn vào button "Back"</t>
  </si>
  <si>
    <t>OH131</t>
  </si>
  <si>
    <t>Kiểm tra hiển thị thành công danh sách sản phẩm trong giỏ hàng có chứa từ khoá tìm kiếm</t>
  </si>
  <si>
    <t>Điều hướng tới trang "Giỏ hàng của tôi"
Nhập từ khoá tìm kiếm trên thanh tìm kiếm
Kiểm tra Hiển thị danh sách sản phẩm trong giỏ hàng có chứa từ khoá tìm kiếm</t>
  </si>
  <si>
    <t>- Hiển thị danh sách sản phẩm trong giỏ hàng có chứa từ khoá tìm kiếm</t>
  </si>
  <si>
    <t>OH132</t>
  </si>
  <si>
    <t>Kiểm tra hiển thị thông báo "Không tìm thấy kết quả" khi nhập với từ khoá không tồn tại dữ liệu trên hệ thống</t>
  </si>
  <si>
    <t>Điều hướng tới trang "Giỏ hàng của tôi"
Nhập từ khoá tìm kiếm trên thanh tìm kiếm
Kiểm tra Hiển thị thông báo "Không tìm thấy kết quả" khi nhập với từ khoá không tồn tại dữ liệu trên hệ thống</t>
  </si>
  <si>
    <t>- Hiển thị thông báo "Không tìm thấy kết quả" khi nhập với từ khoá không tồn tại dữ liệu trên hệ thống</t>
  </si>
  <si>
    <t>OH133</t>
  </si>
  <si>
    <t>Kiểm tra hệ thống giữ nguyên màn hình khi nhập từ khoá là các khoảng trống</t>
  </si>
  <si>
    <t>Điều hướng tới trang "Giỏ hàng của tôi"
Nhập từ khoá tìm kiếm là các khoảng trắng
Kiểm tra hệ thống giữ nguyên màn hình khi nhập từ khoá là các khoảng trống</t>
  </si>
  <si>
    <t>- hệ thống giữ nguyên màn hình khi nhập từ khoá là các khoảng trống</t>
  </si>
  <si>
    <t>OH134</t>
  </si>
  <si>
    <t>Kiểm tra hệ thống hiển thị danh sách sản phẩm ngay cả khi người dùng nhập từ khoá bằng chữ viết hoa hoặc chữ viết thường</t>
  </si>
  <si>
    <t>Điều hướng tới trang "Giỏ hàng của tôi"
Nhập từ khoá tìm kiếm là chữ viết hoa hoặc viết thường
Kiểm tra hệ thống hiển thị danh sách sản phẩm tương ứng không kể chữ hoa hay chữ thường</t>
  </si>
  <si>
    <t>- hệ thống hiển thị danh sách sản phẩm tương ứng không kể chữ hoa hay chữ thường</t>
  </si>
  <si>
    <t>OH135</t>
  </si>
  <si>
    <t>Danh sách sản phẩm không bị trùng</t>
  </si>
  <si>
    <t>Điều hướng tới trang "Giỏ hàng của tôi"
Kiểm tra danh sách sản phẩm không bị trùng</t>
  </si>
  <si>
    <t>- danh sách sản phẩm không bị trùng</t>
  </si>
  <si>
    <t>OH136</t>
  </si>
  <si>
    <t>Kiểm tra các đơn hàng đã thanh toán sẽ không xuất hiện trong danh sách đơn hàng</t>
  </si>
  <si>
    <t>Điều hướng tới trang "Giỏ hàng của tôi"
Check vào ô checkbox của sản phẩm tương ứng bất kì
Nhấn vào button "Thanh toán"
Nhấn vào button "Đặt hàng"
Nhấn vào Button chứa icon giỏ hàng
Kiểm tra đơn hàng vừa thanh toán có xuất hiện trong danh sách giỏ hàng hay không</t>
  </si>
  <si>
    <t xml:space="preserve">- đơn hàng vừa thanh toán không xuất hiện trong danh sách giỏ hàng </t>
  </si>
  <si>
    <t>OH137</t>
  </si>
  <si>
    <t>Kiểm tra số lượng sẽ được cập nhật khi người dùng thêm mới 1 sản phẩm đã tồn tại trong giỏ hàng</t>
  </si>
  <si>
    <t>Điều hướn tới trang chủ
Nhấn vào icon cart trên 1 mục sản phẩm đã tồn tại trong giỏ hàng
Nhấn vào button chứa icon cart dưới menu để điều hướng tới trang "Giỏ hàng"
Kiểm tra số lượng sản phẩm được cập nhật khi người dùng thêm mới 1 sản phẩm đã tồn tại trong giỏ hàng</t>
  </si>
  <si>
    <t>- số lượng sản phẩm được cập nhật khi người dùng thêm mới 1 sản phẩm đã tồn tại trong giỏ hàng</t>
  </si>
  <si>
    <t>OH138</t>
  </si>
  <si>
    <t>Kiểm tra số lượng sản phẩm hiển thị mặc định là 1 khi người dùng thực hiện thêm vào giỏ hàng sản phẩm chưa tồn tại trong danh sách giỏ hàng</t>
  </si>
  <si>
    <t>Điều hướn tới trang chủ
Nhấn vào icon cart trên 1 mục sản phẩm chưa tồn tại trong giỏ hàng
Nhấn vào button chứa icon cart dưới menu để điều hướng tới trang "Giỏ hàng"
Kiểm tra số lượng sản phẩm được cập nhật khi người dùng thêm mới 1 sản phẩm chưa tồn tại trong giỏ hàng</t>
  </si>
  <si>
    <t>- số lượng sản phẩm được cập nhật khi người dùng thêm mới 1 sản phẩm chưa tồn tại trong giỏ hàng</t>
  </si>
  <si>
    <t>OH139</t>
  </si>
  <si>
    <t>Kiểm tra số lượng sản phẩm giảm khi nhấn vào button (-)</t>
  </si>
  <si>
    <t>Điều hướn tới "Giỏ hàng của tôi"
Nhấn vào button (-) trên 1 mục sản phẩm
Kiểm tra số lượng sản phẩm giảm khi nhấn vào button (-)</t>
  </si>
  <si>
    <t>OH140</t>
  </si>
  <si>
    <t>Điều hướn tới "Giỏ hàng của tôi"
Nhấn vào button (+) trên 1 mục sản phẩm
Kiểm tra số lượng sản phẩm tăng khi nhấn vào button (+)</t>
  </si>
  <si>
    <t>OH141</t>
  </si>
  <si>
    <t>Kiểm tra số lượng khi khách nhập là các kí tự đặc biệt hoặc số âm</t>
  </si>
  <si>
    <t>Điều hướn tới "Giỏ hàng của tôi"
Nhập số lượng là các kí tự đặc biệt hoặc số âm
Kiểm tra số lượng sản phẩm mặc định là 1 khi nhấn vào button (+)</t>
  </si>
  <si>
    <t>-  số lượng sản phẩm mặc định là 1 khi nhấn vào button (+)</t>
  </si>
  <si>
    <t>OH142</t>
  </si>
  <si>
    <t>Kiểm tra số lượng khi người dùng nhập là số 0</t>
  </si>
  <si>
    <t>Điều hướn tới "Giỏ hàng của tôi"
Nhập số lượng là 0
Kiểm tra số lượng sản phẩm mặc định là 1 khi nhấn vào button (+)</t>
  </si>
  <si>
    <t>- số lượng sản phẩm mặc định là 1 khi nhấn vào button (+)</t>
  </si>
  <si>
    <t>OH143</t>
  </si>
  <si>
    <t>Kiểm tra số lượng khi người dùng nhập số lượng lớn hớn số lượng có trong kho hàng</t>
  </si>
  <si>
    <t>Điều hướng tới "Giỏ hàng của tôi"
Nhập số lượng lớn hơn so với lượng tồn trong kho
Kiểm tra hiển thị thông báo "Vượt quá số lượng tồn"</t>
  </si>
  <si>
    <t>- hiển thị thông báo "Vượt quá số lượng tồn"</t>
  </si>
  <si>
    <t>OH144</t>
  </si>
  <si>
    <t>Kiểm tra khi check thành công vào ô checkbox của sản phẩm tương ứng</t>
  </si>
  <si>
    <t>Điều hướn tới "Giỏ hàng của tôi"
Check vào ô checkbox của 1 sản phẩm bất kì trong danh sách giỏ hàng
Kiểm tra check thành công vào ô checkbox của sản phẩm tương ứng</t>
  </si>
  <si>
    <t>- check thành công vào ô checkbox của sản phẩm tương ứng</t>
  </si>
  <si>
    <t>OH145</t>
  </si>
  <si>
    <t>Kiểm tra hệ thống hiển thị chi tiết sản phẩm khi nhấn vào 1 mục sản phẩm trong giỏ hàng</t>
  </si>
  <si>
    <t>Điều hướn tới "Giỏ hàng của tôi"
Nhấn vào vùng chứa sản phẩm 
Kiểm tra hệ thống hiển thị chi tiết sản phẩm khi nhấn vào 1 mục sản phẩm trong giỏ hàng</t>
  </si>
  <si>
    <t>- hệ thống hiển thị chi tiết sản phẩm khi nhấn vào 1 mục sản phẩm trong giỏ hàng</t>
  </si>
  <si>
    <t>OH146</t>
  </si>
  <si>
    <t>Kiểm tra check thành công vào nhiều ô checkbox</t>
  </si>
  <si>
    <t>Điều hướn tới "Giỏ hàng của tôi"
Check vào nhiều sản phẩm
Kiểm tra check thành công vào nhiều ô checkbox</t>
  </si>
  <si>
    <t>- check thành công vào nhiều ô checkbox</t>
  </si>
  <si>
    <t>OH147</t>
  </si>
  <si>
    <t>Kiểm tra tổng tiền hiển thị chính xác khi check thành công vào 1 ô checkbox của sản phẩm</t>
  </si>
  <si>
    <t>Điều hướn tới "Giỏ hàng của tôi"
Check vào ô checkbox của 1 sản phẩm
Kiểm tra tổng tiền hiển thị chính xác khi check thành công vào 1 ô checkbox của sản phẩm</t>
  </si>
  <si>
    <t>- tổng tiền hiển thị chính xác khi check thành công vào 1 ô checkbox của sản phẩm</t>
  </si>
  <si>
    <t>OH148</t>
  </si>
  <si>
    <t>Kiểm tra hiển thị thành công 2 mục select bao gồm "Thêm vào yêu thích" hoặc "Xoá khỏi giỏ hàng" khi nhấn vào nút 3 chấm góc trên bên phải của mỗi item sản phẩm</t>
  </si>
  <si>
    <t>Điều hướn tới "Giỏ hàng của tôi"
Nhấn vào nút 3 chấm 
Kiểm tra hiển thị thành công 2 mục select bao gồm "Thêm vào yêu thích" hoặc "Xoá khỏi giỏ hàng" khi nhấn vào nút 3 chấm góc trên bên phải của mỗi item sản phẩm</t>
  </si>
  <si>
    <t>- hiển thị thành công 2 mục select bao gồm "Thêm vào yêu thích" hoặc "Xoá khỏi giỏ hàng" khi nhấn vào nút 3 chấm góc trên bên phải của mỗi item sản phẩm</t>
  </si>
  <si>
    <t>OH149</t>
  </si>
  <si>
    <t>Kiểm tra hiển thị chính xác số tiền giảm giá tương ứng với phần trăm giảm giá khi áp dụng voucher</t>
  </si>
  <si>
    <t>Điều hướn tới "Giỏ hàng của tôi"
Chọn (&gt;) bên phải vùng hiển thị giảm gía
Check vào voucher giảm giá đủ điều kiện để áp dụng
Nhấn button "Sử dụng"
Kiểm tra hiển thị chính xác số tiền giảm giá tương ứng với phần trăm giảm giá khi áp dụng voucher</t>
  </si>
  <si>
    <t>- hiển thị chính xác số tiền giảm giá tương ứng với phần trăm giảm giá khi áp dụng voucher</t>
  </si>
  <si>
    <t>OH150</t>
  </si>
  <si>
    <t>Kiểm tra hiển thị chính xác số tiền giảm vận chuyển tương ưng với phần trăm giảm khi áp dụng voucher</t>
  </si>
  <si>
    <t>Điều hướn tới "Giỏ hàng của tôi"
Chọn (&gt;) bên phải vùng hiển thị giảm gía
Check vào voucher vận chuyển đủ điều kiện để áp dụng
Nhấn button "Sử dụng"
Kiểm tra hiển thị chính xác số tiền giảm vận chuyển tương ưng với phần trăm giảm khi áp dụng voucher</t>
  </si>
  <si>
    <t>- hiển thị chính xác số tiền giảm vận chuyển tương ưng với phần trăm giảm khi áp dụng voucher</t>
  </si>
  <si>
    <t>OH151</t>
  </si>
  <si>
    <t>Kiểm tra hiển thị trang "Chọn Voucher" khi nhấn vào vùng hiển thị số tiền giảm giá</t>
  </si>
  <si>
    <t>Điều hướng tới trang "Giỏ hàng của tôi"
Chọn (&gt;) bên phải vùng hiển thị giảm gía
Kiểm tra hiển thị trang "Chọn Voucher" khi nhấn vào vùng hiển thị số tiền giảm giá</t>
  </si>
  <si>
    <t>- hiển thị trang "Chọn Voucher" khi nhấn vào vùng hiển thị số tiền giảm giá</t>
  </si>
  <si>
    <t>OH152</t>
  </si>
  <si>
    <t>Kiểm tra hiển thị nút button "Xoá" khi người dùng check 2 sản phẩm trở lên</t>
  </si>
  <si>
    <t>Điều hướng tới trang "Giỏ hàng của tôi"
Check vào 2 sản phẩm trở lên
Kiểm tra hiển thị nút button "Xoá" khi người dùng check 2 sản phẩm trở lên</t>
  </si>
  <si>
    <t>- hiển thị nút button "Xoá" khi người dùng check 2 sản phẩm trở lên</t>
  </si>
  <si>
    <t>OH153</t>
  </si>
  <si>
    <t>Kiểm tra hệ thống xoá thành công những sản phẩm được check khi nhấn vào button "Xoá" ra khỏi giỏ hàng</t>
  </si>
  <si>
    <t xml:space="preserve">Điều hướng tới trang "Giỏ hàng của tôi"
Check vào 2 sản phẩm trở lên
Nhấn vào button "Xoá"
Nhấn button "Đồng ý" trên hộp thoại "Xoá sản phẩm"
Kiểm tra hệ thống xoá thành công những sản phẩm được check khi nhấn vào button "Xoá" ra khỏi giỏ hàng
</t>
  </si>
  <si>
    <t>- hệ thống xoá thành công những sản phẩm được check khi nhấn vào button "Xoá" ra khỏi giỏ hàng</t>
  </si>
  <si>
    <t>OH154</t>
  </si>
  <si>
    <t>Kiểm tra khi người dùng check vào ô checkbox của tất cả các sản phẩm có trong giỏ hàng thì hệ thống thực hiện tự động check vào ô checkbox tất cả</t>
  </si>
  <si>
    <t>Điều hướng tới trang "Giỏ hàng của tôi"
Check vào ô checkbox của tất cả các sản phẩm có trong giỏ hàng 
Kiểm tra hệ thống thực hiện tự động check vào ô checkbox tất cả</t>
  </si>
  <si>
    <t>- hệ thống thực hiện tự động check vào ô checkbox tất cả</t>
  </si>
  <si>
    <t>OH155</t>
  </si>
  <si>
    <t xml:space="preserve">Kiểm tra khi người dùng thực hiện bỏ check sản phẩm cho đến khi số sản phẩm được check bé hơn 2 thì hệ thống tự động ẩn button "Xoá" </t>
  </si>
  <si>
    <t>Điều hướng tới trang "Giỏ hàng của tôi"
Bỏ Check vào ô checkbox của các sản phẩm cho đến khi số sản phẩm được check bé hơn 2 
Kiểm tra hệ thống thực hiện tự động bỏ check vào ô checkbox tất cả</t>
  </si>
  <si>
    <t>- hệ thống thực hiện tự động bỏ check vào ô checkbox tất cả</t>
  </si>
  <si>
    <t>OH156</t>
  </si>
  <si>
    <t>Kiểm tra hệ thống hiển thị thông báo "Sản phẩm này không thể chọn" khi sản phẩm này hết hàng hoặc ngừng bán</t>
  </si>
  <si>
    <t>Điều hướng tới trang "Giỏ hàng của tôi"
Chọn vào sản phẩm đã hết hàng hoặc ngừng bán
Kiểm tra hệ thống hiển thị thông báo "Sản phẩm này không thể chọn"</t>
  </si>
  <si>
    <t>Hiển thị thông báo " Sản phẩm này không thể chọn "</t>
  </si>
  <si>
    <t>OH157</t>
  </si>
  <si>
    <t xml:space="preserve">Kiểm tra hiển thị thông báo "Đã thêm vào yêu thích" khi nhấn vào lựa chọn "Thêm vào yêu thích" </t>
  </si>
  <si>
    <t>Điều hướng tới trang "Giỏ hàng của tôi"
Nhấn bút ba chấm trong 1 mục sản phẩm bất kì
Nhấn vào lưa chọn "Thêm vào yêu thích"
Hiển thị thông báo "Đã thêm vào yêu thích"</t>
  </si>
  <si>
    <t>- Hiển thị thông báo "Đã thêm vào yêu thích"</t>
  </si>
  <si>
    <t>OH158</t>
  </si>
  <si>
    <t>Kiểm tra thêm sản phẩm yêu thích thành công vào danh sách yêu thích khi nhấn vào lựa chọn "Thêm vào yêu thích"</t>
  </si>
  <si>
    <t>Điều hướng tới trang "Giỏ hàng của tôi"
Nhấn bút ba chấm trong 1 mục sản phẩm bất kì
Nhấn vào lưa chọn "Thêm vào yêu thích"
Nhấn vào mục "Cá nhân" dưới thanh menu
Nhấn vào mục "Yêu thích"
Kiểm tra sản phẩm vừa được thêm tồn tại trong danh sách yêu thích</t>
  </si>
  <si>
    <t>- sản phẩm vừa được thêm tồn tại trong danh sách yêu thích</t>
  </si>
  <si>
    <t>OH159</t>
  </si>
  <si>
    <t>Kiểm tra bỏ thêm sản phẩm yêu thích thành công khỏi danh sách yêu thích khi nhấn vào lựa chọn "Bỏ yêu thích"</t>
  </si>
  <si>
    <t>Điều hướng tới trang "Giỏ hàng của tôi"
Nhấn bút ba chấm trong 1 mục sản phẩm bất kì
Nhấn vào lưa chọn "Bỏ yêu thích"
Kiểm tra hệ thống hiển thị "Bỏ yêu thích thành công"
Nhấn vào mục "Cá nhân" dưới thanh menu
Nhấn vào mục "Yêu thích"
Kiểm tra sản phẩm vừa được xoá không tồn tại trong danh sách yêu thích</t>
  </si>
  <si>
    <t>- sản phẩm vừa được xoá không tồn tại trong danh sách yêu thích</t>
  </si>
  <si>
    <t>OH160</t>
  </si>
  <si>
    <t>Kiểm tra hiển thị hộp thoại "Xoá sản phẩm" khi nhấn vào lựa chọn "Xoá khỏi giỏ hàng"</t>
  </si>
  <si>
    <t xml:space="preserve">Điều hướng tới trang "Giỏ hàng của tôi"
Nhấn bút ba chấm trong 1 mục sản phẩm bất kì
Nhấn vào lưa chọn "Xoá khỏi giỏ hàng"
Kiểm tra hiển thị hộp thoại "Xoá sản phẩm"
</t>
  </si>
  <si>
    <t>- hiển thị hộp thoại "Xoá sản phẩm"</t>
  </si>
  <si>
    <t>OH161</t>
  </si>
  <si>
    <t>Kiểm tra hiển thị hộp thoại "Xoá sản phẩm" với thông báo "Bạn có chắc chắn muốn xoá bỏ sản phẩm này" khi bấm vào button (-) cho đến khi số lượng sản phẩm bé hơn 1</t>
  </si>
  <si>
    <t>Người dùng có tài khoản vàĐăng nhập thành công
Danh sách sản phẩm trong giỏ hàng tồn tại và đã tải hoàn tất
Số lượng sản phẩm phải lớn hơn 1</t>
  </si>
  <si>
    <t xml:space="preserve">Điều hướng tới trang "Giỏ hàng của tôi"
Nhấn vào button (-) cho đến khi số lượng sản phẩm bé hơn 1 của 1 mục sản phẩm bất kì trong giỏ hàng
Kiểm tra hiển thị hộp thoại "Xoá sản phẩm" với thông báo "Bạn có chắc chắn muốn xoá bỏ sản phẩm này"
</t>
  </si>
  <si>
    <t>- hiển thị hộp thoại "Xoá sản phẩm" với thông báo "Bạn có chắc chắn muốn xoá bỏ sản phẩm này"</t>
  </si>
  <si>
    <t>OH162</t>
  </si>
  <si>
    <t>Kiểm tra khi bấm vào button đồng ý trên hộp thoại xoá sản phẩm thì hệ thống xoá sản phẩm ra khỏi danh sách giỏ hàng</t>
  </si>
  <si>
    <t>"Điều hướng tới trang ""Giỏ hàng của tôi""
Nhấn bút ba chấm trong 1 mục sản phẩm bất kì
Nhấn vào lưa chọn ""Xoá khỏi giỏ hàng""
Nhấn vào button "Đồng ý" trên hộp thoại xoá sản phẩm 
Kiểm tra hệ thống xoá sản phẩm ra khỏi danh sách giỏ hàng</t>
  </si>
  <si>
    <t>- hệ thống xoá sản phẩm ra khỏi danh sách giỏ hàng</t>
  </si>
  <si>
    <t>OH163</t>
  </si>
  <si>
    <t>Kiểm tra khi bấm vào button "không" trên hộp thoại xoá sản phẩm thì hệ thống đóng hộp thoại xoá sản phẩm</t>
  </si>
  <si>
    <t>"Điều hướng tới trang ""Giỏ hàng của tôi""
Nhấn bút ba chấm trong 1 mục sản phẩm bất kì
Nhấn vào lưa chọn ""Xoá khỏi giỏ hàng""
Nhấn vào button "Không" trên hộp thoại xoá sản phẩm 
Kiểm tra hệ thống quay về màn hình GIỎ hàng của tôi</t>
  </si>
  <si>
    <t>Hệ thống quay về màn hình GIỎ hàng của tôi</t>
  </si>
  <si>
    <t>OH164</t>
  </si>
  <si>
    <t>Kiểm tra voucher không tồn tại trong danh sách voucher sau khi đã áp dụng cho đơn hàng đã đặt</t>
  </si>
  <si>
    <t>Điều hướng tới trang "Giỏ hàng của tôi"
Chọn (&gt;) bên phải vùng hiển thị giảm gía
Chọn voucher trong danh sách voucher 
Nhấn button "Sử dụng" 
Nhấn button "Thanh toán"
Nhấn button "Đặt hàng"
Nhấn button icon Cart dưới thanh Menu 
Chọn (&gt;) bên phải vùng hiển thị giảm gía
Kiểm tra voucher vừa áp dụng có còn tồn tại trong danh sách voucher nữa hay không</t>
  </si>
  <si>
    <t>OH165</t>
  </si>
  <si>
    <t>Hiển thị thành công mã giảm giá và là mã duy nhất khi người dùng nhập chính xác thông tin mã giảm giá</t>
  </si>
  <si>
    <t>Điều hướng tới trang "Giỏ hàng của tôi"
Chọn (&gt;) bên phải vùng hiển thị giảm gía
Nhập mã giảm giá trên thanh tìm kiếm
Nhấn button "Áp dụng"
Hiển thị thành công mã giảm giá khi người dùng nhập chính xác thông tin mã giảm giá</t>
  </si>
  <si>
    <t>- Hiển thị thành công mã giảm giá khi người dùng nhập chính xác thông tin mã giảm giá</t>
  </si>
  <si>
    <t>OH166</t>
  </si>
  <si>
    <t>Kiểm tra Hiển thị thông báo "Không tìm thấy kết quả" khi người dùng nhập mã giảm giá không tồn tại hoặc không chính xác</t>
  </si>
  <si>
    <t>Điều hướng tới trang "Giỏ hàng của tôi"
Chọn (&gt;) bên phải vùng hiển thị giảm gía
Nhập mã giảm giá trên thanh tìm kiếm
Nhấn button "Áp dụng"
Kiểm tra Hiển thị thông báo "Không tìm thấy kết quả" khi người dùng nhập mã giảm giá không tồn tại hoặc không chính xác</t>
  </si>
  <si>
    <t>- Hiển thị thông báo "Không tìm thấy kết quả" khi người dùng nhập mã giảm giá không tồn tại hoặc không chính xác</t>
  </si>
  <si>
    <t>OH167</t>
  </si>
  <si>
    <t>Kiểm tra mã voucher được check thành công khi người dùng chọn 1 voucher trong danh sách mã vận chuyển</t>
  </si>
  <si>
    <t>Điều hướng tới trang "Giỏ hàng của tôi"
Chọn (&gt;) bên phải vùng hiển thị giảm gía
Check vào 1 radio mã voucher trong danh sách mã vận chuyển
Kiểm tra mã voucher được check thành công</t>
  </si>
  <si>
    <t>- mã voucher được check thành công</t>
  </si>
  <si>
    <t>OH168</t>
  </si>
  <si>
    <t>Kiểm tra khả năng khi người dùng chọn nhiều voucher mã vận chuyển</t>
  </si>
  <si>
    <t>Điều hướng tới trang "Giỏ hàng của tôi"
Chọn (&gt;) bên phải vùng hiển thị giảm gía
Check vào nhiều radio mã voucher trong danh sách mã vận chuyển
Kiểm tra khả năng khi người dùng chọn nhiều voucher mã vận chuyển</t>
  </si>
  <si>
    <t>- Người dùng chỉ có thể chọn 1 voucher duy nhất trong danh sách mã voucher vận chuyển</t>
  </si>
  <si>
    <t>- khả năng khi người dùng chọn nhiều voucher mã vận chuyển</t>
  </si>
  <si>
    <t>OH169</t>
  </si>
  <si>
    <t>Kiểm tra khi người dùng tick vào 1 voucher khác</t>
  </si>
  <si>
    <t>Điều hướng tới trang "Giỏ hàng của tôi"
Chọn (&gt;) bên phải vùng hiển thị giảm gía
Check vào 1 radio mã voucher khác
Kiểm tra khi người dùng tick vào 1 radio voucher khác</t>
  </si>
  <si>
    <t>-  Hệ thống bỏ check ở voucher cũ và tick vào ô radio của voucher mới</t>
  </si>
  <si>
    <t>- Hệ thống bỏ tick ở radio voucher cũ và tick vào voucher mới</t>
  </si>
  <si>
    <t>OH170</t>
  </si>
  <si>
    <t>Kiểm tra áp dụng voucher thành công khi người dùng chọn 1 voucher vận chuyển hoặc giảm giá và áp dụng nó</t>
  </si>
  <si>
    <t>Điều hướng tới trang "Giỏ hàng của tôi"
Chọn (&gt;) bên phải vùng hiển thị giảm gía
Chọn 1 voucher vận chuyển và 1 voucher giảm giá
Kiểm tra áp dụng voucher thành công khi người dùng chọn 1 voucher vận chuyển hoặc giảm giá và áp dụng nó</t>
  </si>
  <si>
    <t>- áp dụng voucher thành công khi người dùng chọn 1 voucher vận chuyển hoặc giảm giá và áp dụng nó</t>
  </si>
  <si>
    <t>OH171</t>
  </si>
  <si>
    <t xml:space="preserve">Kiểm tra mã voucher được check thành công khi người dùng chọn 1 voucher trong danh sách mã giảm giá
</t>
  </si>
  <si>
    <t>Điều hướng tới trang "Giỏ hàng của tôi"
Chọn (&gt;) bên phải vùng hiển thị giảm gía
Check vào 1 radio mã voucher trong danh sách mã giảm giá
Kiểm tra mã voucher được check thành công</t>
  </si>
  <si>
    <t>-  mã voucher được check thành công</t>
  </si>
  <si>
    <t>OH172</t>
  </si>
  <si>
    <t>Kiểm tra khả năng khi người dùng chọn nhiều voucher mã giảm giá</t>
  </si>
  <si>
    <t>Điều hướng tới trang "Giỏ hàng của tôi"
Chọn (&gt;) bên phải vùng hiển thị giảm gía
Check vào nhiều radio mã voucher trong danh sách mã giảm giá
Kiểm tra khả năng khi người dùng chọn nhiều voucher mã giảm giá</t>
  </si>
  <si>
    <t>- Người dùng chỉ chọn 1 voucher duy nhất trong danh sách mã vận chuyển hoặc danh sách mã giảm gía</t>
  </si>
  <si>
    <t>OH173</t>
  </si>
  <si>
    <t>Kiểm tra khi người dùng áp dụng cả 2 loại voucher giảm giá và voucher vận chuyển thành công khi người dùng đã hoàn tất chọn xong 2 loại voucher và áp dụng nó</t>
  </si>
  <si>
    <t>Điều hướng tới trang "Giỏ hàng của tôi"
Chọn (&gt;) bên phải vùng hiển thị giảm gía
Chọn 1 voucher vận chuyển và 1 voucher giảm giá
Nhấn button "Sử dụng"
Kiểm tra số tiền giảm giá của mã vận chuyển và mã giảm giá tương ứng với số phần trăm giảm trong voucher</t>
  </si>
  <si>
    <t>-  số tiền giảm giá của mã vận chuyển và mã giảm giá hiển thị tương ứng với số phần trăm giảm trong voucher</t>
  </si>
  <si>
    <t>OH174</t>
  </si>
  <si>
    <t xml:space="preserve">Kiểm tra dữ liệu thông tin các voucher trong danh sách hiển thị chính xác </t>
  </si>
  <si>
    <t xml:space="preserve">Điều hướng tới trang "Giỏ hàng của tôi"
Chọn (&gt;) bên phải vùng hiển thị giảm gía
Kiểm tra dữ liệu  thông tin các voucher trong danh sách hiển thị chính xác </t>
  </si>
  <si>
    <t xml:space="preserve">- dữ liệu  thông tin các voucher trong danh sách hiển thị chính xác </t>
  </si>
  <si>
    <t>OH175</t>
  </si>
  <si>
    <t>Kiểm tra khi người dùng nhấn vào button "Sử dụng" thì hệ thống chuyển sang trang "Thanh toán"</t>
  </si>
  <si>
    <t>Điều hướng tới trang "Giỏ hàng của tôi"
Chọn (&gt;) bên phải vùng hiển thị giảm gía
Nhấn button "Thanh toán"
Kiểm tra và xác nhận hệ thống chuyển sang trang "Thanh toán"</t>
  </si>
  <si>
    <t>- hệ thống chuyển sang trang "Thanh toán"</t>
  </si>
  <si>
    <t>OH176</t>
  </si>
  <si>
    <t>Kiểm tra và xác nhận các ô checkbox tương ứng trong danh sách giỏ hàng đã được check khi người dùng check vào ô checkbox tất cả và ngược lại</t>
  </si>
  <si>
    <t>Điều hướng tới trang "Giỏ hàng của tôi"
Check vào ô checkbox tất cả
Kiểm tra và xác nhận các ô checkbox tương ứng trong danh sách giỏ hàng đã được check
Check lần thứ 2 vào ô checkbox tất cả
Kiểm tra và xác nhận các ô checkbox tương ứng trong danh sách giỏ hàng đã bỏ check</t>
  </si>
  <si>
    <t>- các ô checkbox tương ứng trong danh sách giỏ hàng đã bỏ check khi click vào lần đầu
- các ô checkbox tương ứng trong danh sách giỏ hàng đã bỏ check khi click vào lần 2</t>
  </si>
  <si>
    <t>OH177</t>
  </si>
  <si>
    <t>Kiểm tra khi check vào ô checkbox tất cả thì hệ thống hiển thị tổng tiền tương ứng với tổng tiền của tất cả các sản phẩm nhân với số lượng của sản phẩm có trong giỏ hàng</t>
  </si>
  <si>
    <t>Điều hướng tới trang "Giỏ hàng của tôi"
Check vào ô checkbox tất cả
Kiểm tra hệ thống hiển thị tổng tiền tương ứng với tổng tiền của tất cả các sản phẩm nhân với số lượng của sản phẩm có trong giỏ hàng</t>
  </si>
  <si>
    <t>- hiển thị tổng tiền tương ứng với tổng tiền của tất cả các sản phẩm nhân với số lượng của sản phẩm có trong giỏ hàng</t>
  </si>
  <si>
    <t>OH178</t>
  </si>
  <si>
    <t>Kiểm tra hiển thị chính xác tiền giảm giá bằng với số tiền giảm giá và số tiền vận chuyển của tất cả các sản phẩm được check</t>
  </si>
  <si>
    <t>Điều hướng tới trang "Giỏ hàng của tôi"
Chọn (&gt;) bên phải vùng hiển thị giảm gía
Chọn 1 voucher trong danh sách vận chuyển và 1 voucher trong danh sách giảm giá
Kiểm tra hiển thị chính xác tiền giảm giá bằng với số tiền giảm giá và số tiền vận chuyển của tất cả các sản phẩm được check</t>
  </si>
  <si>
    <t>- hiển thị chính xác tiền giảm giá bằng với số tiền giảm giá và số tiền vận chuyển của tất cả các sản phẩm được check</t>
  </si>
  <si>
    <t>OH179</t>
  </si>
  <si>
    <t>Kiểm tra khi check vào ô checkbox tất cả thì hiển thị button "Xoá"</t>
  </si>
  <si>
    <t>Điều hướng tới trang "Giỏ hàng của tôi"
Check vào ô checkbox tất cả
Kiểm tra hiển thị button "Xoá"</t>
  </si>
  <si>
    <t>- hiển thị button "Xoá"</t>
  </si>
  <si>
    <t>OH180</t>
  </si>
  <si>
    <t>Kiểm tra khi nhấn vào button "Xoá" thì hiển thị hộp thoại "Xoá tất cả"</t>
  </si>
  <si>
    <t>Điều hướng tới trang "Giỏ hàng của tôi"
Check vào ô checkbox tất cả
Nhấn vào button "Xoá"
Kiểm tra hệ thống hiển thị hộp thoại "Xoá tất cả"</t>
  </si>
  <si>
    <t>- hệ thống hiển thị hộp thoại "Xoá tất cả"</t>
  </si>
  <si>
    <t>OH181</t>
  </si>
  <si>
    <t>Kiểm tra khi nhấn button "Đồng ý" trên hộp thoại xoá tất cả thì hệ thống xoá tất cả danh sách sản phẩm có trong giỏ hàng</t>
  </si>
  <si>
    <t>Điều hướng tới trang "Giỏ hàng của tôi"
Check vào ô checkbox tất cả
Nhấn vào button "Xoá"
Nhấn vào button 'Đồng ý" trên hộp thoại "Xoá tất cả"
Kiểm tra và xác nhận hệ thống xoá tất cả danh sach sản phẩm có trong giỏ hàng</t>
  </si>
  <si>
    <t>- hệ thống xoá tất cả danh sach sản phẩm có trong giỏ hàng</t>
  </si>
  <si>
    <t>OH182</t>
  </si>
  <si>
    <t>Kiểm tra khi nhấn button "Không" trên hộp thoại xoá tất cả thì hệ thống đóng hộp thoại xoá tất cả</t>
  </si>
  <si>
    <t>- hệ thống đóng hộp thoại xoá tất cả</t>
  </si>
  <si>
    <t>OH183</t>
  </si>
  <si>
    <t>Kiểm tra ô checkbox tất cả mặc định ban đầu là không được check</t>
  </si>
  <si>
    <t>Điều hướng tới trang "Giỏ hàng của tôi"
Kiểm tra và xác nhận ô checkbox tất cả mặc định ban đầu là không được check</t>
  </si>
  <si>
    <t>- ô checkbox tất cả mặc định ban đầu là không được check</t>
  </si>
  <si>
    <t>OH184</t>
  </si>
  <si>
    <t>Điều hướng tới trang "Giỏ hàng của tôi"
Check vào checkbox của 2 sản phẩm trở lên 
Kiểm tra hiển thị nút button "Xoá"</t>
  </si>
  <si>
    <t>OH185</t>
  </si>
  <si>
    <t>Kiểm tra ô checkbox tất cả đã được check, nhưng người dùng lại bỏ check 1 hoặc nhiều hơn, thì hệ thống sẽ huỷ bỏ check ở ô checkbox tất cả</t>
  </si>
  <si>
    <t>Điều hướng tới trang "Giỏ hàng của tôi"
Check vào ô checkbox tất cả
Bỏ check 1 sản phẩm bất kì trong giỏ hàng
Kiểm tra và xác nhận hệ thống tự động huỷ bỏ check ở ô checkbox tất cả</t>
  </si>
  <si>
    <t>- hệ thống tự động huỷ bỏ check ở ô checkbox tất cả</t>
  </si>
  <si>
    <t>OH186</t>
  </si>
  <si>
    <t>Kiểm tra hệ thống hiển thị đúng tổng tiền tương ứng với tổng tiền của các sản phẩm được check</t>
  </si>
  <si>
    <t>Điều hướng tới trang "Giỏ hàng của tôi"
Check vào số sản phẩm tuỳ chọn
Kiểm tra hệ thống hiển thị đúng tổng tiền tương ứng với tổng tiền của các sản phẩm được check</t>
  </si>
  <si>
    <t>- hệ thống hiển thị đúng tổng tiền tương ứng với tổng tiền của các sản phẩm được check</t>
  </si>
  <si>
    <t>OH187</t>
  </si>
  <si>
    <t>Kiểm tra tổng tiền hiển thị chính xác khi bỏ check vào một vài sản phẩm</t>
  </si>
  <si>
    <t>Điều hướng tới trang "Giỏ hàng của tôi"
Check vào số sản phẩm tuỳ chọn (ví dụ 5)
Bỏ check một vài sản phẩm (ví dụ 2)
Kiểm tra tổng tiền hiển thị chính xác khi bỏ check vào một vài sản phẩm</t>
  </si>
  <si>
    <t>- tổng tiền hiển thị chính xác khi bỏ check vào một vài sản phẩm</t>
  </si>
  <si>
    <t>OH188</t>
  </si>
  <si>
    <t>Kiểm tra hệ thống hiển thị tổng tiền và tổng giảm giá là 0 khi không check vào sản phẩm nào</t>
  </si>
  <si>
    <t>Điều hướng tới trang "Giỏ hàng của tôi"
Bỏ check các sản phẩm đang được check
Kiểm tra hệ thống hiển thị tổng tiền và tổng giảm giá là 0 khi không check vào sản phẩm nào</t>
  </si>
  <si>
    <t>- hệ thống hiển thị tổng tiền và tổng giảm giá là 0 khi không check vào sản phẩm nào</t>
  </si>
  <si>
    <t>OH189</t>
  </si>
  <si>
    <t>Kiểm tra hiển thị thông báo "Bạn chưa chọn sản phẩm nào" khi nhấn nút button "Thanh toán" nhưng không thực hiện check vào 1 sản phẩm nào</t>
  </si>
  <si>
    <t>"Điều hướng tới trang ""Giỏ hàng của tôi""
Bỏ check các sản phẩm đang được check
Nhấn button "Thanh toán"
Kiểm tra hệ thống hiển thị thông báo "Bạn chưa chọn sản phẩm nào"</t>
  </si>
  <si>
    <t>- hệ thống hiển thị thông báo "Bạn chưa chọn sản phẩm nào"</t>
  </si>
  <si>
    <t>OH190</t>
  </si>
  <si>
    <t xml:space="preserve">Kiểm tra hiển thị chính xác số sản phẩm được check </t>
  </si>
  <si>
    <t>Điều hướng tới trang "Giỏ hàng của tôi"
Đếm số sản phẩm có trong giỏ hàng đang được check
Kiểm tra số lượng sản phẩm trong button "Thanh toán" tương ứng với số sản phẩm đang được check trong giỏ hàng</t>
  </si>
  <si>
    <t>- số lượng sản phẩm trong button "Thanh toán" tương ứng với số sản phẩm đang được check trong giỏ hàng</t>
  </si>
  <si>
    <t>OH191</t>
  </si>
  <si>
    <t>Kiểm tra hiển thị trang "Thanh toán" khi nhấn vào button "Thanh toán"</t>
  </si>
  <si>
    <t xml:space="preserve">"Điều hướng tới trang "Giỏ hàng của tôi"
Check 1 vài sản phẩm trong giỏ hàng 
Nhấn button "Thanh toán"
Kiểm tra hiển thị trang "Thanh toán" </t>
  </si>
  <si>
    <t xml:space="preserve">- hiển thị trang "Thanh toán" </t>
  </si>
  <si>
    <t>OH192</t>
  </si>
  <si>
    <t>Kiểm tra hiển thị chính xác thông tin bao gồm thông tin sản phẩm và tổng tiền đơn hàng trong trang "Thanh toán"</t>
  </si>
  <si>
    <t>"Điều hướng tới trang "Giỏ hàng của tôi"
Check 1 vài sản phẩm trong giỏ hàng 
Nhấn button "Thanh toán"
Kiểm tra hiển thị chính xác thông tin bao gồm thông tin sản phẩm và tổng tiền đơn hàng trong trang "Thanh toán" bao gồm Hình ảnh sản phẩm, tên sản phẩm, giá sản phẩm và số lượng sản phẩm</t>
  </si>
  <si>
    <t>- hiển thị chính xác thông tin bao gồm thông tin sản phẩm và tổng tiền đơn hàng trong trang "Thanh toán" bao gồm Hình ảnh sản phẩm, tên sản phẩm, giá sản phẩm và số lượng sản phẩm</t>
  </si>
  <si>
    <t>OH193</t>
  </si>
  <si>
    <t>Kiểm tra header "Thanh toán" (Kích thước, vị trí, màu chữ và khả năng giữ nguyên khi cuộn)</t>
  </si>
  <si>
    <t>Tải lên thành công toàn bộ thông tin nội dung có trong trang Thanh toán
Người dùng đã hoàn tất việc chọn sản phẩm thanh toán</t>
  </si>
  <si>
    <t>Điều hướng đến trang thanh toán
Kiểm tra hiển thị đúng kích thước, vị trí, màu chữ của heading "Thanh toán" và khả năng giữ nguyên khi cuộn trang</t>
  </si>
  <si>
    <t>- hiển thị đúng kích thước, vị trí, màu chữ của heading "Thanh toán" và khả năng giữ nguyên khi cuộn trang</t>
  </si>
  <si>
    <t>OH194</t>
  </si>
  <si>
    <t>Kiểm tra vị trí vùng chứa địa chỉ nhận hàng</t>
  </si>
  <si>
    <t xml:space="preserve">Điều hướng đến trang thanh toán
Kiểm tra hiển thị đúng kích thước, vị trí, màu nền của vùng chứa địa chỉ nhận hàng </t>
  </si>
  <si>
    <t xml:space="preserve">- hiển thị đúng kích thước, vị trí, màu nền của vùng chứa địa chỉ nhận hàng </t>
  </si>
  <si>
    <t>OH195</t>
  </si>
  <si>
    <t>Kiểm tra tiêu đề "Địa chỉ nhận hàng" (Kích thước, vị trí, màu chữ)</t>
  </si>
  <si>
    <t>Điều hướng đến trang thanh toán
Kiểm tra hiển thị đúng kích thước, vị trí, màu chữ của tiêu đề "Địa chỉ nhận hàng"</t>
  </si>
  <si>
    <t>- hiển thị đúng kích thước, vị trí, màu chữ của tiêu đề "Địa chỉ nhận hàng"</t>
  </si>
  <si>
    <t>OH196</t>
  </si>
  <si>
    <t>Kiểm tra icon map (Kích thước, vị trí, màu nền)</t>
  </si>
  <si>
    <t>Điều hướng đến trang thanh toán
Kiểm tra hiển thị đúng kích thước, vị trí, màu nền của icon map</t>
  </si>
  <si>
    <t>- hiển thị đúng kích thước, vị trí, màu nền của icon map</t>
  </si>
  <si>
    <t>OH197</t>
  </si>
  <si>
    <t>Kiểm tra tên người nhận hàng (Kích thước, vị trí, màu chữ)</t>
  </si>
  <si>
    <t>Điều hướng đến trang thanh toán
Kiểm tra hiển thị đúng kích thước, vị trí, màu chữ của tên người nhận hàng</t>
  </si>
  <si>
    <t>- hiển thị đúng kích thước, vị trí, màu chữ của tên người nhận hàng</t>
  </si>
  <si>
    <t>OH198</t>
  </si>
  <si>
    <t>Kiểm tra số điện thoại (Kích thước, vị trí, màu chữ)</t>
  </si>
  <si>
    <t>Điều hướng đến trang thanh toán
Kiểm tra hiển thị đúng kích thước, vị trí, màu chữ của số điện thoại</t>
  </si>
  <si>
    <t>- hiển thị đúng kích thước, vị trí, màu chữ của số điện thoại</t>
  </si>
  <si>
    <t>OH199</t>
  </si>
  <si>
    <t>Kiểm tra địa chỉ(Kích thước, vị trí, màu chữ)</t>
  </si>
  <si>
    <t>Điều hướng đến trang thanh toán
Kiểm tra hiển thị đúng kích thước, vị trí, màu chữ của địa chỉ</t>
  </si>
  <si>
    <t>- hiển thị đúng kích thước, vị trí, màu chữ của địa chỉ</t>
  </si>
  <si>
    <t>OH200</t>
  </si>
  <si>
    <t>Kiểm tra vùng icon (&gt;) để chọn đia chỉ (Kích thước, vị trí, màu chữ)</t>
  </si>
  <si>
    <t>Điều hướng đến trang thanh toán
Kiểm tra hiển thị đúng kích thước, vị trí, màu chữ của vùng icon (&gt;) để chuyển sang trang chọn địa chỉ</t>
  </si>
  <si>
    <t>- hiển thị đúng kích thước, vị trí, màu chữ của vùng icon (&gt;) để chuyển sang trang chọn địa chỉ</t>
  </si>
  <si>
    <t>OH201</t>
  </si>
  <si>
    <t>Kiểm tra ghi chú (Kích thước, vị trí, màu chữ)</t>
  </si>
  <si>
    <t xml:space="preserve">Điều hướng đến trang thanh toán
Kiểm tra hiển thị đúng kích thước, vị trí, màu chữ của ghi chú </t>
  </si>
  <si>
    <t>- hiển thị đúng kích thước, vị trí, màu chữ của ghi chú</t>
  </si>
  <si>
    <t>OH202</t>
  </si>
  <si>
    <t>Kiểm tra vùng chứa danh sách sản phẩm</t>
  </si>
  <si>
    <t>Điều hướng đến trang thanh toán
Kiểm tra kích thước, vị trí của vùng chứa danh sách sản phẩm</t>
  </si>
  <si>
    <t>- hiển thị đúng kích thước, vị trí của vùng chứa danh sách sản phẩm</t>
  </si>
  <si>
    <t>OH203</t>
  </si>
  <si>
    <t>Kiểm tra khả năng cuộn danh sách khi danh sách dài</t>
  </si>
  <si>
    <t>Điều hướng đến trang thanh toán
Kiểm tra khả năng cuộn danh sách khi danh sách dài</t>
  </si>
  <si>
    <t>- khả năng cuộn lên và xuống danh sách tốt khi danh sách dài</t>
  </si>
  <si>
    <t>OH204</t>
  </si>
  <si>
    <t>Kiểm tra khoảng cách giữa các mục sản phẩm</t>
  </si>
  <si>
    <t>Điều hướng đến trang thanh toán
Kiểm tra hiện thị đúng khoảng cách giữa các mục sản phẩm</t>
  </si>
  <si>
    <t xml:space="preserve">- Khoảng cách giữa các mục sản phẩm là đều </t>
  </si>
  <si>
    <t>OH205</t>
  </si>
  <si>
    <t>Kiểm tra tiêu đề "Tổng số sản phẩm: x" (Kích thước, vị trí, màu chữ)</t>
  </si>
  <si>
    <t xml:space="preserve">Điều hướng đến trang thanh toán
Kiểm tra hiển thị đúng kích thước, vị trí, màu chữ của tiêu đề "Tổng số sản phẩm: x" </t>
  </si>
  <si>
    <t xml:space="preserve">- hiển thị đúng kích thước, vị trí, màu chữ của tiêu đề "Tổng số sản phẩm: x" </t>
  </si>
  <si>
    <t>OH206</t>
  </si>
  <si>
    <t>Kiểm tra hình ảnh sản phẩm trong 1 item (Kích thước, vị trí, độ nét)</t>
  </si>
  <si>
    <t>Điều hướng đến trang thanh toán
Kiểm tra kích thước, vị trí, độ sắc nét của hình ảnh sản phẩm trong 1 item</t>
  </si>
  <si>
    <t>- hiển thị đúng kích thước, vị trí, độ sắc nét của hình ảnh sản phẩm trong 1 item</t>
  </si>
  <si>
    <t>OH207</t>
  </si>
  <si>
    <t>Kiểm tra tên sản phẩm trong 1 itemv(Kích thước, vị trí, màu chữ)</t>
  </si>
  <si>
    <t>Điều hướng đến trang thanh toán
Kiểm tra kích thước, vị trí, màu chữ của tên sản phẩm trong 1 item</t>
  </si>
  <si>
    <t>- Hiển thị đúng kích thước, vị trí, màu chữ của tên sản phẩm trong 1 item</t>
  </si>
  <si>
    <t>OH208</t>
  </si>
  <si>
    <t>Kiểm tra giá hiển thị (Kích thước, vị trí, màu chữ)</t>
  </si>
  <si>
    <t>Điều hướng đến trang thanh toán
Kiểm tra kích thước, vị trí, màu chữ của giá sản phẩm trong 1 item</t>
  </si>
  <si>
    <t>- Hiển thị đúng kích thước, vị trí, màu chữ của giá sản phẩm trong 1 item</t>
  </si>
  <si>
    <t>OH209</t>
  </si>
  <si>
    <t>Kiểm tra giá gốc</t>
  </si>
  <si>
    <t>- Hiển thị đúng kích thước, vị trí, màu chữ của giá gốc sản phẩm trong 1 item</t>
  </si>
  <si>
    <t>OH210</t>
  </si>
  <si>
    <t>Kiểm tra số lượng (Kích thước, vị trí, màu chữ)</t>
  </si>
  <si>
    <t>Điều hướng đến trang thanh toán
Kiểm tra kích thước, vị trí, màu chữ của số lượng sản phẩm trong 1 item</t>
  </si>
  <si>
    <t>- Hiển thị đúng kích thước, vị trí, màu chữ của số lượng sản phẩm trong 1 item</t>
  </si>
  <si>
    <t>OH211</t>
  </si>
  <si>
    <t>Kiểm tra lời nhắn cho VTech (Kích thước, vị trí, màu chữ)</t>
  </si>
  <si>
    <t>Điều hướng đến trang thanh toán
Kiểm tra kích thước, vị trí, màu chữ của lời nhắn sản phẩm trong 1 item</t>
  </si>
  <si>
    <t>- Hiển thị đúng kích thước, vị trí, màu chữ của lời nhắn sản phẩm trong 1 item</t>
  </si>
  <si>
    <t>OH212</t>
  </si>
  <si>
    <t>Kiểm tra hộp input lời nhắn(Kích thước, vị trí)</t>
  </si>
  <si>
    <t>Điều hướng đến trang thanh toán
Kiểm tra kích thước, vị trí của hộp input lời nhắn</t>
  </si>
  <si>
    <t>- Hiển thị đúng kích thước, vị trí của hộp input lời nhắn</t>
  </si>
  <si>
    <t>OH213</t>
  </si>
  <si>
    <t>Kiểm  tra vùng hiển thị voucher (vị trí, kích thước)</t>
  </si>
  <si>
    <t>Điều hướng đến trang thanh toán
Kiểm tra kích thước, vị trí của vùng hiển thị voucher</t>
  </si>
  <si>
    <t>- Hiển thị đúng kích thước, vị trí của vùng hiển thị voucher</t>
  </si>
  <si>
    <t>OH214</t>
  </si>
  <si>
    <t>Kiểm tra tiêu đề voucher(Kích thước, vị trí, màu chữ)</t>
  </si>
  <si>
    <t>Điều hướng đến trang thanh toán
Kiểm tra kích thước, vị trí của tiêu đề voucher</t>
  </si>
  <si>
    <t>- Hiển thị đúng kích thước, vị trí của tiêu đề voucher</t>
  </si>
  <si>
    <t>OH215</t>
  </si>
  <si>
    <t>Kiểm tra vùng hiển thị số tiền theo mã giảm giá</t>
  </si>
  <si>
    <t>Điều hướng đến trang thanh toán
Kiểm tra kích thước, vị trí của text hiển thị số tiền theo mã giảm giá</t>
  </si>
  <si>
    <t>- Hiển thị đúng kích thước, vị trí của text hiển thị số tiền theo mã giảm giá</t>
  </si>
  <si>
    <t>OH216</t>
  </si>
  <si>
    <t>Kiểm tra vùng hiển thị số tiền theo mã vận chuyển</t>
  </si>
  <si>
    <t>Điều hướng đến trang thanh toán
Kiểm tra kích thước, vị trí của text hiển thị số tiền theo mã vận chuyển</t>
  </si>
  <si>
    <t>- Hiển thị đúng kích thước, vị trí của text hiển thị số tiền theo mã vận chuyển</t>
  </si>
  <si>
    <t>OH217</t>
  </si>
  <si>
    <t>Kiểm tra linktext "Xem tất cả&gt;" (Kích thước, vị trí, màu chữ)</t>
  </si>
  <si>
    <t>Điều hướng đến trang thanh toán
Kiểm tra kích thước, vị trí của link text "Xem tất cả"</t>
  </si>
  <si>
    <t>- Hiển thị đúng kích thước, vị trí, màu chữ của link text "Xem tất cả"</t>
  </si>
  <si>
    <t>OH218</t>
  </si>
  <si>
    <t>Kiểm tra tiêu đề chi tiết thanh toán (Kích thươcs, vị trí, màu chữ)</t>
  </si>
  <si>
    <t>Điều hướng đến trang thanh toán
Kiểm tra kích thước, vị trí của tiêu đề "Chi tiết thanh toán"</t>
  </si>
  <si>
    <t>- Hiển thị đúng kích thước, vị trí, màu chữ của link text "Chi tiết thanh toán"</t>
  </si>
  <si>
    <t>OH219</t>
  </si>
  <si>
    <t>Kiểm tra tiêu đề tổng tiền hàng</t>
  </si>
  <si>
    <t>Điều hướng đến trang thanh toán
Kiểm tra kích thước, vị trí của tiêu đề "Tổng tiền hàng"</t>
  </si>
  <si>
    <t>- Hiển thị đúng kích thước, vị trí, màu chữ của link text "Tổng tiền hàng"</t>
  </si>
  <si>
    <t>OH220</t>
  </si>
  <si>
    <t>Kiểm tra vùng hiển thị số tiền tổng tiền hàng</t>
  </si>
  <si>
    <t>Điều hướng đến trang thanh toán
Kiểm tra kích thước, vị trí của text hiển thị số tiền tổng tiền hàng</t>
  </si>
  <si>
    <t>- Hiển thị đúng kích thước, vị trí của text hiển thị số tiền tổng tiền hàng</t>
  </si>
  <si>
    <t>OH221</t>
  </si>
  <si>
    <t>Kiểm tra tiêu đề "Tổng tiền phí vận chuyển"</t>
  </si>
  <si>
    <t>Điều hướng đến trang thanh toán
Kiểm tra kích thước, vị trí màu chữ của tiêu đề "Tổng tiền phí vận chuyển"</t>
  </si>
  <si>
    <t>- Hiển thị đúng kích thước, vị trí màu chữ của tiêu đề "Tổng tiền phí vận chuyển"</t>
  </si>
  <si>
    <t>OH222</t>
  </si>
  <si>
    <t>Kiểm tra vùng hiển thị số tiền tổng tiền phí vận chuyển</t>
  </si>
  <si>
    <t>Điều hướng đến trang thanh toán
Kiểm tra kích thước, vị trí, màu chữ của text hiển thị số tiền tổng tiền phí vận chuyển</t>
  </si>
  <si>
    <t>- Hiển thị đúng kích thước, vị trí, màu chữ của text hiển thị số tiền tổng tiền phí vận chuyển</t>
  </si>
  <si>
    <t>OH223</t>
  </si>
  <si>
    <t>Kiểm tra tiêu đề "Giảm giá sản phẩm"</t>
  </si>
  <si>
    <t>Điều hướng đến trang thanh toán
Kiểm tra kích thước, vị trí của tiêu đề "Giảm giá sản phẩm"</t>
  </si>
  <si>
    <t>- Hiển thị đúng kích thước, vị trí của tiêu đề "Giảm giá sản phẩm"</t>
  </si>
  <si>
    <t>OH224</t>
  </si>
  <si>
    <t>Kiểm tra vùng hiển thị số tiền giảm giá sản phẩm</t>
  </si>
  <si>
    <t>Điều hướng đến trang thanh toán
Kiểm tra kích thước, vị trí, màu chữ của vùng hiển thị số tiền giảm giá sản phẩm</t>
  </si>
  <si>
    <t>- Hiển thị đúng kích thước, vị trí, màu chữ của vùng hiển thị số tiền giảm giá sản phẩm</t>
  </si>
  <si>
    <t>OH225</t>
  </si>
  <si>
    <t>Kiêm tra tiêu đề "Tổng giảm giá"</t>
  </si>
  <si>
    <t>Điều hướng đến trang thanh toán
Kiểm tra kích thước, vị trí, màu chữ của tiêu đề "Tổng giảm giá"</t>
  </si>
  <si>
    <t>- Hiển thị đúng kích thước, vị trí, màu chữ của tiêu đề "Tổng giảm giá"</t>
  </si>
  <si>
    <t>OH226</t>
  </si>
  <si>
    <t>Kiểm tra vùng hiển thị số tiền tổng giảm giá</t>
  </si>
  <si>
    <t>Điều hướng đến trang thanh toán
Kiểm tra kích thước, vị trí, màu chữ của text hiển thị số tiền tổng tiền giảm giá</t>
  </si>
  <si>
    <t>- Hiển thị đúng kích thước, vị trí, màu chữ của text hiển thị số tiền tổng tiền giảm giá</t>
  </si>
  <si>
    <t>OH227</t>
  </si>
  <si>
    <t>Kiểm tra tiêu đề "Tổng thanh toán"</t>
  </si>
  <si>
    <t>Điều hướng đến trang thanh toán
Kiểm tra kích thước, vị trí,màu chữ của tiêu đề "Tổng thanh toán"</t>
  </si>
  <si>
    <t>- Hiển thị đúng kích thước, vị trí,màu chữ của tiêu đề "Tổng thanh toán"</t>
  </si>
  <si>
    <t>OH228</t>
  </si>
  <si>
    <t>Kiểm tra vùng hiển thị số tiền tổng thanh toán</t>
  </si>
  <si>
    <t>Điều hướng đến trang thanh toán
Kiểm tra kích thước, vị trí, màu chữ của text hiển thị số tiền tổng thanh toán</t>
  </si>
  <si>
    <t>- Hiển thị đúng kích thước, vị trí, màu chữ của text hiển thị số tiền tổng thanh toán</t>
  </si>
  <si>
    <t>OH229</t>
  </si>
  <si>
    <t>Kiểm tra vùng hiển thị Foodter (Vị trí, kích thước và khả năng giữ nguyên Foodter khi cuộn lên cuộn xuống)</t>
  </si>
  <si>
    <t>Điều hướng đến trang thanh toán
Kiểm tra kích thước, kích thước và khả năng giữ nguyên Foodter khi cuộn trang lên hoăc xuống</t>
  </si>
  <si>
    <t>- Hiển thị đúng kích thước, kích thước và khả năng giữ nguyên Foodter khi cuộn trang lên hoăc xuống</t>
  </si>
  <si>
    <t>OH230</t>
  </si>
  <si>
    <t>Kiểm tra tiêu đề "Tổng thanh toán" ở foodter</t>
  </si>
  <si>
    <t>Điều hướng đến trang thanh toán
Kiểm tra kích thước, vị trí, màu chữ của tiêu đề "Tổng thanh toán" ở foodter</t>
  </si>
  <si>
    <t>- Hiển thị đúng kích thước, vị trí, màu chữ của tiêu đề "Tổng thanh toán" ở foodter</t>
  </si>
  <si>
    <t>OH231</t>
  </si>
  <si>
    <t>Kiểm tra text số tiền ở foodter</t>
  </si>
  <si>
    <t>Điều hướng đến trang thanh toán
Kiểm tra kích thước, vị trí, màu chữ của text số tiền ở Foodter</t>
  </si>
  <si>
    <t>- Hiển thị đúng kích thước, vị trí, màu chữ của text số tiền ở Foodter</t>
  </si>
  <si>
    <t>OH232</t>
  </si>
  <si>
    <t>Kiểm tra button "Đặt hàng"</t>
  </si>
  <si>
    <t>Điều hướng đến trang thanh toán
Kiểm tra kích thước, vị trí, màu nền, màu viền  của button "Đặt hàng"</t>
  </si>
  <si>
    <t>- HIển thị đúng kích thước, vị trí, màu nền, màu viền  của button "Đặt hàng"</t>
  </si>
  <si>
    <t>OH233</t>
  </si>
  <si>
    <t>Kiểm tra địa chỉ giao hàng ban đầu có phải là địa chỉ gần nhất được áp dụng hay không</t>
  </si>
  <si>
    <t xml:space="preserve">Tải lên thành công toàn bộ thông tin nội dung có trong trang Thanh toán
Người dùng đã hoàn tất việc chọn sản phẩm thanh toán
Người dùng đã cung cấp ít nhất 1 địa chỉ giao hàng </t>
  </si>
  <si>
    <t>Điều hướng đến trang lịch sử đơn hàng
Nhấn vào mục đã giao
Chọn vào đơn hàng gần nhất
Xem địa chỉ giao hàng được áp dụng trong đơn hàng
Nhấn "Home" dưới menu
Chọn 1 mục sản phẩm
Hệ thống chuyển đến trang giỏ hàng và tự động tick vào sản phẩm đã chọn
Nhấn button "Mua ngay"
Hệ thống chuyển đến trang "Thanh toán"
Kiểm tra và xác nhận địa chỉ được áp dụng là địa chỉ được sử dụng gần nhất</t>
  </si>
  <si>
    <t>- Địa chỉ ban đầu là địa chỉ mặc định</t>
  </si>
  <si>
    <t>OH234</t>
  </si>
  <si>
    <t>Kiểm tra hệ thống trở về page cha trước đó khi nhấn vào button "Back"</t>
  </si>
  <si>
    <t xml:space="preserve">Tải lên thành công toàn bộ thông tin nội dung có trong trang Thanh toán
Người dùng đã hoàn tất việc chọn sản phẩm thanh toán
</t>
  </si>
  <si>
    <t>Điều hướng đến trang thanh toán
Nhấn vào button "Back"
Kiểm tra hệ thống trở lại trang giỏ hàng</t>
  </si>
  <si>
    <t>- Hệ thống trở lại trang giỏ hàng</t>
  </si>
  <si>
    <t>OH235</t>
  </si>
  <si>
    <t>Kiểm tra thứ tự địa chỉ mặc định được sắp xếp đầu tiên trong danh sách địa chỉ</t>
  </si>
  <si>
    <t>Điều hướng đến trang thanh toán
Nhấn vào vùng hiển thị địa chỉ để chuyển sang trang "Chọn địa chỉ giao hàng"
Kiểm tra thứ tự địa chỉ mặc định được sắp xếp đầu tiên trong danh sách địa chỉ</t>
  </si>
  <si>
    <t>- Địa chỉ mặc định được xếp đầu tiên trong danh sách địa chỉ giao hàng</t>
  </si>
  <si>
    <t>OH236</t>
  </si>
  <si>
    <t xml:space="preserve">Kiểm tra thông tin địa chỉ giao hàng tồn tại trong danh sách địa chỉ giao hàng </t>
  </si>
  <si>
    <t>Điều hướng đến trang thanh toán
Nhấn vào vùng hiển thị địa chỉ để chuyển sang trang "Chọn địa chỉ giao hàng"
Kiểm tra địa chỉ giao hàng có tồn tại trong danh sách địa chỉ giao hàng và đang là địa chỉ được chọn</t>
  </si>
  <si>
    <t>- Địa chỉ giao hàng có tồn tại trong danh sách địa chỉ giao hàng và đang là địa chỉ được chọn</t>
  </si>
  <si>
    <t>OH237</t>
  </si>
  <si>
    <t>Kiểm tra hệ thống hiển thị "Chọn địa chỉ nhận hàng"  khi nhấn vào vùng chứa địa chỉ nhận hàng</t>
  </si>
  <si>
    <t>Điều hướng đến trang thanh toán
Nhấn vào vùng hiển thị địa chỉ để chuyển sang trang "Chọn địa chỉ giao hàng"
Kiểm tra hệ thống hiển thị trang "Chọn địa chỉ nhận hàng" khi nhấn vào vùng chứa địa chỉ nhận hàng</t>
  </si>
  <si>
    <t>- hệ thống hiển thị trang "Chọn địa chỉ nhận hàng" khi nhấn vào vùng chứa địa chỉ nhận hàng</t>
  </si>
  <si>
    <t>OH238</t>
  </si>
  <si>
    <t>Kiểm tra khi người dùng chọn 1 địa chỉ khác với địa chỉ hiện tại</t>
  </si>
  <si>
    <t>Điều hướng đến trang thanh toán
Nhấn vào vùng hiển thị địa chỉ để chuyển sang trang "Chọn địa chỉ giao hàng"
Chọn 1 địa chỉ khác với địa chỉ hiện tại
Nhấn button "Back"
Kiểm tra hệ thống hiển thị địa chỉ vừa chọn trên vùng hiển thị địa chỉ giao hàng</t>
  </si>
  <si>
    <t>- hệ thống hiển thị địa chỉ vừa chọn trên vùng hiển thị địa chỉ giao hàng</t>
  </si>
  <si>
    <t>OH239</t>
  </si>
  <si>
    <t>Kiểm tra hệ thống hiển thị trang "Chỉnh sửa chi tiết địa chỉ" khi chọn vào 1 mục địa chỉ</t>
  </si>
  <si>
    <t>Điều hướng đến trang thanh toán
Nhấn vào vùng hiển thị địa chỉ để chuyển sang trang "Chọn địa chỉ giao hàng"
Chọn địa chỉ bất kì
Kiểm tra Hệ thống hiển thị trang "Chỉnh sửa chi tiết địa chỉ"</t>
  </si>
  <si>
    <t>- hệ thống hiển thị trang "Chỉnh sửa chi tiết địa chỉ" khi chọn vào 1 mục địa chỉ</t>
  </si>
  <si>
    <t>OH240</t>
  </si>
  <si>
    <t>Kểm tra hệ thống hiển thị chính xác thông tin địa chỉ khi người dùng nhấn vô (&gt;) để sang trang chỉnh sửa chi tiết địa chỉ</t>
  </si>
  <si>
    <t>Điều hướng đến trang thanh toán
Nhấn vào vùng hiển thị địa chỉ để chuyển sang trang "Chọn địa chỉ giao hàng"
Chọn địa chỉ bất kì
Kiểm tra hệ thống hiển thị chính xác thông tin địa chỉ đó</t>
  </si>
  <si>
    <t>- hệ thống hiển thị chính xác thông tin địa chỉ khi người dùng nhấn vô 1 item địa chỉ để sang trang chỉnh sửa chi tiết địa chỉ</t>
  </si>
  <si>
    <t>OH241</t>
  </si>
  <si>
    <t>Kiểm tra số lượng sản phẩm tương ứng với số sản phẩm có trong danh sach thanh toán</t>
  </si>
  <si>
    <t>Điều hướng đến trang thanh toán
Đếm số sản phẩm có trong danh sách thanh toán
Kiểm tra hiển thị đúng số lượng sản phẩm tương ứng với số sản phẩm có trong danh sach thanh toán</t>
  </si>
  <si>
    <t>- hiển thị đúng số lượng sản phẩm tương ứng với số sản phẩm có trong danh sach thanh toán</t>
  </si>
  <si>
    <t>OH242</t>
  </si>
  <si>
    <t>Kiêm tra hiển thị đúng thông tin của mỗi sản phẩm</t>
  </si>
  <si>
    <t>Điều hướng đến trang thanh toán
Kiểm tra hiển thị đúng thông tin của mỗi sản phẩm trong danh sách thanh toán</t>
  </si>
  <si>
    <t>- hiển thị đúng thông tin của mỗi sản phẩm trong danh sách thanh toán</t>
  </si>
  <si>
    <t>OH243</t>
  </si>
  <si>
    <t>Kiểm tra hiển thị đúng số tiền đã áp dụng voucher nếu người dùng đã chọn voucher trước đó</t>
  </si>
  <si>
    <t>Điều hướng đến trang giỏ hàng
Nhấn vào vùng chọn voucher
Chọn voucher để áp dụng cho đơn hàng
Nhấn button sử dụng
Nhấn button "Đặt hàng"
Nhấn vào vùng hiển thị voucher
Kiểm tra có đúng với voucher đã chọn trước đó
Nhấn button close để đóng trang
Kiểm tra hiển thị đúng số tiền áp dụng với voucher đã chọn trước đó</t>
  </si>
  <si>
    <t>- hiển thị đúng số tiền đã áp dụng voucher nếu người dùng đã chọn voucher trước đó</t>
  </si>
  <si>
    <t>OH244</t>
  </si>
  <si>
    <t>Kiểm tra text giảm vận chuyển và giảm giá là đúng</t>
  </si>
  <si>
    <t xml:space="preserve">Điều hướng đến trang "Thanh toán"
Nhấn vào vùng hiển thị voucher
Chọn voucher mã vận chuyển và voucher giảm giá phù hợp
Nhấn button "Sử dụng"
Kiểm tra hiển thị đúng text giảm vận chuyển và giảm giá </t>
  </si>
  <si>
    <t xml:space="preserve">- hiển thị đúng text giảm vận chuyển và giảm giá </t>
  </si>
  <si>
    <t>OH245</t>
  </si>
  <si>
    <t>Kiểm tra tổng tiền hàng tương ứng với tổng số tiền nhân với số lượng của các sản phẩm</t>
  </si>
  <si>
    <t>Điều hướng đến trang "Thanh toán"
Kiểm tra hiển thị tổng tiền hàng tương ứng với tổng số tiền sản phẩm nhân với số lương của mỗi sản phẩm đó</t>
  </si>
  <si>
    <t>-  Hiển thị đúng tổng tiền hàng tương ứng với tổng số tiền nhân với số lượng của các sản phẩm</t>
  </si>
  <si>
    <t>OH246</t>
  </si>
  <si>
    <t>Kiểm tra và xác nhận tổng giảm giá bằng số tiền đơn hàng nhân với phần trăm giảm giá của mã giảm giá</t>
  </si>
  <si>
    <t>Điều hướng đến trang "Thanh toán"
Kiểm tra và xác nhận tổng giảm giá bằng số tiền đơn hàng nhân với phần trăm giảm giá của mã giảm giá</t>
  </si>
  <si>
    <t>- tổng giảm giá bằng số tiền đơn hàng nhân với phần trăm giảm giá của mã giảm giá</t>
  </si>
  <si>
    <t>OH247</t>
  </si>
  <si>
    <t>Kiểm tra và xác nhận tổng giảm giá bằng số tiền đơn hàng nhân với phần trăm giảm giá của mã vận chuyển</t>
  </si>
  <si>
    <t>Điều hướng đến trang "Thanh toán"
Kiểm tra tổng giảm giá bằng số tiền ưu đãi phí vận chuyển và mã giảm giá sản phẩm</t>
  </si>
  <si>
    <t xml:space="preserve">Có 4 trường hợp
1- Chỉ có mã ưu đãi phí vận chuyển
2- Chỉ có mã giảm giá sản phẩm
3- Có cả mã ưu đãi vận chuyển và mã giảm giá sản phẩm
4- Không có áp dụng mã nào </t>
  </si>
  <si>
    <t>- tổng giảmgiá bằng số tiền ưu đãi phí vận chuyển và mã giảm giá sản phẩm</t>
  </si>
  <si>
    <t>OH248</t>
  </si>
  <si>
    <t>Kiểm tra và xác nhận tổng thanh toán bằng số tổng tiền hàng cộng với tổng tiền phí vận chuyển, rồi trừ đi tổng giảm giá</t>
  </si>
  <si>
    <t>Điều hướng đến trang "Thanh toán"
Kiểm tra và xác nhận tổng giảm giá bằng với số tiền giảm khi áp dụng khi áp dụng mã giảm giá và mã vận chuyển</t>
  </si>
  <si>
    <t>- Tổng giảm giá bằng với số tiền giảm khi áp dụng khi áp dụng mã giảm giá và mã vận chuyển</t>
  </si>
  <si>
    <t>OH249</t>
  </si>
  <si>
    <t>Kiểm tra hệ thống hiển thị thông báo "Đặt hàng thành công" khi nhấn vào button "Đặt hàng"</t>
  </si>
  <si>
    <t>Điều hướng đến trang "Thanh toán"
Nhấn button "Đặt hàng"
Kiểm tra và xác nhận hệ thống hiển thị thông báo "Đặt hàng thành công" khi nhấn vào button "Đặt hàng"</t>
  </si>
  <si>
    <t>- Hệ thống hiển thị thông báo "Đặt hàng thành công" khi nhấn vào button "Đặt hàng"</t>
  </si>
  <si>
    <t>OH250</t>
  </si>
  <si>
    <t>Kiểm tra hệ thống hiển thị loading... khi nhấn vào button "Đặt hàng"</t>
  </si>
  <si>
    <t>Điều hướng đến trang "Thanh toán"
Nhấn button "Đặt hàng"
Kiểm tra và xác nhận hệ thống hiển thị loading... khi nhấn vào button "Đặt hàng"</t>
  </si>
  <si>
    <t>- hệ thống hiển thị loading... khi nhấn vào button "Đặt hàng"</t>
  </si>
  <si>
    <t>OH251</t>
  </si>
  <si>
    <t>Hệ thống yêu cầu nhập địa chỉ nếu người dùng chưa cung cấp địa chỉ nào khi nhấn vào button "Đặt hàng"</t>
  </si>
  <si>
    <t>Điều hướng đến trang "Thanh toán"
Nhấn button "Đặt hàng"
Kiểm tra và xác nhận hệ thống hiển thị thông báo yêu cầu người dùng cung cấp địa chỉ nếu chưa cung cấp địa chỉ nào</t>
  </si>
  <si>
    <t>- hệ thống hiển thị thông báo yêu cầu người dùng cung cấp địa chỉ nếu chưa cung cấp địa chỉ nào</t>
  </si>
  <si>
    <t>OH252</t>
  </si>
  <si>
    <t xml:space="preserve"> Thanh trạng thái - Tab tất cả</t>
  </si>
  <si>
    <t>Hover khi chuyển tab</t>
  </si>
  <si>
    <t xml:space="preserve">Đăng nhập vào tài khoản
Chọn tab Cá nhân 
Chọn Đơn hàng --&gt; xem tất cả 
Chuyển từ tab Tất cả  hoặc Chờ xác nhận hoặc Đang xử lý hoặc Đang giao  hoặc Đã giao hoặc Đã huỷ
</t>
  </si>
  <si>
    <t>OH253</t>
  </si>
  <si>
    <t>Kiểm tra hiển thị danh sách đơn hàng</t>
  </si>
  <si>
    <t>Đăng nhập vào tài khoản
Chọn tab Cá nhân 
Chọn Đơn hàng --&gt; xem tất cả 
Chọn tab " Tất cả "
Kiểm tra danh sách đơn hàng</t>
  </si>
  <si>
    <t xml:space="preserve">Hiển thị đầy đủ danh sách đơn hàng </t>
  </si>
  <si>
    <t>OH254</t>
  </si>
  <si>
    <t>Kiểm tra thanh load page</t>
  </si>
  <si>
    <t>Đăng nhập vào tài khoản
Chọn tab Cá nhân 
Chọn Đơn hàng --&gt; xem tất cả 
Chọn tab " Tất cả "
Kiểm tra thanh load page khi load lại danh sách đơn hàng</t>
  </si>
  <si>
    <t>Load danh sách đầy đủ</t>
  </si>
  <si>
    <t>OH255</t>
  </si>
  <si>
    <t>Kiểm tra hiển thị danh sách  đơn hàng trống</t>
  </si>
  <si>
    <t>Điều kiện không có sẵn đơn hàng</t>
  </si>
  <si>
    <t>Đăng nhập vào tài khoản
Chọn tab Cá nhân 
Chọn Đơn hàng --&gt; xem tất cả 
Chọn tab " Tất cả "
Kiểm tra hiển thị không có danh sách đơn hàng</t>
  </si>
  <si>
    <t>Hiển thị thông báo Không có đơn hàng</t>
  </si>
  <si>
    <t>OH256</t>
  </si>
  <si>
    <t>Thanh trạng thái - Tab chờ xác nhận</t>
  </si>
  <si>
    <t>Đăng nhập vào tài khoản
Chọn tab Cá nhân 
Chọn Đơn hàng --&gt; xem tất cả 
Chọn tab " Chờ xác nhận "
Kiểm tra danh sách đơn hàng</t>
  </si>
  <si>
    <t>OH257</t>
  </si>
  <si>
    <t>Đăng nhập vào tài khoản
Chọn tab Cá nhân 
Chọn Đơn hàng --&gt; xem tất cả 
Chọn tab " Chờ xác nhận  "
Kiểm tra thanh load page khi load lại danh sách đơn hàng</t>
  </si>
  <si>
    <t>OH258</t>
  </si>
  <si>
    <t>Đăng nhập vào tài khoản
Chọn tab Cá nhân 
Chọn Đơn hàng --&gt; xem tất cả 
Chọn tab " Chờ xác nhận  "
Kiểm tra hiển thị không có danh sách đơn hàng</t>
  </si>
  <si>
    <t>OH259</t>
  </si>
  <si>
    <t>Thanh trạng thái - Tab Đang xử lý</t>
  </si>
  <si>
    <t>Đăng nhập vào tài khoản
Chọn tab Cá nhân 
Chọn Đơn hàng --&gt; xem tất cả 
Chọn tab "  Đang xử lý "
Kiểm tra danh sách đơn hàng</t>
  </si>
  <si>
    <t>OH260</t>
  </si>
  <si>
    <t>Đăng nhập vào tài khoản
Chọn tab Cá nhân 
Chọn Đơn hàng --&gt; xem tất cả 
Chọn tab "  Đang xử lý  "
Kiểm tra thanh load page khi load lại danh sách đơn hàng</t>
  </si>
  <si>
    <t>OH261</t>
  </si>
  <si>
    <t>Đăng nhập vào tài khoản
Chọn tab Cá nhân 
Chọn Đơn hàng --&gt; xem tất cả 
Chọn tab "  Đang xử lý  "
Kiểm tra hiển thị không có danh sách đơn hàng</t>
  </si>
  <si>
    <t>OH262</t>
  </si>
  <si>
    <t>Thanh trạng thái - Tab Đang giao</t>
  </si>
  <si>
    <t>Đăng nhập vào tài khoản
Chọn tab Cá nhân 
Chọn Đơn hàng --&gt; xem tất cả 
Chọn tab "  Đang giao "
Kiểm tra danh sách đơn hàng</t>
  </si>
  <si>
    <t>OH263</t>
  </si>
  <si>
    <t>Đăng nhập vào tài khoản
Chọn tab Cá nhân 
Chọn Đơn hàng --&gt; xem tất cả 
Chọn tab "  Đang giao  "
Kiểm tra thanh load page khi load lại danh sách đơn hàng</t>
  </si>
  <si>
    <t>OH264</t>
  </si>
  <si>
    <t>Đăng nhập vào tài khoản
Chọn tab Cá nhân 
Chọn Đơn hàng --&gt; xem tất cả 
Chọn tab "  Đang giao "
Kiểm tra hiển thị không có danh sách đơn hàng</t>
  </si>
  <si>
    <t>OH265</t>
  </si>
  <si>
    <t>Thanh trạng thái - Tab Đã giao</t>
  </si>
  <si>
    <t>Đăng nhập vào tài khoản
Chọn tab Cá nhân 
Chọn Đơn hàng --&gt; xem tất cả 
Chọn tab "  Đã giao "
Kiểm tra danh sách đơn hàng</t>
  </si>
  <si>
    <t>OH266</t>
  </si>
  <si>
    <t>Đăng nhập vào tài khoản
Chọn tab Cá nhân 
Chọn Đơn hàng --&gt; xem tất cả 
Chọn tab "  Đã giao  "
Kiểm tra thanh load page khi load lại danh sách đơn hàng</t>
  </si>
  <si>
    <t>OH267</t>
  </si>
  <si>
    <t>Đăng nhập vào tài khoản
Chọn tab Cá nhân 
Chọn Đơn hàng --&gt; xem tất cả 
Chọn tab " Đã giao "
Kiểm tra hiển thị không có danh sách đơn hàng</t>
  </si>
  <si>
    <t>OH268</t>
  </si>
  <si>
    <t>Thanh trạng thái - Tab Đã huỷ</t>
  </si>
  <si>
    <t>Đăng nhập vào tài khoản
Chọn tab Cá nhân 
Chọn Đơn hàng --&gt; xem tất cả 
Chọn tab "  Đã huỷ "
Kiểm tra danh sách đơn hàng</t>
  </si>
  <si>
    <t>OH269</t>
  </si>
  <si>
    <t>Đăng nhập vào tài khoản
Chọn tab Cá nhân 
Chọn Đơn hàng --&gt; xem tất cả 
Chọn tab "  Đã huỷ  "
Kiểm tra thanh load page khi load lại danh sách đơn hàng</t>
  </si>
  <si>
    <t>OH270</t>
  </si>
  <si>
    <t>Đăng nhập vào tài khoản
Chọn tab Cá nhân 
Chọn Đơn hàng --&gt; xem tất cả 
Chọn tab " Đã huỷ "
Kiểm tra hiển thị không có danh sách đơn hàng</t>
  </si>
  <si>
    <t>OH271</t>
  </si>
  <si>
    <t>Xem chi tiết đơn hàng - Tab tất cả</t>
  </si>
  <si>
    <t>Đăng nhập vào tài khoản
Chọn tab Cá nhân 
Chọn Đơn hàng --&gt; xem tất cả 
Ở màn hình lịch sử đơn hàng chọn vào xem chi tiết đơn hàng
Kiểm tra màu sắc, kích thước, cỡ chữ của thanh header " THÔNG TIN ĐƠN HÀNG "</t>
  </si>
  <si>
    <t xml:space="preserve"> Hiển thị đúng màu sắc, kích thước, cỡ chữ thanh header</t>
  </si>
  <si>
    <t>Không in đậm thanh header " Thông tin đơn hàng "</t>
  </si>
  <si>
    <t>OH272</t>
  </si>
  <si>
    <t>Kiểm tra hiển thị trạng thái</t>
  </si>
  <si>
    <t xml:space="preserve">Đăng nhập vào tài khoản
Chọn tab Cá nhân 
Chọn Đơn hàng --&gt; xem tất cả 
Ở màn hình lịch sử đơn hàng chọn vào xem chi tiết đơn hàng 
Ở màn hình thông tin đơn hàng , kiểm tra hiển thị trạng thái ở tab đang chọn 
</t>
  </si>
  <si>
    <t>Hiển thị đúng trạng thái khi ở tab đang chọn</t>
  </si>
  <si>
    <t>OH273</t>
  </si>
  <si>
    <t>Kiểm tra thông tin vận chuyển</t>
  </si>
  <si>
    <t xml:space="preserve">Đăng nhập vào tài khoản
Chọn tab Cá nhân 
Chọn Đơn hàng --&gt; xem tất cả 
Ở màn hình lịch sử đơn hàng chọn vào xem chi tiết đơn hàng 
Ở màn hình thông tin đơn hàng , kiểm tra hiển thị trạng thái ở tab đang chọn 
Kiểm tra mã đơn vị vẩn chuyển của đơn hàng </t>
  </si>
  <si>
    <t>Hiển thị đúng mã  vận chuyển của đơn hàng</t>
  </si>
  <si>
    <t>OH274</t>
  </si>
  <si>
    <t>Kiểm tra hiển thị thời gian đặt</t>
  </si>
  <si>
    <t xml:space="preserve">Đăng nhập vào tài khoản
Chọn tab Cá nhân 
Chọn Đơn hàng --&gt; xem tất cả 
Ở màn hình lịch sử đơn hàng chọn vào xem chi tiết đơn hàng 
Ở màn hình thông tin đơn hàng , kiểm tra hiển thị thời gian đặt 
</t>
  </si>
  <si>
    <t xml:space="preserve">Hiển thị đúng thời gian đặt </t>
  </si>
  <si>
    <t>OH275</t>
  </si>
  <si>
    <t>Kiểm tra trạng thái tiến trình đơn hàng</t>
  </si>
  <si>
    <t xml:space="preserve">Đăng nhập vào tài khoản
Chọn tab Cá nhân 
Chọn Đơn hàng --&gt; xem tất cả 
Ở màn hình lịch sử đơn hàng chọn vào xem chi tiết đơn hàng 
Ở màn hình thông tin đơn hàng , xác minh các trạng thái tiến trình đơn hàng ( Đã đặt hàng, Chờ đơn vị vận chuyển, Đang vận chuyển, Đã giao ) </t>
  </si>
  <si>
    <t>Các trạng thái tiến trình đơn hàng hiển thị rõ ràng và đúng vị trí</t>
  </si>
  <si>
    <t>Thiếu icon của trạng thái tiến trình đơn hàng
Không in đậm trạng thái " Đã đặt hàng "</t>
  </si>
  <si>
    <t>OH276</t>
  </si>
  <si>
    <t>Kiểm tra thông tin người nhận hàng</t>
  </si>
  <si>
    <t>Đăng nhập vào tài khoản
Chọn tab Cá nhân 
Chọn Đơn hàng --&gt; xem tất cả 
Ở màn hình lịch sử đơn hàng chọn vào xem chi tiết đơn hàng 
Ở màn hình thông tin đơn hàng , kiểm tra tên , số điện thoại và địa chỉ của người nhận</t>
  </si>
  <si>
    <t>Hiển thị thông tin người nhận chính xác</t>
  </si>
  <si>
    <t>Thiếu icon địa chỉ của người nhân hàng
Thiếu dấu ngăn cách giữa tên và số điện thoại</t>
  </si>
  <si>
    <t>OH277</t>
  </si>
  <si>
    <t>Kiểm tra hiển thị ghi chú đơn hàng</t>
  </si>
  <si>
    <t>Đăng nhập vào tài khoản
Chọn tab Cá nhân 
Chọn Đơn hàng --&gt; xem tất cả 
Ở màn hình lịch sử đơn hàng chọn vào xem chi tiết đơn hàng 
Ở màn hình thông tin đơn hàng , kiểm tra phần ghi chú đơn hàng</t>
  </si>
  <si>
    <t>Phần ghi chú hiển thị với văn bản mẫu hoặc để trống nếu không có ghi chú</t>
  </si>
  <si>
    <t>Thiếu icon ghi chú của đơn hàng</t>
  </si>
  <si>
    <t>OH278</t>
  </si>
  <si>
    <t>Kiểm tra nút sao chép đơn hàng</t>
  </si>
  <si>
    <t>Đăng nhập vào tài khoản
Chọn tab Cá nhân 
Chọn Đơn hàng --&gt; xem tất cả 
Ở màn hình lịch sử đơn hàng chọn vào xem chi tiết đơn hàng 
Ở màn hình thông tin đơn hàng , nhấn chuột vào nút sao chép đơn hàng</t>
  </si>
  <si>
    <t>Sao chép đúng được mã đơn hàng</t>
  </si>
  <si>
    <t>Không có nút sao chép đơn hàng</t>
  </si>
  <si>
    <t>OH279</t>
  </si>
  <si>
    <t>Kiểm tra hiển thị danh sách sản phẩm</t>
  </si>
  <si>
    <t>Đăng nhập vào tài khoản
Chọn tab Cá nhân 
Chọn Đơn hàng --&gt; xem tất cả 
Ở màn hình lịch sử đơn hàng chọn vào xem chi tiết đơn hàng 
Ở màn hình thông tin đơn hàng , kiểm tra mỗi sản phẩm hiển thị đầy đủ tên, hình ảnh, giá cả và số lượng</t>
  </si>
  <si>
    <t>Hiển thị đầy đủ thông tin sản phẩm , giá đã giảm và giá gốc, số lượng cho từng sản phẩm</t>
  </si>
  <si>
    <t>OH280</t>
  </si>
  <si>
    <t>Kiểm tra tổng số lượng sản phẩm</t>
  </si>
  <si>
    <t>Đăng nhập vào tài khoản
Chọn tab Cá nhân 
Chọn Đơn hàng --&gt; xem tất cả 
Ở màn hình lịch sử đơn hàng chọn vào xem chi tiết đơn hàng 
Ở màn hình thông tin đơn hàng , kiểm tra tổng số lượng sản phẩm</t>
  </si>
  <si>
    <t>Hiển thị chính xác tổng số lượng sản phẩm</t>
  </si>
  <si>
    <t>OH281</t>
  </si>
  <si>
    <t>Kiểm tra tên sản phẩm</t>
  </si>
  <si>
    <t xml:space="preserve">Đăng nhập vào tài khoản
Chọn tab Cá nhân 
Chọn Đơn hàng --&gt; xem tất cả 
Ở màn hình lịch sử đơn hàng chọn vào xem chi tiết đơn hàng 
Ở màn hình thông tin đơn hàng , kiểm tra hiển thị màu sắc, kích thước, cỡ chữ tên sản phẩm </t>
  </si>
  <si>
    <t>Hiển thị đúng màu sắc, kích thước, cỡ chữ của tên sản phẩm</t>
  </si>
  <si>
    <t>OH282</t>
  </si>
  <si>
    <t>Đăng nhập vào tài khoản
Chọn tab Cá nhân 
Chọn Đơn hàng --&gt; xem tất cả 
Ở màn hình lịch sử đơn hàng chọn vào xem chi tiết đơn hàng 
Ở màn hình thông tin đơn hàng , kiểm tra màu sắc,kích thước, cỡ chữ và đúng  giá gốc của sản phẩm</t>
  </si>
  <si>
    <t>Hiển thị đúng màu sắc, kích thước, cỡ chữ của tên sản phẩm và đúng giá gốc sản phẩm</t>
  </si>
  <si>
    <t>In đậm giá gốc của sản phẩm</t>
  </si>
  <si>
    <t>OH283</t>
  </si>
  <si>
    <t>Kiểm tra gia sau giảm của sản phẩm</t>
  </si>
  <si>
    <t>Đăng nhập vào tài khoản
Chọn tab Cá nhân 
Chọn Đơn hàng --&gt; xem tất cả 
Ở màn hình lịch sử đơn hàng chọn vào xem chi tiết đơn hàng 
Ở màn hình thông tin đơn hàng , kiểm tra màu sắc,kích thước, cỡ chữ và đúng  giá sau giảm của sản phẩm</t>
  </si>
  <si>
    <t xml:space="preserve">Hiển thị đúng màu sắc, kích thước, cỡ chữ của tên sản phẩm và đúng giá sau giảm </t>
  </si>
  <si>
    <t>Sai màu giá sau giảm</t>
  </si>
  <si>
    <t>OH284</t>
  </si>
  <si>
    <t>Kiểm tra hiển thị ghi chú toàn sản phẩm</t>
  </si>
  <si>
    <t>Đăng nhập vào tài khoản
Chọn tab Cá nhân 
Chọn Đơn hàng --&gt; xem tất cả 
Ở màn hình lịch sử đơn hàng chọn vào xem chi tiết đơn hàng 
Ở màn hình thông tin đơn hàng , kiểm tra ghi chú toàn sản phẩm</t>
  </si>
  <si>
    <t>Ghi chú của toàn sản phẩm hiển thị đầy đủ</t>
  </si>
  <si>
    <t>Hiển thị chưa đúng ghi chú</t>
  </si>
  <si>
    <t>OH285</t>
  </si>
  <si>
    <t>Đăng nhập vào tài khoản
Chọn tab Cá nhân 
Chọn Đơn hàng --&gt; xem tất cả 
Ở màn hình lịch sử đơn hàng chọn vào xem chi tiết đơn hàng 
Ở màn hình thông tin đơn hàng , kiểm tra tổng tiền hàng</t>
  </si>
  <si>
    <t>Hiển thị chính xác tổng tiền hàng</t>
  </si>
  <si>
    <t>OH286</t>
  </si>
  <si>
    <t>Đăng nhập vào tài khoản
Chọn tab Cá nhân 
Chọn Đơn hàng --&gt; xem tất cả 
Ở màn hình lịch sử đơn hàng chọn vào xem chi tiết đơn hàng 
Ở màn hình thông tin đơn hàng , kiểm tra tổng tiền phí vận chuyển</t>
  </si>
  <si>
    <t>Hiển thị chính xác tổng tiền phí vận chuyển</t>
  </si>
  <si>
    <t>OH287</t>
  </si>
  <si>
    <t>Kiểm tra hiển thị tổng giảm giá</t>
  </si>
  <si>
    <t>Đăng nhập vào tài khoản
Chọn tab Cá nhân 
Chọn Đơn hàng --&gt; xem tất cả 
Ở màn hình lịch sử đơn hàng chọn vào xem chi tiết đơn hàng 
Ở màn hình thông tin đơn hàng , kiểm tra tổng giảm giá</t>
  </si>
  <si>
    <t>Hiển thị chính xác tổng giảm giá</t>
  </si>
  <si>
    <t>OH288</t>
  </si>
  <si>
    <t>Kiểm tra hiển thị thành tiền</t>
  </si>
  <si>
    <t>Đăng nhập vào tài khoản
Chọn tab Cá nhân 
Chọn Đơn hàng --&gt; xem tất cả 
Ở màn hình lịch sử đơn hàng chọn vào xem chi tiết đơn hàng 
Ở màn hình thông tin đơn hàng , kiểm tra thành tiền của đơn hàng</t>
  </si>
  <si>
    <t>Hiển thị chính xác thành tiền</t>
  </si>
  <si>
    <t>OH289</t>
  </si>
  <si>
    <t>Kiểm tra khoảng cách giữa các dòng</t>
  </si>
  <si>
    <t>Đăng nhập vào tài khoản
Chọn tab Cá nhân 
Chọn Đơn hàng --&gt; xem tất cả 
Ở màn hình lịch sử đơn hàng chọn vào xem chi tiết đơn hàng 
Ở màn hình thông tin đơn hàng , kiểm tra khoảng cách giữa các dòng</t>
  </si>
  <si>
    <t>Khoảng cách giữa " Địa chỉ nhận hàng " và " Tên khách hàng "
Khoảng cách giữa " Ghi chú " và " Mã đơn hàng "
Khoảng cách giữa " Tổng tiền hàng " và " Tổng tiền phí vận chuyển " và " Tổng giảm giá " 
Khoảng cách " Thành tiền " ( qua phải )</t>
  </si>
  <si>
    <t>Hiển thị đúng khoảng cách so với design</t>
  </si>
  <si>
    <t>OH290</t>
  </si>
  <si>
    <t>Xem chi tiết đơn hàng  - Tab chờ xác nhận</t>
  </si>
  <si>
    <t>Đăng nhập vào tài khoản
Chọn tab Cá nhân 
Chọn Đơn hàng --&gt; xem tất cả 
Ở màn hình lịch sử đơn hàng chọn vào xem chi tiết đơn hàng</t>
  </si>
  <si>
    <t>OH291</t>
  </si>
  <si>
    <t>OH292</t>
  </si>
  <si>
    <t>OH293</t>
  </si>
  <si>
    <t>OH294</t>
  </si>
  <si>
    <t>OH295</t>
  </si>
  <si>
    <t>OH296</t>
  </si>
  <si>
    <t>OH297</t>
  </si>
  <si>
    <t>OH298</t>
  </si>
  <si>
    <t>OH299</t>
  </si>
  <si>
    <t>OH300</t>
  </si>
  <si>
    <t>OH301</t>
  </si>
  <si>
    <t>OH302</t>
  </si>
  <si>
    <t>OH303</t>
  </si>
  <si>
    <t>OH304</t>
  </si>
  <si>
    <t>Kiểm tra hiển thị mã đơn hàng</t>
  </si>
  <si>
    <t>Đăng nhập vào tài khoản
Chọn tab Cá nhân 
Chọn Đơn hàng --&gt; xem tất cả 
Ở màn hình lịch sử đơn hàng chọn vào xem chi tiết đơn hàng 
Ở màn hình thông tin đơn hàng , kiểm tra mã của đơn hàng</t>
  </si>
  <si>
    <t>OH305</t>
  </si>
  <si>
    <t>OH306</t>
  </si>
  <si>
    <t>Kiểm tra nút "Hủy đơn"</t>
  </si>
  <si>
    <t>Đăng nhập vào tài khoản
Chọn tab Cá nhân 
Chọn Đơn hàng --&gt; xem tất cả 
Ở màn hình lịch sử đơn hàng chọn vào xem chi tiết đơn hàng 
Ở màn hình thông tin đơn hàng , kiểm tra nút " Huỷ đơn " hiển thị và kiểm tra thanh header "  Chọn lí do hủy "</t>
  </si>
  <si>
    <t>Nút " Huỷ đơn " hiển thị và khi nhấn vào sẽ hiển thị thông báo chọn lý do hủy 
Hiển thị đúng màu sắc, kích thước, cỡ chữ của thanh header " Chọn lý do hủy "</t>
  </si>
  <si>
    <t>Chưa có nút hủy đơn</t>
  </si>
  <si>
    <t>OH307</t>
  </si>
  <si>
    <t xml:space="preserve">Kiểm tra hiển thị  dòng Text : " Vui lòng chọn lí do ... thay đổi sau đó! " </t>
  </si>
  <si>
    <t>Đăng nhập vào tài khoản
Chọn tab Cá nhân 
Chọn Đơn hàng --&gt; xem tất cả 
Ở màn hình lịch sử đơn hàng chọn vào xem chi tiết đơn hàng 
Ở màn hình thông tin đơn hàng , nhấn vào nút hủy hàng để hiển thị bảng chọn lý do hủy
Hiển thị dòng text :  " Vui lòng chọn lí do .. thay đổi sau đó " --&gt; kiểm tra dòng text, kích thước màu sắc, cỡ chữ</t>
  </si>
  <si>
    <t>Kiểm tra hiển thị dòng text (màu sắc, kích thước, cỡ chữ )</t>
  </si>
  <si>
    <t>OH308</t>
  </si>
  <si>
    <t>Kiểm tra hiển thị lí do hủy</t>
  </si>
  <si>
    <t xml:space="preserve">Đăng nhập vào tài khoản
Chọn tab Cá nhân 
Chọn Đơn hàng --&gt; xem tất cả 
Ở màn hình lịch sử đơn hàng chọn vào xem chi tiết đơn hàng 
Ở màn hình thông tin đơn hàng , nhấn vào nút hủy hàng để hiển thị bảng chọn lý do hủy
Kiểm tra hiển thị những lí do hủy hàng </t>
  </si>
  <si>
    <t>Khoảng cách giữa các lí do hủy
Màu sắc, kích thước, cỡ chữ của các lí do hủy</t>
  </si>
  <si>
    <t>Hiển thị đúng khoảng cách, màu sắc, kích thước, cỡ chữ</t>
  </si>
  <si>
    <t>OH309</t>
  </si>
  <si>
    <t>Kiểm tra button chọn lí do hủy</t>
  </si>
  <si>
    <t>Đăng nhập vào tài khoản
Chọn tab Cá nhân 
Chọn Đơn hàng --&gt; xem tất cả 
Ở màn hình lịch sử đơn hàng chọn vào xem chi tiết đơn hàng 
Ở màn hình thông tin đơn hàng , nhấn vào nút hủy hàng để hiển thị bảng chọn lý do hủy
Kiểm tra hiển thị khi nhấn button chọn lí do hủy ( button hiển thị màu vàng và nếu không chọn sẽ hiển thị màu trắng )
Nhấn Hủy đơn</t>
  </si>
  <si>
    <t>Hiển thị đúng khi nhấn chọn button  và nhấn hủy đơn thành công</t>
  </si>
  <si>
    <t xml:space="preserve">Chưa có button " Hủy đơn " </t>
  </si>
  <si>
    <t>OH310</t>
  </si>
  <si>
    <t>Kiểm tra hiển thị khi chọn tất cả các lí do hủy</t>
  </si>
  <si>
    <t>Đăng nhập vào tài khoản
Chọn tab Cá nhân 
Chọn Đơn hàng --&gt; xem tất cả 
Ở màn hình lịch sử đơn hàng chọn vào xem chi tiết đơn hàng 
Ở màn hình thông tin đơn hàng , nhấn vào nút hủy hàng để hiển thị bảng chọn lý do hủy
Kiểm tra hiển thị nhấn chọn tất cả các lí do hủy
Nhấn Hủy đơn</t>
  </si>
  <si>
    <t>Chỉ được chọn 1 lí do hủy khi hủy 1 đơn hàng</t>
  </si>
  <si>
    <t>OH311</t>
  </si>
  <si>
    <t>Kiểm tra hiển thị khi không chọn lí do hủy nào</t>
  </si>
  <si>
    <t>Đăng nhập vào tài khoản
Chọn tab Cá nhân 
Chọn Đơn hàng --&gt; xem tất cả 
Ở màn hình lịch sử đơn hàng chọn vào xem chi tiết đơn hàng 
Ở màn hình thông tin đơn hàng , nhấn vào nút hủy hàng để hiển thị bảng chọn lý do hủy
Kiểm tra hiển thị khi không chọn lí do hủy nào
Nhấn Hủy đơn</t>
  </si>
  <si>
    <t>Bắt buộc phải chọn 1 lí do mới được hủy đơn hàng</t>
  </si>
  <si>
    <t>OH312</t>
  </si>
  <si>
    <t>Kiểm tra hiển thị dấu X tắt cửa sổ " Chọn lý do hủy "</t>
  </si>
  <si>
    <t xml:space="preserve">Đăng nhập vào tài khoản
Chọn tab Cá nhân 
Chọn Đơn hàng --&gt; xem tất cả 
Ở màn hình lịch sử đơn hàng chọn vào xem chi tiết đơn hàng 
Ở màn hình thông tin đơn hàng , nhấn vào nút hủy hàng để hiển thị bảng chọn lý do hủy
Nhấn nút X để tắt cửa sổ " Chọn lý do hủy "
</t>
  </si>
  <si>
    <t>Cửa sổ " Chọn lý do hủy " được tắt và hiển thị màn hình Thông tin đơn hàng</t>
  </si>
  <si>
    <t>OH313</t>
  </si>
  <si>
    <t>Kiểm tra hiển thị khi nhấn button Đóng</t>
  </si>
  <si>
    <t>Đăng nhập vào tài khoản
Chọn tab Cá nhân 
Chọn Đơn hàng --&gt; xem tất cả 
Ở màn hình lịch sử đơn hàng chọn vào xem chi tiết đơn hàng 
Ở màn hình thông tin đơn hàng , nhấn vào nút hủy hàng để hiển thị bảng chọn lý do hủy
Nhấn chọn 1 lí do hủy đơn hàng và nhấn Đóng</t>
  </si>
  <si>
    <t>Nhấn " Đóng " màn hình sẽ quay về màn hình thông tin đơn hàng</t>
  </si>
  <si>
    <t>OH314</t>
  </si>
  <si>
    <t>Xem chi tiết đơn hàng - Tab đang xử lý</t>
  </si>
  <si>
    <t>OH315</t>
  </si>
  <si>
    <t>Hiển thị sai tên trạng thái</t>
  </si>
  <si>
    <t>OH316</t>
  </si>
  <si>
    <t>OH317</t>
  </si>
  <si>
    <t>OH318</t>
  </si>
  <si>
    <t>OH319</t>
  </si>
  <si>
    <t>OH320</t>
  </si>
  <si>
    <t>OH321</t>
  </si>
  <si>
    <t>OH322</t>
  </si>
  <si>
    <t>OH323</t>
  </si>
  <si>
    <t>OH324</t>
  </si>
  <si>
    <t>OH325</t>
  </si>
  <si>
    <t>OH326</t>
  </si>
  <si>
    <t>OH327</t>
  </si>
  <si>
    <t>OH328</t>
  </si>
  <si>
    <t>OH329</t>
  </si>
  <si>
    <t>OH330</t>
  </si>
  <si>
    <t>Xem chi tiết đơn hàng - Tab đang giao</t>
  </si>
  <si>
    <t>OH331</t>
  </si>
  <si>
    <t>OH332</t>
  </si>
  <si>
    <t>OH333</t>
  </si>
  <si>
    <t>OH334</t>
  </si>
  <si>
    <t>OH335</t>
  </si>
  <si>
    <t>OH336</t>
  </si>
  <si>
    <t>OH337</t>
  </si>
  <si>
    <t>OH338</t>
  </si>
  <si>
    <t>OH339</t>
  </si>
  <si>
    <t>OH340</t>
  </si>
  <si>
    <t>OH341</t>
  </si>
  <si>
    <t>OH342</t>
  </si>
  <si>
    <t>OH343</t>
  </si>
  <si>
    <t>OH344</t>
  </si>
  <si>
    <t>OH345</t>
  </si>
  <si>
    <t>OH346</t>
  </si>
  <si>
    <t>Xem chi tiết đơn hàng - Tab đã giao</t>
  </si>
  <si>
    <t>OH347</t>
  </si>
  <si>
    <t>OH348</t>
  </si>
  <si>
    <t>OH349</t>
  </si>
  <si>
    <t>OH350</t>
  </si>
  <si>
    <t>OH351</t>
  </si>
  <si>
    <t>OH352</t>
  </si>
  <si>
    <t>OH353</t>
  </si>
  <si>
    <t>OH354</t>
  </si>
  <si>
    <t>OH355</t>
  </si>
  <si>
    <t>OH356</t>
  </si>
  <si>
    <t>OH357</t>
  </si>
  <si>
    <t>OH358</t>
  </si>
  <si>
    <t>OH359</t>
  </si>
  <si>
    <t>OH360</t>
  </si>
  <si>
    <t>OH361</t>
  </si>
  <si>
    <t>OH362</t>
  </si>
  <si>
    <t>Xem chi tiết đơn hàng - Tab đã huỷ</t>
  </si>
  <si>
    <t>OH363</t>
  </si>
  <si>
    <t>OH364</t>
  </si>
  <si>
    <t>Kiểm tra hiển thị thời gian hủy đơn hàng</t>
  </si>
  <si>
    <t xml:space="preserve">Đăng nhập vào tài khoản
Chọn tab Cá nhân 
Chọn Đơn hàng --&gt; xem tất cả 
Ở màn hình lịch sử đơn hàng chọn vào xem chi tiết đơn hàng 
Ở màn hình thông tin đơn hàng , kiểm tra hiển thị thời gian ( giờ và ngày hủy hàng ) 
</t>
  </si>
  <si>
    <t>Hiển thị đúng thời gian hủy đơn hàng</t>
  </si>
  <si>
    <t>OH365</t>
  </si>
  <si>
    <t>OH366</t>
  </si>
  <si>
    <t>OH367</t>
  </si>
  <si>
    <t>Kiểm tra hiển thị lí do hủy hàng</t>
  </si>
  <si>
    <t xml:space="preserve">Đăng nhập vào tài khoản
Chọn tab Cá nhân 
Chọn Đơn hàng --&gt; xem tất cả 
Ở màn hình lịch sử đơn hàng chọn vào xem chi tiết đơn hàng 
Ở màn hình thông tin đơn hàng , kiểm tra hiển thị lí do hủy đơn hàng 
</t>
  </si>
  <si>
    <t xml:space="preserve">Hiển thị đúng lí do hủy hàng </t>
  </si>
  <si>
    <t>OH368</t>
  </si>
  <si>
    <t>OH369</t>
  </si>
  <si>
    <t>OH370</t>
  </si>
  <si>
    <t>OH371</t>
  </si>
  <si>
    <t xml:space="preserve">Đăng nhập vào tài khoản
Chọn tab Cá nhân 
Chọn Đơn hàng --&gt; xem tất cả 
Ở màn hình lịch sử đơn hàng chọn vào xem chi tiết đơn hàng 
Ở màn hình thông tin đơn hàng , kiểm tra mã  đơn hàng </t>
  </si>
  <si>
    <t>OH372</t>
  </si>
  <si>
    <t>Kiểm tra nút copy mã đơn hàng</t>
  </si>
  <si>
    <t>Đăng nhập vào tài khoản
Chọn tab Cá nhân 
Chọn Đơn hàng --&gt; xem tất cả 
Ở màn hình lịch sử đơn hàng chọn vào xem chi tiết đơn hàng 
Ở màn hình thông tin đơn hàng , kiểm tra nút copy đơn hàng</t>
  </si>
  <si>
    <t>Hiển thị thông báo " Sao chép thành công "</t>
  </si>
  <si>
    <t>OH373</t>
  </si>
  <si>
    <t>OH374</t>
  </si>
  <si>
    <t>OH375</t>
  </si>
  <si>
    <t>Kiểm tra hình ảnh sản phẩm  (Kích thước, vị trí, độ nét)</t>
  </si>
  <si>
    <t>Đăng nhập vào tài khoản
Chọn tab Cá nhân 
Chọn Đơn hàng --&gt; xem tất cả 
Ở màn hình lịch sử đơn hàng chọn vào xem chi tiết đơn hàng 
Ở màn hình thông tin đơn hàng , kiểm tra hình ảnh sản phẩm</t>
  </si>
  <si>
    <t>Hiển thị đúng kích thước, vị trí, sắc nét</t>
  </si>
  <si>
    <t>OH376</t>
  </si>
  <si>
    <t>Đăng nhập vào tài khoản
Chọn tab Cá nhân 
Chọn Đơn hàng --&gt; xem tất cả 
Ở màn hình lịch sử đơn hàng chọn vào xem chi tiết đơn hàng 
Ở màn hình thông tin đơn hàng , kiểm tra giá gốc sản phẩm</t>
  </si>
  <si>
    <t>Hiển thị đúng giá gốc sản phẩm ( nếu có giá giảm sẽ gạch ngang giá gốc )</t>
  </si>
  <si>
    <t>OH377</t>
  </si>
  <si>
    <t xml:space="preserve">Kiểm tra số lượng sản phẩm </t>
  </si>
  <si>
    <t>Đăng nhập vào tài khoản
Chọn tab Cá nhân 
Chọn Đơn hàng --&gt; xem tất cả 
Ở màn hình lịch sử đơn hàng chọn vào xem chi tiết đơn hàng 
Ở màn hình thông tin đơn hàng , kiểm tra số lượng sản phẩm trên mỗi sản phẩm</t>
  </si>
  <si>
    <t>Hiển thị đúng số lượng sản phẩm</t>
  </si>
  <si>
    <t>OH378</t>
  </si>
  <si>
    <t>Kiểm tra hiển thị giá sau giảm giá của sản phẩm</t>
  </si>
  <si>
    <t>Đăng nhập vào tài khoản
Chọn tab Cá nhân 
Chọn Đơn hàng --&gt; xem tất cả 
Ở màn hình lịch sử đơn hàng chọn vào xem chi tiết đơn hàng 
Ở màn hình thông tin đơn hàng , kiểm tra giá sau giảm giá sản phẩm</t>
  </si>
  <si>
    <t>OH379</t>
  </si>
  <si>
    <t>Kiểm tra hiển thị đơn hàng " Yêu cầu bởi " tên khách hàng</t>
  </si>
  <si>
    <t>Đăng nhập vào tài khoản
Chọn tab Cá nhân 
Chọn Đơn hàng --&gt; xem tất cả 
Ở màn hình lịch sử đơn hàng chọn vào xem chi tiết đơn hàng 
Ở màn hình thông tin đơn hàng , kiểm tra mục " Yêu cầu bởi " --&gt;  hiển thị tên khách hàng của đơn hàng đó</t>
  </si>
  <si>
    <t>Hiển thị đúng tên khách hàng</t>
  </si>
  <si>
    <t>OH380</t>
  </si>
  <si>
    <t>Kiểm tra hiển thị đơn hàng " Yêu cầu vào lúc "</t>
  </si>
  <si>
    <t>Đăng nhập vào tài khoản
Chọn tab Cá nhân 
Chọn Đơn hàng --&gt; xem tất cả 
Ở màn hình lịch sử đơn hàng chọn vào xem chi tiết đơn hàng 
Ở màn hình thông tin đơn hàng , kiểm tra đơn hàng " yêu cầu vào lúc " mấy giờ  - ngày bao nhiêu</t>
  </si>
  <si>
    <t>Hiển thị đúng thời gian yêu cầu của đơn hàng</t>
  </si>
  <si>
    <t>OH381</t>
  </si>
  <si>
    <t>OH382</t>
  </si>
  <si>
    <t>Kiểm tra thành tiền của đơn hàng</t>
  </si>
  <si>
    <t xml:space="preserve">Đăng nhập vào tài khoản
Chọn tab Cá nhân 
Chọn Đơn hàng --&gt; xem tất cả 
Ở màn hình lịch sử đơn hàng chọn vào xem chi tiết đơn hàng 
Ở màn hình thông tin đơn hàng , kiểm tra thành tiền của đơn hàng ( màu sắc, kích thước, cỡ chữ ) 
</t>
  </si>
  <si>
    <t xml:space="preserve">Hiển thị đúng thành tiền của đơn hàng </t>
  </si>
  <si>
    <t>AM01</t>
  </si>
  <si>
    <t>Người dùng đang ở màn hình Số địa chỉ</t>
  </si>
  <si>
    <t>Đăng nhập vào tài  khoản
Chọn mục cá nhân
Chọn mục số địa chỉ
Kiểm tra hiển thị màu sắc, kích thước, cỡ chữ của thanh header</t>
  </si>
  <si>
    <t>Hiển thị đúng màu sắc, kích thước , cỡ chữ của thanh header</t>
  </si>
  <si>
    <t xml:space="preserve">Tên " Số địa chỉ " chưa hiển thị đúng </t>
  </si>
  <si>
    <t>AM02</t>
  </si>
  <si>
    <t>Hiển thị danh sách list địa chỉ</t>
  </si>
  <si>
    <t xml:space="preserve">Đăng nhập vào tài  khoản
Chọn mục cá nhân
Chọn mục số địa chỉ
Kiểm tra hiển thị danh sách list địa chỉ ( màu sắc, kích thước, cỡ chữ ) </t>
  </si>
  <si>
    <t>AM03</t>
  </si>
  <si>
    <t xml:space="preserve">Kiểm tra khoảng cách giữa các địa chỉ </t>
  </si>
  <si>
    <t>Đăng nhập vào tài  khoản
Chọn mục cá nhân
Chọn mục số địa chỉ
Kiểm tra khoảng cách giữa các địa chỉ với nhau</t>
  </si>
  <si>
    <t>Khoảng cách giữa thanh header " Số địa chỉ " 
Khoảng cách giữa 2 địa chỉ với nhau
Khoảng cách giữa địa chỉ  ( hồ chí minh ) với ô vuông</t>
  </si>
  <si>
    <t>Khoảng cách  đúng với design</t>
  </si>
  <si>
    <t>Khoảng cách không đúng với design ( quá gần )</t>
  </si>
  <si>
    <t>AM04</t>
  </si>
  <si>
    <t>Chi tiết màn hình chỉnh sửa địa chỉ</t>
  </si>
  <si>
    <t xml:space="preserve">Đăng nhập vào tài  khoản
Chọn mục cá nhân
Chọn mục số địa chỉ
Chọn 1 địa chi bất kì để xem màn hình chi tiết
Kiểm tra hiển thị màn hình chi tiết chỉnh sửa địa chỉ ( màu sắc, kích thước, cỡ chữ ) </t>
  </si>
  <si>
    <t xml:space="preserve">Tên " Chỉnh sửa địa chỉ " chưa hiển thị đúng </t>
  </si>
  <si>
    <t>AM05</t>
  </si>
  <si>
    <t>Kiểm tra khoảng cách giữa các trường ở  màn hình Chỉnh sửa địa chỉ</t>
  </si>
  <si>
    <t xml:space="preserve">Đăng nhập vào tài  khoản
Chọn mục cá nhân
Chọn mục số địa chỉ
Chọn 1 địa chi bất kì để xem màn hình chi tiết
Kiểm tra khoảng cách giữa các trường với nhau </t>
  </si>
  <si>
    <t xml:space="preserve">Trường Họ và tên, Số điện thoại , Thành  phố/Quận/Phường, Địa chỉ cụ thể nhỏ
Khoảng cách giữa địa chỉ cụ thể và Đặt làm địa chỉ mặc định
Khoảng cách giữa Đặt làm địa chỉ mặc định  và nút Xóa
</t>
  </si>
  <si>
    <t>Hiển thị đúng với design</t>
  </si>
  <si>
    <r>
      <rPr>
        <rFont val="Arial"/>
        <b/>
        <color theme="1"/>
        <sz val="14.0"/>
      </rPr>
      <t xml:space="preserve">Run rate: </t>
    </r>
    <r>
      <rPr>
        <rFont val="Arial"/>
        <b val="0"/>
        <color theme="1"/>
        <sz val="14.0"/>
      </rPr>
      <t>là tỉ số giữa số trường hợp đã test chia cho tổng số trường hợp test trên plan. Run rate bắt buộc phải là 100%</t>
    </r>
    <r>
      <rPr>
        <rFont val="Arial"/>
        <b/>
        <color theme="1"/>
        <sz val="14.0"/>
      </rPr>
      <t xml:space="preserve">
Pass rate: </t>
    </r>
    <r>
      <rPr>
        <rFont val="Arial"/>
        <b val="0"/>
        <color theme="1"/>
        <sz val="14.0"/>
      </rPr>
      <t>là tỉ số giữa số lượng các trường hợp pass test chia cho số trường hợp đã test. Pass rate nên càng cao càng tốt
Tỉ lệ:
- Nhỏ hơn 90%: Tính năng còn nhiều bug chưa sử dụng được
- 91%-&gt;100%: Tính năng tạm thời hết lỗi nghiêm trọng</t>
    </r>
  </si>
  <si>
    <t>AM06</t>
  </si>
  <si>
    <t>Kiểm tra trường bắt buộc " Họ và tên "</t>
  </si>
  <si>
    <t>Người dùng đang ở màn hình chỉnh sửa địa chỉ</t>
  </si>
  <si>
    <r>
      <rPr>
        <rFont val="Arial"/>
        <color theme="1"/>
      </rPr>
      <t xml:space="preserve">Đăng nhập vào tài  khoản
Chọn mục cá nhân
Chọn mục số địa chỉ
Chọn xem chi tiết địa chỉ
Kiểm tra hiển thị họ và tên của khách hàng ( màu sắc, kích thước, cỡ chữ, dấu </t>
    </r>
    <r>
      <rPr>
        <rFont val="Arial"/>
        <color rgb="FFFF0000"/>
      </rPr>
      <t>*</t>
    </r>
    <r>
      <rPr>
        <rFont val="Arial"/>
        <color theme="1"/>
      </rPr>
      <t xml:space="preserve"> bắt buộc  ) </t>
    </r>
  </si>
  <si>
    <t>Hiển thị đúng màu sắc, kích thước , cỡ chữ của trường Họ và tên</t>
  </si>
  <si>
    <t>AM07</t>
  </si>
  <si>
    <t>Kiểm tra trường bắt buộc  " Số điện thoại "</t>
  </si>
  <si>
    <r>
      <rPr>
        <rFont val="Arial"/>
        <color theme="1"/>
      </rPr>
      <t xml:space="preserve">Đăng nhập vào tài  khoản
Chọn mục cá nhân
Chọn mục số địa chỉ
Chọn xem chi tiết địa chỉ
Kiểm tra hiển thị số điện thoại của khách hàng ( màu sắc, kích thước, cỡ chữ, dấu </t>
    </r>
    <r>
      <rPr>
        <rFont val="Arial"/>
        <color rgb="FFFF0000"/>
      </rPr>
      <t>*</t>
    </r>
    <r>
      <rPr>
        <rFont val="Arial"/>
        <color theme="1"/>
      </rPr>
      <t xml:space="preserve"> bắt buộc  ) </t>
    </r>
  </si>
  <si>
    <t>Hiển thị đúng màu sắc, kích thước , cỡ chữ của trường số điện thoại</t>
  </si>
  <si>
    <t>AM08</t>
  </si>
  <si>
    <t>Kiểm tra trường bắt buộc " Thành phố (Tỉnh )/Quận ( Huyện ) /Phường ( Xã ) "</t>
  </si>
  <si>
    <r>
      <rPr>
        <rFont val="Arial"/>
        <color theme="1"/>
      </rPr>
      <t xml:space="preserve">Đăng nhập vào tài  khoản
Chọn mục cá nhân
Chọn mục số địa chỉ
Chọn xem chi tiết địa chỉ
Kiểm tra hiển thị Tỉnh/huyện/xác của khách hàng ( màu sắc, kích thước, cỡ chữ, dấu </t>
    </r>
    <r>
      <rPr>
        <rFont val="Arial"/>
        <color rgb="FFFF0000"/>
      </rPr>
      <t>*</t>
    </r>
    <r>
      <rPr>
        <rFont val="Arial"/>
        <color theme="1"/>
      </rPr>
      <t xml:space="preserve"> bắt buộc  ) </t>
    </r>
  </si>
  <si>
    <t>Hiển thị đúng màu sắc, kích thước , cỡ chữ của trường số Tỉnh/huyện/xã</t>
  </si>
  <si>
    <t>AM09</t>
  </si>
  <si>
    <t>Kiểm tra trường bắt buộc " Địa chỉ cụ thể "</t>
  </si>
  <si>
    <r>
      <rPr>
        <rFont val="Arial"/>
        <color theme="1"/>
      </rPr>
      <t xml:space="preserve">Đăng nhập vào tài  khoản
Chọn mục cá nhân
Chọn mục số địa chỉ
Chọn xem chi tiết địa chỉ
Kiểm tra hiển thị địa chỉ cụ thể của khách hàng ( màu sắc, kích thước, cỡ chữ, dấu </t>
    </r>
    <r>
      <rPr>
        <rFont val="Arial"/>
        <color rgb="FFFF0000"/>
      </rPr>
      <t>*</t>
    </r>
    <r>
      <rPr>
        <rFont val="Arial"/>
        <color theme="1"/>
      </rPr>
      <t xml:space="preserve"> bắt buộc  ) </t>
    </r>
  </si>
  <si>
    <t>Hiển thị đúng màu sắc, kích thước , cỡ chữ của trường Địa chỉ cụ thể</t>
  </si>
  <si>
    <t>Không in đậm ( Số nhà, tên tòa nhà, tên đường, tên khu vực )</t>
  </si>
  <si>
    <t>AM10</t>
  </si>
  <si>
    <t>Button thêm mới địa chỉ</t>
  </si>
  <si>
    <t>Đăng nhập vào tài  khoản
Chọn mục cá nhân
Chọn mục số địa chỉ
Kiểm tra hiển thị màu sắc, kích thước, cỡ chữ của Button thêm mới địa chỉ</t>
  </si>
  <si>
    <t>Hiển thị đúng màu sắc, kích thước , cỡ chữ của Button</t>
  </si>
  <si>
    <t>Không in đậm button " Thêm mới địa chỉ "</t>
  </si>
  <si>
    <t>AM11</t>
  </si>
  <si>
    <t>Kiểm tra khi nhấn vào " Sổ địa chỉ "</t>
  </si>
  <si>
    <t>Người dùng đang ở màn hình Cá nhân</t>
  </si>
  <si>
    <t xml:space="preserve">Đăng nhập vào tài  khoản
Chọn mục cá nhân
Kiểm tra khi chọn mục số địa chỉ sẽ vào màn hình " Số địa chỉ "
</t>
  </si>
  <si>
    <t>Trường hợp đã có danh sách địa chỉ sẵn</t>
  </si>
  <si>
    <t>Khi bắt vào sẽ chuyển sang màn hình " Sổ địa chỉ " nếu đã có danh sách thì hiển thị danh sách</t>
  </si>
  <si>
    <t>Có danh sách địa chỉ nhưng vẫn hiển thị icon " Bạn chưa có địa chỉ "</t>
  </si>
  <si>
    <t>AM12</t>
  </si>
  <si>
    <t>Kiểm tra thông tin địa chỉ ( Tên khách hàng )</t>
  </si>
  <si>
    <t>Đăng nhập vào tài  khoản
Chọn mục cá nhân
Chọn mục số địa chỉ
Kiểm tra hiển thị tên khách hàng  ( in đậm, viết hoa chữ cái đầu )</t>
  </si>
  <si>
    <t>AM13</t>
  </si>
  <si>
    <t>Kiểm tra thông tin địa chỉ ( Số điện thoại )</t>
  </si>
  <si>
    <t xml:space="preserve">Đăng nhập vào tài  khoản
Chọn mục cá nhân
Chọn mục số địa chỉ
Kiểm tra hiển thị số điện thoại khách hàng </t>
  </si>
  <si>
    <t>Đúng định dạng số điện thoại
Không có kí tự đặc biệt 
Không được nhập chữ, số thập phân</t>
  </si>
  <si>
    <t>Hiển thị đúng số điện thoại khách hàng</t>
  </si>
  <si>
    <t>AM14</t>
  </si>
  <si>
    <t>Kiểm tra thông tin địa chỉ ( Địa chỉ )</t>
  </si>
  <si>
    <t>Nhập min, max kí tự</t>
  </si>
  <si>
    <t>Hiển thị đúng địa chỉ của khách hàng</t>
  </si>
  <si>
    <t>AM15</t>
  </si>
  <si>
    <t>Kiểm tra địa chỉ mặc định được đánh dấu chính xác</t>
  </si>
  <si>
    <t>Danh sách địa chỉ đã có sẵn</t>
  </si>
  <si>
    <t>Đăng nhập vào tài  khoản
Chọn mục cá nhân
Chọn mục số địa chỉ
Kiểm tra 1 địa chỉ được đánh dấu là mặc định hay không</t>
  </si>
  <si>
    <t>Địa chỉ mặc định được đánh dấu và hiển thị “Địa chỉ mặc định”</t>
  </si>
  <si>
    <t>AM16</t>
  </si>
  <si>
    <t>Kiểm tra dòng text " Địa chỉ mặc định</t>
  </si>
  <si>
    <t>Đăng nhập vào tài  khoản
Chọn mục cá nhân
Chọn mục số địa chỉ
Kiểm tra 1 địa chỉ được đánh dấu là mặc định ( hiển thị đúng màu sắc, kích thước,cỡ chữ ,icon )</t>
  </si>
  <si>
    <t>Địa chỉ mặc định được hiển thị màu cam và có icon là lá cờ</t>
  </si>
  <si>
    <t>Không in đậm (Địa chỉ mặc định )</t>
  </si>
  <si>
    <t>AM17</t>
  </si>
  <si>
    <t>Kiểm tra  khi danh sách địa chỉ trống</t>
  </si>
  <si>
    <t>Đăng nhập vào tài  khoản
Chọn mục cá nhân
Chọn mục số địa chỉ
Kiểm tra khi không có danh sách địa chỉ</t>
  </si>
  <si>
    <t>Hiển thị thông báo “Bạn chưa có địa chỉ”  "Vui lòng thêm địa chỉ cho đơn hàng của bản "và icon</t>
  </si>
  <si>
    <t>Hiển thị  sai thông báo  và icon</t>
  </si>
  <si>
    <t>AM18</t>
  </si>
  <si>
    <t>Kiểm tra thanh scroll khi danh sách dài</t>
  </si>
  <si>
    <t>Đăng nhập vào tài  khoản
Chọn mục cá nhân
Chọn mục số địa chỉ
Thử cuộn màn hình lên và xuống</t>
  </si>
  <si>
    <t>Màn hình cuộn mượt mà, không có lỗi hoặc bị giật và button " Thêm mới địa chỉ " phải cố định</t>
  </si>
  <si>
    <t>Khi scroll button Thêm mới địa chỉ di chuyển</t>
  </si>
  <si>
    <t>AM19</t>
  </si>
  <si>
    <t>Kiểm tra thanh cuộn có hiển thị đúng khi cần thiết</t>
  </si>
  <si>
    <t xml:space="preserve">Đăng nhập vào tài  khoản
Chọn mục cá nhân
Chọn mục số địa chỉ
Kiểm tra hiển thị danh sách chỉ có ít địa chỉ ) </t>
  </si>
  <si>
    <t>Thanh cuộn chỉ xuất hiện khi có nhiều địa chỉ  và không xuất hiện khi danh sách ngắn</t>
  </si>
  <si>
    <t>AM20</t>
  </si>
  <si>
    <t>Kiểm tra chức năng của nút “Thêm mới địa chỉ”</t>
  </si>
  <si>
    <t xml:space="preserve">Đăng nhập vào tài  khoản
Chọn mục cá nhân
Chọn mục số địa chỉ
Nhấn vào nút thêm mới địa chỉ </t>
  </si>
  <si>
    <t>Chuyển sang màn hình tạo địa chỉ mới</t>
  </si>
  <si>
    <t>AM21</t>
  </si>
  <si>
    <t>Kiểm tra nút quay lại có dẫn về màn hình trước không</t>
  </si>
  <si>
    <t xml:space="preserve">Đăng nhập vào tài  khoản
Chọn mục cá nhân
Chọn mục số địa chỉ
Nhấn vào nút quay lại ở góc trên bên trái màn hình </t>
  </si>
  <si>
    <t>Người dùng được đưa về màn hình trước</t>
  </si>
  <si>
    <t>AM22</t>
  </si>
  <si>
    <t>Kiểm tra hiển thị thêm mới địa chỉ ( max địa chỉ )</t>
  </si>
  <si>
    <t>Đăng nhập vào tài  khoản
Chọn mục cá nhân
Chọn mục số địa chỉ
Thêm mới max địa chỉ --&gt; chỉ được thêm mới tối đa 7 địa chỉ</t>
  </si>
  <si>
    <t>Chỉ được thêm mới tối đa 7 địa chỉ</t>
  </si>
  <si>
    <t>Tạo được hơn 7 địa chỉ</t>
  </si>
  <si>
    <t>AM23</t>
  </si>
  <si>
    <t>Kiểm tra hiển thị khi đặt hàng đơn hàng sẽ lấy địa chỉ gần nhất</t>
  </si>
  <si>
    <t>Điều hướng đến trang lịch sử đơn hàng
Chọn vào tab " Đã giao "
Chọn đơn hàng có địa chỉ được áp dụng sau địa chỉ gần nhất 
Quan sát địa chỉ được áp dụng của đơn hàng đó 
Điều hướng đến trang chủ
Chọn sản phẩm để đặt hàng
Nhấn vào button  " Mua ngay " 
Nhấn vào button " Tiến hành đặt hàng " 
Chọn vào button " Thanh Toán "
Nhấn vào vùng địa chỉ giao hàng 
Chọn vào địa chỉ đang được áp dụng đơn hàng 
Nhấn vào button " Xóa " 
Nhấn vào button " Đồng ý " để thực hiện xóa 
Nhấn icon back để trở về trang thanh toán 
Quan sát và kiểm tra đơn hàng có được áp dụng địa chỉ gần nhất sau đó không</t>
  </si>
  <si>
    <t>VD :  đơn 1,2 là quận 1
đơn 3 quận 2
đơn 4 sẽ lấy địa chỉ quận 2 ( nếu quận 2 bị xóa thì sẽ lấy quận 1 )</t>
  </si>
  <si>
    <t>Đặt hàng lấy địa chỉ gần nhất nếu không có địa chỉ mặc định của đơn hàng</t>
  </si>
  <si>
    <t>AM24</t>
  </si>
  <si>
    <t>Xem chi tiết chỉnh sửa địa chỉ</t>
  </si>
  <si>
    <t>Kiểm tra nút quay về ở góc trên bên trái</t>
  </si>
  <si>
    <t>Đăng nhập vào tài  khoản
Chọn mục cá nhân
Chọn mục số địa chỉ
Nhấn xem chi tiết địa chỉ
Nhấn nút quay về ở góc trên bên trái để quay về màn hình " Sổ địa chỉ "</t>
  </si>
  <si>
    <t>Quay về màn hình " Số địa chỉ "</t>
  </si>
  <si>
    <t>Khi nhấn nút quay về hiển thị icon không có địa chỉ nào r mới hiển thị màn hình Số địa chỉ</t>
  </si>
  <si>
    <t>AM25</t>
  </si>
  <si>
    <t>Kiểm tra thanh header</t>
  </si>
  <si>
    <t>Đăng nhập vào tài  khoản
Chọn mục cá nhân
Chọn mục số địa chỉ
Nhấn xem chi tiết địa chỉ
Hiển thị màn hình chỉnh sửa địa chỉ</t>
  </si>
  <si>
    <t>Kích thước, màu sắc, cỡ chữ của thanh header</t>
  </si>
  <si>
    <t>Hiển thị đúng kích thước, màu sắc, cỡ chữ của thanh header</t>
  </si>
  <si>
    <t>Không in đậm  thanh header " Chỉnh sửa địa chỉ "</t>
  </si>
  <si>
    <t>AM26</t>
  </si>
  <si>
    <t>Kiểm tra nhập họ và tên hợp lệ</t>
  </si>
  <si>
    <t>Đã có dữ liệu địa chỉ</t>
  </si>
  <si>
    <t>Đăng nhập vào tài  khoản
Chọn mục cá nhân
Chọn mục số địa chỉ
Nhấn xem chi tiết địa chỉ
Hiển thị màn hình chỉnh sửa địa chỉ
Kiểm tra chỉnh sửa họ và tên hợp lệ
Nhấn " Lưu thay đổi "</t>
  </si>
  <si>
    <t>Nguyễn Ngọc Hân</t>
  </si>
  <si>
    <t>Họ và tên được lưu thành công và không có thông báo lỗi</t>
  </si>
  <si>
    <t>AM27</t>
  </si>
  <si>
    <t>Kiểm tra nhập max kí tự Họ và tên</t>
  </si>
  <si>
    <t>Đăng nhập vào tài  khoản
Chọn mục cá nhân
Chọn mục số địa chỉ
Nhấn xem chi tiết địa chỉ
Hiển thị màn hình chỉnh sửa địa chỉ
Kiểm tra nhập max kí tự họ và tên
Nhấn " Lưu thay đổi "</t>
  </si>
  <si>
    <t>Hiển thị thông báo khi quá độ dài quy định ( max =255 kí tự )</t>
  </si>
  <si>
    <t>AM28</t>
  </si>
  <si>
    <t>Kiểm tra hiển thị bỏ trống Họ và tên</t>
  </si>
  <si>
    <t>Đăng nhập vào tài  khoản
Chọn mục cá nhân
Chọn mục số địa chỉ
Nhấn xem chi tiết địa chỉ
Hiển thị màn hình chỉnh sửa địa chỉ
Xóa hết dữ liệu Họ và tên
Nhấn " Lưu thay đổi "</t>
  </si>
  <si>
    <t>Hiển thị thông báo " Tên không được để  trống " và viền đỏ</t>
  </si>
  <si>
    <t>AM29</t>
  </si>
  <si>
    <t>Kiểm tra nhập số điện thoại hợp lệ</t>
  </si>
  <si>
    <t>Đăng nhập vào tài  khoản
Chọn mục cá nhân
Chọn mục số địa chỉ
Nhấn xem chi tiết địa chỉ
Hiển thị màn hình chỉnh sửa địa chỉ
Nhập số điện thoại đúng định dạng
Nhấn " Lưu thay đổi "</t>
  </si>
  <si>
    <t>vd: 0393457573</t>
  </si>
  <si>
    <t>AM30</t>
  </si>
  <si>
    <t>Kiểm tra nhập kí tự đặc biệt và icon vào trường số điện thoại</t>
  </si>
  <si>
    <t xml:space="preserve">Không cho nhập kí tự đặc biệt </t>
  </si>
  <si>
    <t xml:space="preserve"> Cho nhập kí tự đặc biệt ,icon</t>
  </si>
  <si>
    <t>AM31</t>
  </si>
  <si>
    <t>Kiểm tra nhập kí tự chữ vào số điện thoại</t>
  </si>
  <si>
    <t>Đăng nhập vào tài  khoản
Chọn mục cá nhân
Chọn mục số địa chỉ
Nhấn xem chi tiết địa chỉ
Hiển thị màn hình chỉnh sửa địa chỉ
Nhập kí tự chữ vào số điện thoại
Nhấn " Lưu thay đổi "</t>
  </si>
  <si>
    <t>vd: 03934575fhf</t>
  </si>
  <si>
    <t xml:space="preserve">Không cho nhập kí tự chữ </t>
  </si>
  <si>
    <t xml:space="preserve">Cho nhập kí tự chữ </t>
  </si>
  <si>
    <t>AM32</t>
  </si>
  <si>
    <t>Kiểm tra bỏ trống trường số điện thoại</t>
  </si>
  <si>
    <t>Đăng nhập vào tài  khoản
Chọn mục cá nhân
Chọn mục số địa chỉ
Nhấn xem chi tiết địa chỉ
Hiển thị màn hình chỉnh sửa địa chỉ
Xóa tất cả nội dung trong ô số điện thoại
Nhấn " Lưu thay đổi "</t>
  </si>
  <si>
    <t>Hiển thị thông báo: " Vui lòng nhập số điện thoại "</t>
  </si>
  <si>
    <t>Hiển thị sai thông báo</t>
  </si>
  <si>
    <t>AM33</t>
  </si>
  <si>
    <t>Đăng nhập vào tài  khoản
Chọn mục cá nhân
Chọn mục số địa chỉ
Nhấn xem chi tiết địa chỉ
Hiển thị màn hình chỉnh sửa địa chỉ
Kiểm tra số điện thoại hiện tại ( đúng số điện thoại )
Nhấn " Lưu thay đổi "</t>
  </si>
  <si>
    <t>AM34</t>
  </si>
  <si>
    <t>Kiểm tra max độ dài của số điện thoại</t>
  </si>
  <si>
    <t>Đăng nhập vào tài  khoản
Chọn mục cá nhân
Chọn mục số địa chỉ
Nhấn xem chi tiết địa chỉ
Hiển thị màn hình chỉnh sửa địa chỉ
Kiểm tra max độ dài của số điện thoại
Nhấn " Lưu thay đổi "</t>
  </si>
  <si>
    <t>AM35</t>
  </si>
  <si>
    <t>Kiểm tra không thay đổi số điện thoại</t>
  </si>
  <si>
    <t>Đăng nhập vào tài  khoản
Chọn mục cá nhân
Chọn mục số địa chỉ
Nhấn xem chi tiết địa chỉ
Hiển thị màn hình chỉnh sửa địa chỉ
Nhấn vào ô số điện thoại 
Nhấn " Lưu thay đổi " mà không thay đổi gì</t>
  </si>
  <si>
    <t>Hiển thị thông báo "Không có thay đổi nào."</t>
  </si>
  <si>
    <t>AM36</t>
  </si>
  <si>
    <t>Đăng nhập vào tài  khoản
Chọn mục cá nhân
Chọn mục số địa chỉ
Nhấn xem chi tiết địa chỉ
Hiển thị màn hình chỉnh sửa địa chỉ
Chỉnh sửa số điện thoại nhưng không nhấn " Lưu thay đổi "</t>
  </si>
  <si>
    <t>AM37</t>
  </si>
  <si>
    <t>Kiểm tra nhập số âm</t>
  </si>
  <si>
    <t>-4</t>
  </si>
  <si>
    <t>Không cho nhập số âm</t>
  </si>
  <si>
    <t>Vẫn nhập được số âm</t>
  </si>
  <si>
    <t>AM38</t>
  </si>
  <si>
    <t>Kiểm tra nhập dấu chấm, dấu phẩy</t>
  </si>
  <si>
    <t>.,</t>
  </si>
  <si>
    <t>Không cho nhập dấu chấm, dấu cách</t>
  </si>
  <si>
    <t>Vẫn nhập được dấu chấm, dấu phẩy</t>
  </si>
  <si>
    <t>AM39</t>
  </si>
  <si>
    <t>Xem chi tiết Địa chỉ ( Tỉnh/Huyện/Xã ) - UI</t>
  </si>
  <si>
    <t>Kiểm tra thanh header " Chọn địa chỉ "</t>
  </si>
  <si>
    <t>Đăng nhập vào tài  khoản
Chọn mục cá nhân
Chọn mục số địa chỉ
Nhấn xem chi tiết địa chỉ
Hiển thị màn hình chỉnh sửa địa chỉ
Nhấn vào địa chỉ hiện tại --&gt;hiển thị màn hình chọn địa chỉ
Kiểm tra thanh header " Chọn địa chỉ " ( kiểm tra màu sắc, kích thước , cỡ chữ )</t>
  </si>
  <si>
    <t>Hiển thị đúng màu sắc, kích thước, cỡ chữ của thanh header " Chọn địa chỉ )</t>
  </si>
  <si>
    <t>AM40</t>
  </si>
  <si>
    <t>Đăng nhập vào tài  khoản
Chọn mục cá nhân
Chọn mục số địa chỉ
Nhấn xem chi tiết địa chỉ
Hiển thị màn hình chỉnh sửa địa chỉ
Nhấn vào địa chỉ hiện tại --&gt;hiển thị màn hình chọn địa chỉ
Trỏ chuột vào thanh tìm kiếm</t>
  </si>
  <si>
    <t>Hiển thị thanh hover màu cam</t>
  </si>
  <si>
    <t>AM41</t>
  </si>
  <si>
    <t>Đăng nhập vào tài  khoản
Chọn mục cá nhân
Chọn mục số địa chỉ
Nhấn xem chi tiết địa chỉ
Hiển thị màn hình chỉnh sửa địa chỉ
Nhấn vào địa chỉ hiện tại --&gt;hiển thị màn hình chọn địa chỉ
Chuyển tab từ Tỉnh sang Huyện hoặc Xã</t>
  </si>
  <si>
    <t>Khi chuyển sang mục khác thanh chuyển tab sẽ hiển thị  màu cam và chữ được in đậm màu đen</t>
  </si>
  <si>
    <t>Hiển thị chữ màu cam và không in đậm</t>
  </si>
  <si>
    <t>AM42</t>
  </si>
  <si>
    <t>Hiển thị danh sách lấy địa chi Tỉnh/huyện/xã</t>
  </si>
  <si>
    <t>Đăng nhập vào tài  khoản
Chọn mục cá nhân
Chọn mục số địa chỉ
Nhấn xem chi tiết địa chỉ
Hiển thị màn hình chỉnh sửa địa chỉ
Nhấn vào địa chỉ hiện tại --&gt;hiển thị màn hình chọn địa chỉ
Kiểm tra lấy danh sách địa chỉ</t>
  </si>
  <si>
    <t>Hiển thị đúng và đầy đủ địa chỉ Tỉnh/huyện/xã</t>
  </si>
  <si>
    <t>AM43</t>
  </si>
  <si>
    <t xml:space="preserve">Kiểm tra nút tắt chọn địa chỉ </t>
  </si>
  <si>
    <t>Ở màn hình Chỉnh sửa địa chỉ</t>
  </si>
  <si>
    <t xml:space="preserve">Đăng nhập vào tài  khoản
Chọn mục cá nhân
Chọn mục số địa chỉ
Nhấn xem chi tiết địa chỉ
Hiển thị màn hình chỉnh sửa địa chỉ
Nhấn vào địa chỉ hiện tại --&gt;hiển thị màn hình chọn địa chỉ
Nhấn vào nút X  để tắt chọn địa chỉ ở gốc trên bên phải </t>
  </si>
  <si>
    <t>Tắt được tab chọn địa chỉ</t>
  </si>
  <si>
    <t>AM44</t>
  </si>
  <si>
    <t xml:space="preserve"> Màn hình chọn Địa chỉ Thành phố ( Tỉnh ) - Thanh tìm kiếm</t>
  </si>
  <si>
    <t>Kiểm tra tìm kiếm tên Thành phố  ( Tỉnh ) hợp lệ</t>
  </si>
  <si>
    <t>Đăng nhập vào tài  khoản
Chọn mục cá nhân
Chọn mục số địa chỉ
Nhấn xem chi tiết địa chỉ
Hiển thị màn hình chỉnh sửa địa chỉ
Nhấn vào địa chỉ hiện tại --&gt;hiển thị màn hình chọn địa chỉ
Nhấn vào thanh tìm kiếm --&gt; tìm kiếm bất kỳ tên Thành phố nào</t>
  </si>
  <si>
    <t>TP.HỒ CHÍ MINH</t>
  </si>
  <si>
    <t>Hiển thị đúng tên Thành phố vừa tìm kiếm</t>
  </si>
  <si>
    <t>AM45</t>
  </si>
  <si>
    <t>Kiểm tra hiển thị từ khóa gần giống</t>
  </si>
  <si>
    <t>Đăng nhập vào tài  khoản
Chọn mục cá nhân
Chọn mục số địa chỉ
Nhấn xem chi tiết địa chỉ
Hiển thị màn hình chỉnh sửa địa chỉ
Nhấn vào địa chỉ hiện tại --&gt;hiển thị màn hình chọn địa chỉ
Nhấn vào thanh tìm kiếm --&gt; nhập  tên vài chữ cái đầu tiên để có được từ khóa gần giống</t>
  </si>
  <si>
    <t>VD : Giang</t>
  </si>
  <si>
    <t>Hiển  thị danh sách các tỉnh thành phố chứa từ khóa tìm kiếm</t>
  </si>
  <si>
    <t>AM46</t>
  </si>
  <si>
    <t>Kiểm tra hiển thị nhập kí tự đặc biệt</t>
  </si>
  <si>
    <t xml:space="preserve">Đăng nhập vào tài  khoản
Chọn mục cá nhân
Chọn mục số địa chỉ
Nhấn xem chi tiết địa chỉ
Hiển thị màn hình chỉnh sửa địa chỉ
Nhấn vào địa chỉ hiện tại --&gt;hiển thị màn hình chọn địa chỉ
Nhấn vào thanh tìm kiếm --&gt; nhập kí tự đặc biệt </t>
  </si>
  <si>
    <t>Hiển thị thông báo " Không tìm thấy kết quả " và icon</t>
  </si>
  <si>
    <t>Không hiển thị gì cả</t>
  </si>
  <si>
    <t>AM47</t>
  </si>
  <si>
    <t>Đăng nhập vào tài  khoản
Chọn mục cá nhân
Chọn mục số địa chỉ
Nhấn xem chi tiết địa chỉ
Hiển thị màn hình chỉnh sửa địa chỉ
Nhấn vào địa chỉ hiện tại --&gt;hiển thị màn hình chọn địa chỉ
Nhấn vào thanh tìm kiếm --&gt; Nhập từ khóa tìm kiếm --&gt; sau đó xóa từ khóa tìm kiếm vừa nhập</t>
  </si>
  <si>
    <t>Từ khóa bị xóa khỏi thanh tìm kiếm, và thanh tìm kiếm quay lại trạng thái ban đầu với placeholder “Tìm kiếm”.</t>
  </si>
  <si>
    <t>AM48</t>
  </si>
  <si>
    <t>Màn hình chọn địa chỉ Quận ( Huyện)</t>
  </si>
  <si>
    <t>Kiểm tra tìm kiếm tên Quận ( huyện) hợp lệ</t>
  </si>
  <si>
    <t>Quận Gò Vấp</t>
  </si>
  <si>
    <t>AM49</t>
  </si>
  <si>
    <t>VD : 1</t>
  </si>
  <si>
    <t>AM50</t>
  </si>
  <si>
    <t>AM51</t>
  </si>
  <si>
    <t>AM52</t>
  </si>
  <si>
    <t>Màn hình chọn địa chỉ Phường ( xã )</t>
  </si>
  <si>
    <t>Kiểm tra tìm kiếm tên Phường ( xã ) hợp lệ</t>
  </si>
  <si>
    <t>Phường 1</t>
  </si>
  <si>
    <t>Hiển thị đúng tên Phường ( xã ) vừa tìm kiếm</t>
  </si>
  <si>
    <t>AM53</t>
  </si>
  <si>
    <t>AM54</t>
  </si>
  <si>
    <t>AM55</t>
  </si>
  <si>
    <t>AM56</t>
  </si>
  <si>
    <t>Màn hình Chọn địa chỉ - Thanh chuyển tab</t>
  </si>
  <si>
    <t>Kiểm tra hiển thị chọn Thành phố ( Tỉnh ) / Quận ( huyện )/ Phường ( xã )</t>
  </si>
  <si>
    <t xml:space="preserve">Đăng nhập vào tài  khoản
Chọn mục cá nhân
Chọn mục số địa chỉ
Nhấn xem chi tiết địa chỉ
Hiển thị màn hình chỉnh sửa địa chỉ
Nhấn vào địa chỉ hiện tại --&gt;hiển thị màn hình chọn địa chỉ
Chọn Thành phố ( Tỉnh ) / Quận ( huyện )/ Phường ( xã ) sẽ hiển thị đầu bảng </t>
  </si>
  <si>
    <t>Hiển thị đúng Thành phố ( Tỉnh ) / Quận ( huyện )/ Phường ( xã ) được chọn và hiển thị ở đầu bảng</t>
  </si>
  <si>
    <t>Không hiển thị : "Thành phố ( Tỉnh ) / Quận ( huyện )/ Phường ( xã ) " được chọn và hiển thị ở đầu bảng</t>
  </si>
  <si>
    <t>AM57</t>
  </si>
  <si>
    <t xml:space="preserve">Đăng nhập vào tài  khoản
Chọn mục cá nhân
Chọn mục số địa chỉ
Nhấn xem chi tiết địa chỉ
Hiển thị màn hình chỉnh sửa địa chỉ
Nhấn vào địa chỉ hiện tại --&gt;hiển thị màn hình chọn địa chỉ
Chọn Thành phố ( Tỉnh ) / Quận ( huyện )/ Phường ( xã ) kiểm tra ( kích thước , màu sắc, cỡ chữ ) </t>
  </si>
  <si>
    <t>Chữ được in đậm</t>
  </si>
  <si>
    <t>Hiển thị chữ in được khi được chọn</t>
  </si>
  <si>
    <t xml:space="preserve">Chữ chưa được in đậm khi chọn </t>
  </si>
  <si>
    <t>AM58</t>
  </si>
  <si>
    <t>Kiểm tra khi chọn Phường ( xã )</t>
  </si>
  <si>
    <t>Đăng nhập vào tài  khoản
Chọn mục cá nhân
Chọn mục số địa chỉ
Nhấn xem chi tiết địa chỉ
Hiển thị màn hình chỉnh sửa địa chỉ
Nhấn vào địa chỉ hiện tại --&gt;hiển thị màn hình chọn địa chỉ
Chọn Thành phố ( Tỉnh ) / Quận ( huyện ) --&gt; Kiểm tra khi nhấn chọn Phường ( xã) xong sẽ quay về màn hình " Thêm địa chỉ"</t>
  </si>
  <si>
    <t>Quay về màn hình " Thêm địa chỉ " khi chọn Phường ( xã )</t>
  </si>
  <si>
    <t>AM59</t>
  </si>
  <si>
    <t>Màn hình Chọn địa chỉ -  Danh sách Thành phố ( tỉnh )/ Quận ( huyện ) / Phường ( xã )</t>
  </si>
  <si>
    <t>Kiểm tra tên thành phố, quận, phường khi được chọn làm địa chỉ</t>
  </si>
  <si>
    <t xml:space="preserve">Đăng nhập vào tài  khoản
Chọn mục cá nhân
Chọn mục số địa chỉ
Nhấn xem chi tiết địa chỉ
Hiển thị màn hình chỉnh sửa địa chỉ
Nhấn vào địa chỉ hiện tại --&gt;hiển thị màn hình chọn địa chỉ
Khi chọn Thành phố ( Tỉnh ) / Quận ( huyện )/ Phường ( xã ) --&gt; địa chỉ sẽ được tô màu cam </t>
  </si>
  <si>
    <t>Hiển thị chữ màu cam</t>
  </si>
  <si>
    <t>Không hiển thị chữ màu cam</t>
  </si>
  <si>
    <t>AM60</t>
  </si>
  <si>
    <t>Đăng nhập vào tài  khoản
Chọn mục cá nhân
Chọn mục số địa chỉ
Nhấn xem chi tiết địa chỉ
Hiển thị màn hình chỉnh sửa địa chỉ
Nhấn vào địa chỉ hiện tại --&gt;hiển thị màn hình chọn địa chỉ
Vuốt màn hình lên xuống để kiểm tra danh sách địa chỉ</t>
  </si>
  <si>
    <t xml:space="preserve">Hiển thị đầy đủ danh sách </t>
  </si>
  <si>
    <t>AM61</t>
  </si>
  <si>
    <t>Kiểm tra  thứ tự hoạt động khi chọn xong Thành phố ( tỉnh )/ Quận ( huyện ) / Phường ( xã )</t>
  </si>
  <si>
    <t xml:space="preserve">Đăng nhập vào tài  khoản
Chọn mục cá nhân
Chọn mục số địa chỉ
Nhấn xem chi tiết địa chỉ
Hiển thị màn hình chỉnh sửa địa chỉ
Nhấn vào địa chỉ hiện tại --&gt;hiển thị màn hình chọn địa chỉ
Chọn Thành phố( tỉnh ) --&gt; chọn Quận ( huyện ) --&gt; chọn Phường ( xã ) </t>
  </si>
  <si>
    <t xml:space="preserve">Sắp xếp đúng theo tự </t>
  </si>
  <si>
    <t>Vẫn chuyển sang tab Quận ( huyện ) hoặc Phường ( xã ) khi chưa chọn Thành phố ( Tỉnh )</t>
  </si>
  <si>
    <t>AM62</t>
  </si>
  <si>
    <t>Màn hình chỉnh sửa  địa chỉ  - Địa chỉ cụ thể</t>
  </si>
  <si>
    <t>Kiểm tra nhập max kí tự  của trường " Địa chỉ cụ thể "</t>
  </si>
  <si>
    <t>Đăng nhập vào tài  khoản
Chọn mục cá nhân
Chọn mục số địa chỉ
Nhấn xem chi tiết địa chỉ
Hiển thị màn hình chỉnh sửa địa chỉ
Nhập max kí tự</t>
  </si>
  <si>
    <t>Hiển thị thông báo chỉ nhập tối đa bao nhiêu kí tự ( max =255 kí tự )</t>
  </si>
  <si>
    <t>AM63</t>
  </si>
  <si>
    <t>Kiểm tra bỏ trường trường Địa chỉ cụ thể</t>
  </si>
  <si>
    <t>Đăng nhập vào tài  khoản
Chọn mục cá nhân
Chọn mục số địa chỉ
Nhấn xem chi tiết địa chỉ
Hiển thị màn hình chỉnh sửa địa chỉ
Bỏ trống Địa chỉ cụ thể 
Nhấn " Lưu thay đổi "</t>
  </si>
  <si>
    <t>Hiển thị thông báo bắt buộc nhập hoặc tương tự</t>
  </si>
  <si>
    <t>AM64</t>
  </si>
  <si>
    <t>Kiểm tra khi nhập dữ liệu địa chỉ sẽ mất dòng chữ " Nhập địa chỉ cụ thể "</t>
  </si>
  <si>
    <t xml:space="preserve">Đăng nhập vào tài  khoản
Chọn mục cá nhân
Chọn mục số địa chỉ
Nhấn xem chi tiết địa chỉ
Hiển thị màn hình chỉnh sửa địa chỉ
Nhập dữ liệu vào thì dòng chữ " Nhập địa chỉ cụ thể sẽ mất và ngược lại
</t>
  </si>
  <si>
    <t>Mất dòng chữ " Nhập địa chỉ cụ thể " khi nhập dữ liệu và ngược lại</t>
  </si>
  <si>
    <t>AM65</t>
  </si>
  <si>
    <t>Màn hình " Chỉnh sửa địa chỉ " -  Đặt làm địa chỉ mặc định</t>
  </si>
  <si>
    <t xml:space="preserve">Kiểm tra khi bật/tắt  button </t>
  </si>
  <si>
    <t>Hiển thị button</t>
  </si>
  <si>
    <t>Đăng nhập vào tài  khoản
Chọn mục cá nhân
Chọn mục số địa chỉ
Nhấn xem chi tiết địa chỉ
Hiển thị màn hình chỉnh sửa địa chỉ
Nhấn bật/tắt  button để làm địa chỉ mặc định
Nhấn " Lưu thay đổi "</t>
  </si>
  <si>
    <t>Bottun được bật/tắt
Được tô màu cam nếu bật 
Được tô màu trắng  nếu tắt</t>
  </si>
  <si>
    <t>AM66</t>
  </si>
  <si>
    <t>Kiểm tra dòng text " Đặt làm địa chỉ mặc định</t>
  </si>
  <si>
    <t>Đăng nhập vào tài  khoản
Chọn mục cá nhân
Chọn mục số địa chỉ
Nhấn xem chi tiết địa chỉ
Hiển thị màn hình chỉnh sửa địa chỉ
Kiểm tra kích thước, màu sắc, cỡ chữ</t>
  </si>
  <si>
    <t>AM67</t>
  </si>
  <si>
    <t>Kiểm tra khi bật button và được hiển thị ở màn hình " Số địa chỉ "</t>
  </si>
  <si>
    <t>Đăng nhập vào tài  khoản
Chọn mục cá nhân
Chọn mục số địa chỉ
Nhấn xem chi tiết địa chỉ
Hiển thị màn hình chỉnh sửa địa chỉ
Nhấn bật button để làm địa chỉ mặc định và được hiển thị ở mà hình " Số địa chỉ "
Nhấn " Lưu thay đổi "</t>
  </si>
  <si>
    <t>Địa chỉ được cài làm " Địa chỉ mặc định sẽ được hiển thị ở màn hình " Số địa chỉ "</t>
  </si>
  <si>
    <t>AM68</t>
  </si>
  <si>
    <t>Kiểm tra khi tắt button và được hiển thị ở màn hình " Số địa chỉ "</t>
  </si>
  <si>
    <t>Đăng nhập vào tài  khoản
Chọn mục cá nhân
Chọn mục số địa chỉ
Nhấn xem chi tiết địa chỉ
Hiển thị màn hình chỉnh sửa địa chỉ
Nhấn tắt button để làm địa chỉ mặc định và được hiển thị ở mà hình " Số địa chỉ "
Nhấn " Lưu thay đổi "</t>
  </si>
  <si>
    <t>Khi tắt button địa chỉ được cài làm  mặc định  sẽ không hiển thị ở màn hình " Số địa chỉ "</t>
  </si>
  <si>
    <t>AM69</t>
  </si>
  <si>
    <t>Kiểm tra khi bật/tắt  button nhưng không lưu lại</t>
  </si>
  <si>
    <t>Đăng nhập vào tài  khoản
Chọn mục cá nhân
Chọn mục số địa chỉ
Nhấn xem chi tiết địa chỉ
Hiển thị màn hình chỉnh sửa địa chỉ
Nhấn bật/tắt button nhưng không nhấn  " Lưu thay đổi "</t>
  </si>
  <si>
    <t>Không thay đổi gì</t>
  </si>
  <si>
    <t>AM70</t>
  </si>
  <si>
    <t>Màn hình " Chỉnh sửa địa chỉ " -  Xóa</t>
  </si>
  <si>
    <t>Kiểm tra hiển thị khi nhấn xóa địa chỉ</t>
  </si>
  <si>
    <t>Đăng nhập vào tài  khoản
Chọn mục cá nhân
Chọn mục số địa chỉ
Nhấn xem chi tiết địa chỉ
Hiển thị màn hình chỉnh sửa địa chỉ
Nhấn xóa --&gt; hiển thị màn hình xác nhận ( Kiểm tra icon xóa, màu sắc, kích thước, cỡ chữ )</t>
  </si>
  <si>
    <t>Đăng nhập vào tài  khoản
Chọn mục cá nhân
Chọn mục số địa chỉ
Nhấn xem chi tiết địa chỉ
Hiển thị màn hình chỉnh sửa địa chỉ
Nhấn nút xóa địa chỉ
Nhấn " Lưu thay đổi "</t>
  </si>
  <si>
    <t>Không in đậm nút " XÓA "</t>
  </si>
  <si>
    <t>AM71</t>
  </si>
  <si>
    <t>Kiểm tra hiển thị khi nhấn " Đồng ý " xóa</t>
  </si>
  <si>
    <t>Đăng nhập vào tài  khoản
Chọn mục cá nhân
Chọn mục số địa chỉ
Nhấn xem chi tiết địa chỉ
Hiển thị màn hình chỉnh sửa địa chỉ
Nhấn xóa --&gt; hiển thị màn hình xác nhận --&gt; nhấn đồng ý xóa</t>
  </si>
  <si>
    <t xml:space="preserve">Địa chỉ sẽ được xóa và sẽ quay về màn hình " Số địa chỉ " </t>
  </si>
  <si>
    <t>Không hiển thị thông báo xác nhận xóa địa chỉ</t>
  </si>
  <si>
    <t>AM72</t>
  </si>
  <si>
    <t>Kiểm tra hiển thị khi nhấn "Không"</t>
  </si>
  <si>
    <t xml:space="preserve">Đăng nhập vào tài  khoản
Chọn mục cá nhân
Chọn mục số địa chỉ
Nhấn xem chi tiết địa chỉ
Hiển thị màn hình chỉnh sửa địa chỉ
Nhấn xóa --&gt; hiển thị màn hình xác nhận --&gt; nhấn " Không" </t>
  </si>
  <si>
    <t xml:space="preserve">Địa chỉ sẽ không được xóa và sẽ quay về màn hình " Chỉnh sửa địa chỉ " </t>
  </si>
  <si>
    <t>AM73</t>
  </si>
  <si>
    <t>Kiểm tra button " Đồng ý "</t>
  </si>
  <si>
    <t>Đăng nhập vào tài  khoản
Chọn mục cá nhân
Chọn mục số địa chỉ
Nhấn xem chi tiết địa chỉ
Hiển thị màn hình chỉnh sửa địa chỉ
Nhấn xóa --&gt; hiển thị màn hình xác nhận --&gt; kiểm tra màu sắc, kích thước, cỡ chữ của button " Đồng ý "</t>
  </si>
  <si>
    <t>Hiển thị đúng màu sắc, kích thước, cỡ chữ của button " Đồng ý "</t>
  </si>
  <si>
    <t>AM74</t>
  </si>
  <si>
    <t>Kiểm tra button " Không "</t>
  </si>
  <si>
    <t>Đăng nhập vào tài  khoản
Chọn mục cá nhân
Chọn mục số địa chỉ
Nhấn xem chi tiết địa chỉ
Hiển thị màn hình chỉnh sửa địa chỉ
Nhấn xóa --&gt; hiển thị màn hình xác nhận --&gt; kiểm tra màu sắc, kích thước, cỡ chữ của button " Không "</t>
  </si>
  <si>
    <t>Hiển thị đúng màu sắc, kích thước, cỡ chữ của button " Không "</t>
  </si>
  <si>
    <t>AM75</t>
  </si>
  <si>
    <t>Màn hình " Chỉnh sửa địa chỉ " -  Kiểm tra nút Lưu thay đổi</t>
  </si>
  <si>
    <t>Kiểm tra  nút " Lưu thay đổi "</t>
  </si>
  <si>
    <t>Đăng nhập vào tài  khoản
Chọn mục cá nhân
Chọn mục số địa chỉ
Nhấn xem chi tiết địa chỉ
Hiển thị màn hình chỉnh sửa địa chỉ
Kiểm tra màu sắc, kích thước, cỡ chữ của nút " Lưu thay đổi "</t>
  </si>
  <si>
    <t>Hiển thị đúng màu sắc, kích thước, cỡ chữ của nút " Lưu thay đổi "</t>
  </si>
  <si>
    <t>Không in đậm nút " Lưu thay đổi "</t>
  </si>
  <si>
    <t>AM76</t>
  </si>
  <si>
    <t>Kiểm tra chức năng của nút " Lưu thay đổi "</t>
  </si>
  <si>
    <t>Đăng nhập vào tài  khoản
Chọn mục cá nhân
Chọn mục số địa chỉ
Nhấn xem chi tiết địa chỉ
Hiển thị màn hình chỉnh sửa địa chỉ
Nhập đầy đủ thông tin mà nhấn " Lưu thay đổi "</t>
  </si>
  <si>
    <t>Không hiển thị thông báo : " Lưu thay đổi thành công "</t>
  </si>
  <si>
    <t>AM77</t>
  </si>
  <si>
    <t>Kiểm tra nút " Lưu thay đổi " nhiều lần liên tiếp</t>
  </si>
  <si>
    <t>Đăng nhập vào tài  khoản
Chọn mục cá nhân
Chọn mục số địa chỉ
Nhấn xem chi tiết địa chỉ
Hiển thị màn hình chỉnh sửa địa chỉ
Nhấn " Lưu thay đổi " nhiều lần liên tiếp</t>
  </si>
  <si>
    <t>Không bị spam nút " Lưu thay đổi "</t>
  </si>
  <si>
    <t>Đá ra màn hình trang chủ khi nhấn nhiều lần</t>
  </si>
  <si>
    <t>AM78</t>
  </si>
  <si>
    <t>Kiểm tra tốc độ lưu</t>
  </si>
  <si>
    <t>Đăng nhập vào tài  khoản
Chọn mục cá nhân
Chọn mục số địa chỉ
Nhấn xem chi tiết địa chỉ
Hiển thị màn hình chỉnh sửa địa chỉ
Nhập đầy đủ địa chỉ
Nhấn " Lưu thay đổi " kiềm tra tốc độ lưu</t>
  </si>
  <si>
    <t>Dữ liệu được lưu trong thời gian hợp lý</t>
  </si>
  <si>
    <t>AM79</t>
  </si>
  <si>
    <t xml:space="preserve"> Màn hình " Số địa chỉ " - Thêm mới địa chỉ - UI</t>
  </si>
  <si>
    <t>Người dùng đang ở màn hình " Thêm địa chỉ "</t>
  </si>
  <si>
    <t>Đăng nhập vào tài  khoản
Chọn mục cá nhân
Chọn mục số địa chỉ 
Chọn " Thêm mới địa chỉ --&gt; hiển thị màn hình " Thêm địa chỉ " kiểm tra màu sắc, kích thước,cỡ chữ</t>
  </si>
  <si>
    <t>Hiển thị đúng màu sắc, kích thước, cỡ chữ của " Thêm  địa chỉ "</t>
  </si>
  <si>
    <t>Không in đậm thanh header " Thêm địa chỉ "</t>
  </si>
  <si>
    <t>AM80</t>
  </si>
  <si>
    <t>Kiểm tra trường Họ và tên</t>
  </si>
  <si>
    <r>
      <rPr>
        <rFont val="Arial"/>
        <color theme="1"/>
      </rPr>
      <t xml:space="preserve">Đăng nhập vào tài  khoản
Chọn mục cá nhân
Chọn mục số địa chỉ 
Chọn " Thêm mới địa chỉ --&gt; hiển thị màn hình " Thêm địa chỉ " kiểm tra trường " Họ và tên " về màu sắc, kích thước,cỡ chữ, có dấu </t>
    </r>
    <r>
      <rPr>
        <rFont val="Arial"/>
        <color rgb="FFFF0000"/>
      </rPr>
      <t xml:space="preserve">* </t>
    </r>
  </si>
  <si>
    <r>
      <rPr>
        <rFont val="Arial"/>
        <color theme="1"/>
      </rPr>
      <t xml:space="preserve">Hiển thị đúng màu sắc, kích thước, cỡ chữ  và có dấu </t>
    </r>
    <r>
      <rPr>
        <rFont val="Arial"/>
        <color rgb="FFFF0000"/>
      </rPr>
      <t xml:space="preserve">* </t>
    </r>
    <r>
      <rPr>
        <rFont val="Arial"/>
        <color theme="1"/>
      </rPr>
      <t>bắt buộc</t>
    </r>
  </si>
  <si>
    <r>
      <rPr>
        <rFont val="Arial"/>
        <color theme="1"/>
      </rPr>
      <t xml:space="preserve">Hiển thị đúng màu sắc, kích thước, cỡ chữ  và có dấu </t>
    </r>
    <r>
      <rPr>
        <rFont val="Arial"/>
        <color rgb="FFFF0000"/>
      </rPr>
      <t xml:space="preserve">* </t>
    </r>
    <r>
      <rPr>
        <rFont val="Arial"/>
        <color theme="1"/>
      </rPr>
      <t>bắt buộc</t>
    </r>
  </si>
  <si>
    <t>AM81</t>
  </si>
  <si>
    <t>Kiểm tra trường Số điện thoại</t>
  </si>
  <si>
    <r>
      <rPr>
        <rFont val="Arial"/>
        <color theme="1"/>
      </rPr>
      <t xml:space="preserve">Đăng nhập vào tài  khoản
Chọn mục cá nhân
Chọn mục số địa chỉ 
Chọn " Thêm mới địa chỉ --&gt; hiển thị màn hình " Thêm địa chỉ " kiểm tra trường " Họ và tên " về màu sắc, kích thước,cỡ chữ, có dấu </t>
    </r>
    <r>
      <rPr>
        <rFont val="Arial"/>
        <color rgb="FFFF0000"/>
      </rPr>
      <t xml:space="preserve">* </t>
    </r>
  </si>
  <si>
    <r>
      <rPr>
        <rFont val="Arial"/>
        <color theme="1"/>
      </rPr>
      <t xml:space="preserve">Hiển thị đúng màu sắc, kích thước, cỡ chữ  và có dấu </t>
    </r>
    <r>
      <rPr>
        <rFont val="Arial"/>
        <color rgb="FFFF0000"/>
      </rPr>
      <t xml:space="preserve">* </t>
    </r>
    <r>
      <rPr>
        <rFont val="Arial"/>
        <color theme="1"/>
      </rPr>
      <t>bắt buộc</t>
    </r>
  </si>
  <si>
    <r>
      <rPr>
        <rFont val="Arial"/>
        <color theme="1"/>
      </rPr>
      <t xml:space="preserve">Hiển thị đúng màu sắc, kích thước, cỡ chữ  và có dấu </t>
    </r>
    <r>
      <rPr>
        <rFont val="Arial"/>
        <color rgb="FFFF0000"/>
      </rPr>
      <t xml:space="preserve">* </t>
    </r>
    <r>
      <rPr>
        <rFont val="Arial"/>
        <color theme="1"/>
      </rPr>
      <t>bắt buộc</t>
    </r>
  </si>
  <si>
    <t>AM82</t>
  </si>
  <si>
    <t>Kiểm tra trường Thành phố ( Tỉnh)/Quận ( huyện )/Phường ( xã )</t>
  </si>
  <si>
    <r>
      <rPr>
        <rFont val="Arial"/>
        <color theme="1"/>
      </rPr>
      <t xml:space="preserve">Đăng nhập vào tài  khoản
Chọn mục cá nhân
Chọn mục số địa chỉ 
Chọn " Thêm mới địa chỉ --&gt; hiển thị màn hình " Thêm địa chỉ " kiểm tra trường " Thành phố/quận/phường " về màu sắc, kích thước,cỡ chữ, có dấu </t>
    </r>
    <r>
      <rPr>
        <rFont val="Arial"/>
        <color rgb="FFFF0000"/>
      </rPr>
      <t xml:space="preserve">* </t>
    </r>
  </si>
  <si>
    <r>
      <rPr>
        <rFont val="Arial"/>
        <color theme="1"/>
      </rPr>
      <t xml:space="preserve">Hiển thị đúng màu sắc, kích thước, cỡ chữ  và có dấu </t>
    </r>
    <r>
      <rPr>
        <rFont val="Arial"/>
        <color rgb="FFFF0000"/>
      </rPr>
      <t xml:space="preserve">* </t>
    </r>
    <r>
      <rPr>
        <rFont val="Arial"/>
        <color theme="1"/>
      </rPr>
      <t>bắt buộc</t>
    </r>
  </si>
  <si>
    <r>
      <rPr>
        <rFont val="Arial"/>
        <color theme="1"/>
      </rPr>
      <t xml:space="preserve">Hiển thị đúng màu sắc, kích thước, cỡ chữ  và có dấu </t>
    </r>
    <r>
      <rPr>
        <rFont val="Arial"/>
        <color rgb="FFFF0000"/>
      </rPr>
      <t xml:space="preserve">* </t>
    </r>
    <r>
      <rPr>
        <rFont val="Arial"/>
        <color theme="1"/>
      </rPr>
      <t>bắt buộc</t>
    </r>
  </si>
  <si>
    <t>AM83</t>
  </si>
  <si>
    <t>Kiểm tra trường Địa chỉ cụ thể</t>
  </si>
  <si>
    <r>
      <rPr>
        <rFont val="Arial"/>
        <color theme="1"/>
      </rPr>
      <t xml:space="preserve">Đăng nhập vào tài  khoản
Chọn mục cá nhân
Chọn mục số địa chỉ 
Chọn " Thêm mới địa chỉ --&gt; hiển thị màn hình " Thêm địa chỉ " kiểm tra trường " Địa chỉ cụ thể " về màu sắc, kích thước,cỡ chữ, có dấu </t>
    </r>
    <r>
      <rPr>
        <rFont val="Arial"/>
        <color rgb="FFFF0000"/>
      </rPr>
      <t xml:space="preserve">* </t>
    </r>
  </si>
  <si>
    <r>
      <rPr>
        <rFont val="Arial"/>
        <color theme="1"/>
      </rPr>
      <t xml:space="preserve">Hiển thị đúng màu sắc, kích thước, cỡ chữ  và có dấu </t>
    </r>
    <r>
      <rPr>
        <rFont val="Arial"/>
        <color rgb="FFFF0000"/>
      </rPr>
      <t xml:space="preserve">* </t>
    </r>
    <r>
      <rPr>
        <rFont val="Arial"/>
        <color theme="1"/>
      </rPr>
      <t>bắt buộc</t>
    </r>
  </si>
  <si>
    <t>In đậm ( Số nhà, tên tòa nhà, tên đường, tên khu vực )</t>
  </si>
  <si>
    <t>AM84</t>
  </si>
  <si>
    <t>Kiểm tra khoảng cách giữa các trường</t>
  </si>
  <si>
    <t>Đăng nhập vào tài  khoản
Chọn mục cá nhân
Chọn mục số địa chỉ 
Chọn " Thêm mới địa chỉ --&gt; hiển thị màn hình " Thêm địa chỉ " kiểm tra khoảng các các trường với nhau</t>
  </si>
  <si>
    <t>Kích thước của các trường 
Khoảng cách giữa " Địa chỉ cụ thể và Đặt là địa chỉ mặc định "</t>
  </si>
  <si>
    <t>Hiển thị  đúng với design</t>
  </si>
  <si>
    <t>Hiển thị khoảng cách sai</t>
  </si>
  <si>
    <t>AM85</t>
  </si>
  <si>
    <t>Kiểm tra trường " Đặt làm chỉ mặc định "</t>
  </si>
  <si>
    <r>
      <rPr>
        <rFont val="Arial"/>
        <color theme="1"/>
      </rPr>
      <t>Đăng nhập vào tài  khoản
Chọn mục cá nhân
Chọn mục số địa chỉ 
Chọn " Thêm mới địa chỉ --&gt; hiển thị màn hình " Thêm địa chỉ " kiểm tra trường " Đặt làm địa chỉ mặc định " về màu sắc, kích thước,cỡ chữ, nút button</t>
    </r>
    <r>
      <rPr>
        <rFont val="Arial"/>
        <color rgb="FFFF0000"/>
      </rPr>
      <t xml:space="preserve"> </t>
    </r>
  </si>
  <si>
    <t>Hiển thị đúng màu sắc, kích thước, cỡ chữ  và có nút button</t>
  </si>
  <si>
    <t>AM86</t>
  </si>
  <si>
    <t>Kiểm tra button " Thêm mới "</t>
  </si>
  <si>
    <r>
      <rPr>
        <rFont val="Arial"/>
        <color theme="1"/>
      </rPr>
      <t>Đăng nhập vào tài  khoản
Chọn mục cá nhân
Chọn mục số địa chỉ 
Chọn " Thêm mới địa chỉ --&gt; hiển thị màn hình " Thêm địa chỉ " kiểm tra button " Thêm mới " về màu sắc, kích thước,cỡ chữ</t>
    </r>
    <r>
      <rPr>
        <rFont val="Arial"/>
        <color rgb="FFFF0000"/>
      </rPr>
      <t xml:space="preserve"> </t>
    </r>
  </si>
  <si>
    <t xml:space="preserve">Hiển thị đúng màu sắc, kích thước, cỡ chữ  </t>
  </si>
  <si>
    <t>Không in đậm button chữ" Thêm mới "
Button " Thêm mới địa chỉ " --&gt; " Thêm mới "</t>
  </si>
  <si>
    <t>AM87</t>
  </si>
  <si>
    <t>Màn hình " Số địa chỉ " - Thêm mới địa chỉ - Họ và tên</t>
  </si>
  <si>
    <t>Đăng nhập vào tài  khoản
Chọn mục cá nhân
Chọn mục số địa chỉ
Nhấn thêm mới địa chỉ --&gt; hiển thị màn hình thêm địa chỉ
Kiểm tra chỉnh sửa họ và tên hợp lệ
Nhấn " Lưu thay đổi "</t>
  </si>
  <si>
    <t>AM88</t>
  </si>
  <si>
    <t>Đăng nhập vào tài  khoản
Chọn mục cá nhân
Chọn mục số địa chỉ
Nhấn thêm mới địa chỉ - hiển thị màn hình thêm địa chỉ
Kiểm tra nhập max kí tự họ và tên
Nhấn " Lưu thay đổi "</t>
  </si>
  <si>
    <t>Hiển thị thông báo khi quá độ dài quy định ( MAXX =255 kí tự )</t>
  </si>
  <si>
    <t>AM89</t>
  </si>
  <si>
    <t>Đăng nhập vào tài  khoản
Chọn mục cá nhân
Chọn mục số địa chỉ
Nhấn thêm mới địa chỉ --&gt; hiển thị màn hình thêm địa chỉ
Xóa hết dữ liệu Họ và tên
Nhấn " Lưu thay đổi "</t>
  </si>
  <si>
    <t>Hiển thị thông báo bắt buộc nhập  họ và tên</t>
  </si>
  <si>
    <t>AM90</t>
  </si>
  <si>
    <t>Kiểm tra thanh hover " Họ và tên "</t>
  </si>
  <si>
    <t>Đăng nhập vào tài  khoản
Chọn mục cá nhân
Chọn mục số địa chỉ
Nhấn Thêm mới địa chỉ --&gt; hiển thị màn hình thêm mới địa chỉ
Trỏ chuột vào thanh Họ và tên --&gt; Kiểm tra thanh hover</t>
  </si>
  <si>
    <t xml:space="preserve">Hiển thị thanh hover màu cam khi trỏ chuột vào </t>
  </si>
  <si>
    <t>AM91</t>
  </si>
  <si>
    <t>Màn hình " Số địa chỉ " - Thêm mới địa chỉ  - Số điện thoại</t>
  </si>
  <si>
    <t>Đăng nhập vào tài  khoản
Chọn mục cá nhân
Chọn mục số địa chỉ
Nhấn thêm mới  địa chỉ --&gt; hiển thị màn hình thêm địa chỉ
Nhập số điện thoại đúng định dạng
Nhấn " Lưu thay đổi "</t>
  </si>
  <si>
    <t>AM92</t>
  </si>
  <si>
    <t>Kiểm tra nhập kí tự đặc biệt  và icon vào trường số điện thoại</t>
  </si>
  <si>
    <t>Không cho nhập kí tự đặc biệt ,icon</t>
  </si>
  <si>
    <t>Vẫn nhập được kí tự đặc biệt ,icon</t>
  </si>
  <si>
    <t>AM93</t>
  </si>
  <si>
    <t>Đăng nhập vào tài  khoản
Chọn mục cá nhân
Chọn mục số địa chỉ
Nhấn thêm mới địa chỉ --&gt; hiển thị màn hình thêm địa chỉ
Nhập kí tự chữ vào số điện thoại
Nhấn " Lưu thay đổi "</t>
  </si>
  <si>
    <t>Vẫn nhập được kí tự chữ</t>
  </si>
  <si>
    <t>AM94</t>
  </si>
  <si>
    <t>Đăng nhập vào tài  khoản
Chọn mục cá nhân
Chọn mục số địa chỉ
Nhấn thêm mới  địa chỉ --&gt; hiển thị màn hình thêm địa chỉ
Xóa tất cả nội dung trong ô số điện thoại
Nhấn " Lưu thay đổi "</t>
  </si>
  <si>
    <t>Hiển thị thông báo : " Vui lòng nhập số điện thoại "</t>
  </si>
  <si>
    <t>Hiển thị thông báo " Số điện thoại phải gồm 10 chữ số "</t>
  </si>
  <si>
    <t>AM95</t>
  </si>
  <si>
    <t>Đăng nhập vào tài  khoản
Chọn mục cá nhân
Chọn mục số địa chỉ
Nhấn thêm mới  địa chỉ --&gt; hiển thị màn hình thêm địa chỉ
Kiểm tra số điện thoại hiện tại ( đúng số điện thoại )
Nhấn " Lưu thay đổi "</t>
  </si>
  <si>
    <t>AM96</t>
  </si>
  <si>
    <t>Đăng nhập vào tài  khoản
Chọn mục cá nhân
Chọn mục số địa chỉ
Nhấn thêm mới địa chỉ--&gt; hiển thị màn hình thêm địa chỉ
Kiểm tra max độ dài của số điện thoại
Nhấn " Lưu thay đổi "</t>
  </si>
  <si>
    <t>AM97</t>
  </si>
  <si>
    <t>Đăng nhập vào tài  khoản
Chọn mục cá nhân
Chọn mục số địa chỉ
Nhấn thêm mới địa chỉ--&gt; hiển thị màn hình thêm địa chỉ
Nhấn vào ô số điện thoại 
Nhấn " Lưu thay đổi " mà không thay đổi gì</t>
  </si>
  <si>
    <t>AM98</t>
  </si>
  <si>
    <t>Đăng nhập vào tài  khoản
Chọn mục cá nhân
Chọn mục số địa chỉ
Nhấn thêm mới địa chỉ--&gt; hiển thị màn hình thêm địa chỉ
Chỉnh sửa số điện thoại nhưng không nhấn " Lưu thay đổi "</t>
  </si>
  <si>
    <t>AM99</t>
  </si>
  <si>
    <t>Đăng nhập vào tài  khoản
Chọn mục cá nhân
Chọn thêm mới  địa chỉ--&gt; hiển thị màn hình thêm địa chỉ
Chỉnh sửa số điện thoại nhưng không nhấn " Lưu thay đổi "</t>
  </si>
  <si>
    <t>AM100</t>
  </si>
  <si>
    <t>Đăng nhập vào tài  khoản
Chọn mục cá nhân
Chọn mục số địa chỉ
Nhấn thêm mới địa chỉ --&gt; Hiển thị màn hình thêm địa chỉ
Chỉnh sửa số điện thoại nhưng không nhấn " Lưu thay đổi "</t>
  </si>
  <si>
    <t>AM101</t>
  </si>
  <si>
    <t>Kiểm tra thanh hover " Số điện thoại"</t>
  </si>
  <si>
    <t>Đăng nhập vào tài  khoản
Chọn mục cá nhân
Chọn mục số địa chỉ
Nhấn Thêm mới địa chỉ --&gt; hiển thị màn hình thêm mới địa chỉ
Trỏ chuột vào thanh Số điện thoại --&gt; Kiểm tra thanh hover</t>
  </si>
  <si>
    <t>AM102</t>
  </si>
  <si>
    <t>Đăng nhập vào tài  khoản
Chọn mục cá nhân
Chọn mục số địa chỉ
Nhấn thêm mới địa chỉ---&gt; hiển thị màn hình thêm địa chỉ
Nhấn vào địa chỉ hiện tại --&gt;hiển thị màn hình chọn địa chỉ
Kiểm tra thanh header " Chọn địa chỉ " ( kiểm tra màu sắc, kích thước , cỡ chữ )</t>
  </si>
  <si>
    <t>AM103</t>
  </si>
  <si>
    <t>Đăng nhập vào tài  khoản
Chọn mục cá nhân
Chọn mục số địa chỉ
Nhấn thêm mới địa chỉ --&gt; hiển thị màn hình chỉnh thêm địa chỉ
Nhấn vào địa chỉ hiện tại --&gt;hiển thị màn hình chọn địa chỉ
Trỏ chuột vào thanh tìm kiếm</t>
  </si>
  <si>
    <t>AM104</t>
  </si>
  <si>
    <t>Đăng nhập vào tài  khoản
Chọn mục cá nhân
Chọn mục số địa chỉ
Nhấn thêm mới địa chỉ ---&gt; hiển thị màn hình thêm địa chỉ
Nhấn vào địa chỉ hiện tại --&gt;hiển thị màn hình chọn địa chỉ
Chuyển tab từ Tỉnh sang Huyện hoặc Xã</t>
  </si>
  <si>
    <t>Khi chuyển sang mục khác thanh chuyển tab sẽ hiển thị  màu cam</t>
  </si>
  <si>
    <t>AM105</t>
  </si>
  <si>
    <t>Đăng nhập vào tài  khoản
Chọn mục cá nhân
Chọn mục số địa chỉ
Nhấn thêm địa chỉ --&gt; hiển thị màn hình thêm địa chỉ
Nhấn vào địa chỉ hiện tại --&gt;hiển thị màn hình chọn địa chỉ
Kiểm tra lấy danh sách địa chỉ</t>
  </si>
  <si>
    <t>AM106</t>
  </si>
  <si>
    <t xml:space="preserve">Đăng nhập vào tài  khoản
Chọn mục cá nhân
Chọn mục số địa chỉ
Nhấn thêm mới địa chỉ --&gt; hiển thị màn hình thêm địa chỉ
Nhấn vào địa chỉ hiện tại --&gt;hiển thị màn hình chọn địa chỉ
Nhấn vào nút X  để tắt chọn địa chỉ ở gốc trên bên phải </t>
  </si>
  <si>
    <t>AM107</t>
  </si>
  <si>
    <t>THÊM MỚI ĐỊA CHỈ - CHỌN ĐỊA CHỈ - THANH TÌM KIẾM ( Thành phố )</t>
  </si>
  <si>
    <t>Đăng nhập vào tài  khoản
Chọn mục cá nhân
Chọn mục số địa chỉ
Nhấn thêm mới địa chỉ --&gt; hiển thị màn hình thêm địa chỉ
Nhấn vào địa chỉ hiện tại --&gt;hiển thị màn hình chọn địa chỉ
Nhấn vào thanh tìm kiếm --&gt; tìm kiếm bất kỳ tên Thành phố nào</t>
  </si>
  <si>
    <t>AM108</t>
  </si>
  <si>
    <t>Đăng nhập vào tài  khoản
Chọn mục cá nhân
Chọn mục số địa chỉ
Nhấn thêm mới địa chỉ --&gt; hiển thị màn hình thêm địa chỉ
Nhấn vào địa chỉ hiện tại --&gt;hiển thị màn hình chọn địa chỉ
Nhấn vào thanh tìm kiếm --&gt; nhập  tên vài chữ cái đầu tiên để có được từ khóa gần giống</t>
  </si>
  <si>
    <t>AM109</t>
  </si>
  <si>
    <t xml:space="preserve">Đăng nhập vào tài  khoản
Chọn mục cá nhân
Chọn mục số địa chỉ
Nhấn thêm mới địa chỉ --&gt; hiển thị màn hình thêm địa chỉ
Nhấn vào địa chỉ hiện tại --&gt;hiển thị màn hình chọn địa chỉ
Nhấn vào thanh tìm kiếm --&gt; nhập kí tự đặc biệt </t>
  </si>
  <si>
    <t>AM110</t>
  </si>
  <si>
    <t>Đăng nhập vào tài  khoản
Chọn mục cá nhân
Chọn mục số địa chỉ
Nhấn thêm mới địa chỉ --&gt; hiển thị màn hình thêm địa chỉ
Nhấn vào địa chỉ hiện tại --&gt;hiển thị màn hình chọn địa chỉ
Nhấn vào thanh tìm kiếm --&gt; Nhập từ khóa tìm kiếm --&gt; sau đó xóa từ khóa tìm kiếm vừa nhập</t>
  </si>
  <si>
    <t>AM111</t>
  </si>
  <si>
    <t>THÊM MỚI ĐỊA CHỈ - CHỌN ĐỊA CHỈ - THANH TÌM KIẾM ( Quận )</t>
  </si>
  <si>
    <t>Hiển thị đúng tên Quận vừa tìm kiếm</t>
  </si>
  <si>
    <t>AM112</t>
  </si>
  <si>
    <t>Đăng nhập vào tài  khoản
Chọn mục cá nhân
Chọn mục số địa chỉ
Nhấn thêm mới địa chỉ --&gt; hiển thị màn hình chỉnh sửa địa chỉ
Nhấn vào địa chỉ hiện tại --&gt;hiển thị màn hình chọn địa chỉ
Nhấn vào thanh tìm kiếm --&gt; nhập  tên vài chữ cái đầu tiên để có được từ khóa gần giống</t>
  </si>
  <si>
    <t>AM113</t>
  </si>
  <si>
    <t>Đăng nhập vào tài  khoản
Chọn mục cá nhân
Chọn mục số địa chỉ
Nhấn thêm mới địa chỉ --&gt; hiển thị màn hình chỉnh sửa địa chỉ
Nhấn vào địa chỉ hiện tại --&gt;hiển thị màn hình chọn địa chỉ
Nhấn vào thanh tìm kiếm --&gt; nhập tên bằng kí tự đặc biệt</t>
  </si>
  <si>
    <t>AM114</t>
  </si>
  <si>
    <t>AM115</t>
  </si>
  <si>
    <t>THÊM MỚI ĐỊA CHỈ - CHỌN ĐỊA CHỈ - THANH TÌM KIẾM ( Phường )</t>
  </si>
  <si>
    <t>Đăng nhập vào tài  khoản
Chọn mục cá nhân
Chọn mục số địa chỉ
Nhấn thêm mới địa chỉ --&gt; Hiển thị màn hình thêm địa chỉ
Nhấn vào địa chỉ hiện tại --hiển thị màn hình chọn địa chỉ
Nhấn vào thanh tìm kiếm --&gt; tìm kiếm bất kỳ tên Thành phố nào</t>
  </si>
  <si>
    <t>Hiển thị đúng tên Phường vừa tìm kiếm</t>
  </si>
  <si>
    <t>AM116</t>
  </si>
  <si>
    <t>AM117</t>
  </si>
  <si>
    <t xml:space="preserve">Đăng nhập vào tài  khoản
Chọn mục cá nhân
Chọn mục số địa chỉ
Nhấn thêm mới địa chỉ  ---&gt; hiển thị màn hình thêm địa chỉ
Nhấn vào địa chỉ hiện tại --&gt;hiển thị màn hình chọn địa chỉ
Nhấn vào thanh tìm kiếm --&gt; nhập kí tự đặc biệt </t>
  </si>
  <si>
    <t>AM118</t>
  </si>
  <si>
    <t>Đăng nhập vào tài  khoản
Chọn mục cá nhân
Chọn mục số địa chỉ
Nhấn thêm mới địa chỉ --&gt; hiển thị màn hình  thêm địa chỉ
Nhấn vào địa chỉ hiện tại --&gt;hiển thị màn hình chọn địa chỉ
Nhấn vào thanh tìm kiếm --&gt; Nhập từ khóa tìm kiếm --&gt; sau đó xóa từ khóa tìm kiếm vừa nhập</t>
  </si>
  <si>
    <t>AM119</t>
  </si>
  <si>
    <t>AM120</t>
  </si>
  <si>
    <t>AM121</t>
  </si>
  <si>
    <t>AM122</t>
  </si>
  <si>
    <t>AM123</t>
  </si>
  <si>
    <t>AM124</t>
  </si>
  <si>
    <t>AM125</t>
  </si>
  <si>
    <t>Màn hình Thêm địa chỉ  - Địa chỉ cụ thể</t>
  </si>
  <si>
    <t>AM126</t>
  </si>
  <si>
    <t>Kiểm tra bỏ  trường Địa chỉ cụ thể</t>
  </si>
  <si>
    <t>Hiển thị thông báo : " Địa chỉ không được để trống</t>
  </si>
  <si>
    <t>AM127</t>
  </si>
  <si>
    <t xml:space="preserve">Đăng nhập vào tài  khoản
Chọn mục cá nhân
Chọn mục số địa chỉ
Nhấn thêm mới địa chỉ --&gt; Hiển thị màn hình thêm địa chỉ
Nhập dữ liệu địa chỉ --&gt; kiểm tra mất dòng chữ " Nhập địa chỉ cụ thể và khi xóa dữ liệu sẽ xuất hiện lại dòng chữ đó
</t>
  </si>
  <si>
    <t>AM128</t>
  </si>
  <si>
    <t>Kiểm tra hiển thị thanh hover</t>
  </si>
  <si>
    <t xml:space="preserve">Đăng nhập vào tài  khoản
Chọn mục cá nhân
Chọn mục số địa chỉ
Nhấn thêm mới địa chỉ --&gt; Hiển thị màn hình thêm địa chỉ
Trỏ chuột vào ô " Địa chỉ cụ thể " để kiểm tra thanh hover
</t>
  </si>
  <si>
    <t>Thanh hover " Địa chỉ cụ thể " Chuyển sang màu cam khi chưa nhập địa chỉ</t>
  </si>
  <si>
    <t>AM129</t>
  </si>
  <si>
    <t>Màn hình " Thêm địa chỉ " -  Đặt làm địa chỉ mặc định</t>
  </si>
  <si>
    <t>Đăng nhập vào tài  khoản
Chọn mục cá nhân
Chọn mục số địa chỉ
Nhấn thêm mới địa chỉ --&gt; Hiển thị màn hình thêm địa chỉ
Nhấn bật/tắt  button để làm địa chỉ mặc định
Nhấn " Lưu thay đổi "</t>
  </si>
  <si>
    <t>AM130</t>
  </si>
  <si>
    <t>Đăng nhập vào tài  khoản
Chọn mục cá nhân
Chọn mục số địa chỉ
Nhấn thêm mới địa chỉ --&gt; Hiển thị màn hình thêm địa chỉ
Kiểm tra kích thước, màu sắc, cỡ chữ</t>
  </si>
  <si>
    <t>AM131</t>
  </si>
  <si>
    <t>Đăng nhập vào tài  khoản
Chọn mục cá nhân
Chọn mục số địa chỉ
Nhấn thêm mới địa chỉ --&gt; Hiển thị màn hình thêm địa chỉ
Nhấn bật button để làm địa chỉ mặc định và được hiển thị ở mà hình " Số địa chỉ "
Nhấn " Lưu thay đổi "</t>
  </si>
  <si>
    <t>AM132</t>
  </si>
  <si>
    <t>Kiểm tra khi tắt button và không được hiển thị ở màn hình " Số địa chỉ "</t>
  </si>
  <si>
    <t>Đăng nhập vào tài  khoản
Chọn mục cá nhân
Chọn mục số địa chỉ
Nhấn thêm mới địa chỉ --&gt; Hiển thị màn hình thêm địa chỉ
Nhấn tắt button để làm địa chỉ mặc định và không được hiển thị ở mà hình " Số địa chỉ "
Nhấn " Lưu thay đổi "</t>
  </si>
  <si>
    <t>AM133</t>
  </si>
  <si>
    <t>Đăng nhập vào tài  khoản
Chọn mục cá nhân
Chọn mục số địa chỉ
Nhấn thêm mới địa chỉ --&gt; Hiển thị màn hình thêm địa chỉ
Nhấn bật/tắt button nhưng không nhấn  " Lưu thay đổi "</t>
  </si>
  <si>
    <t>AM134</t>
  </si>
  <si>
    <t>Màn hình " Thêm địa chỉ " - Thêm mới</t>
  </si>
  <si>
    <t>Kiểm tra hiển thị button Thêm mới</t>
  </si>
  <si>
    <t>Đăng nhập vào tài  khoản
Chọn mục cá nhân
Chọn mục số địa chỉ
Nhấn thêm mới địa chỉ --&gt; Hiển thị màn hình thêm địa chỉ
Kiểm tra màu sắc, kích thước, cỡ chữ</t>
  </si>
  <si>
    <t>Không in đậm dòng text " Thêm mới  "
 Hiển thị sai tên button</t>
  </si>
  <si>
    <t>AM135</t>
  </si>
  <si>
    <t>Kiểm tra hiển thị thông báo khi nhấn " Thêm mới "</t>
  </si>
  <si>
    <t xml:space="preserve">Đăng nhập vào tài  khoản
Chọn mục cá nhân
Chọn mục số địa chỉ
Nhấn thêm mới địa chỉ --&gt; Hiển thị màn hình thêm địa chỉ
Nhập đầy đủ thông tin và nhấn " Thêm mới "
</t>
  </si>
  <si>
    <t xml:space="preserve">Hiển thị thông báo " Thêm mới thành công " và icon </t>
  </si>
  <si>
    <t xml:space="preserve">Không hiển thị thông báo " Thêm mới thành công " và icon </t>
  </si>
  <si>
    <t>AM136</t>
  </si>
  <si>
    <t>Kiểm tra khi nhập đầy đủ dữ liệu nhưng không nhập trường Thành phố/ Quận/Huyện</t>
  </si>
  <si>
    <t xml:space="preserve">Đăng nhập vào tài  khoản
Chọn mục cá nhân
Chọn mục số địa chỉ
Nhấn thêm mới địa chỉ --&gt; Hiển thị màn hình thêm địa chỉ
Nhập đầy đủ thông tin nhưng không nhập trường Thành phố/ Quận/Huyện và nhấn " Thêm mới "
</t>
  </si>
  <si>
    <t>Không cho thêm mới khi chưa nhập trường Thành phố/Quận/Huyện</t>
  </si>
  <si>
    <t>Vẫn thêm mới được  khi chưa nhập trường Thành phố/Quận/Huyện</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</si>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</sst>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font>
    <font>
      <color theme="1"/>
      <name val="Arial"/>
    </font>
    <font>
      <b/>
      <color theme="1"/>
      <name val="Arial"/>
      <scheme val="minor"/>
    </font>
    <font>
      <color theme="1"/>
      <name val="Arial"/>
      <scheme val="minor"/>
    </font>
    <font>
      <b/>
      <sz val="14.0"/>
      <color rgb="FF2D313B"/>
      <name val="Roboto"/>
    </font>
    <font/>
    <font>
      <b/>
      <sz val="14.0"/>
      <color theme="1"/>
      <name val="Arial"/>
    </font>
    <font>
      <color rgb="FF000000"/>
      <name val="Arial"/>
    </font>
    <font>
      <color rgb="FF000000"/>
      <name val="Arial"/>
      <scheme val="minor"/>
    </font>
    <font>
      <sz val="10.0"/>
      <color rgb="FF000000"/>
      <name val="Roboto"/>
    </font>
    <font>
      <color rgb="FFCC0000"/>
      <name val="Arial"/>
      <scheme val="minor"/>
    </font>
    <font>
      <color rgb="FFFF0000"/>
      <name val="Arial"/>
      <scheme val="minor"/>
    </font>
    <font>
      <sz val="23.0"/>
      <color rgb="FFFF00FF"/>
      <name val="Arial"/>
    </font>
  </fonts>
  <fills count="14">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B7B7B7"/>
        <bgColor rgb="FFB7B7B7"/>
      </patternFill>
    </fill>
    <fill>
      <patternFill patternType="solid">
        <fgColor rgb="FFE06666"/>
        <bgColor rgb="FFE06666"/>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FFF2CC"/>
        <bgColor rgb="FFFFF2CC"/>
      </patternFill>
    </fill>
    <fill>
      <patternFill patternType="solid">
        <fgColor rgb="FFDD7E6B"/>
        <bgColor rgb="FFDD7E6B"/>
      </patternFill>
    </fill>
    <fill>
      <patternFill patternType="solid">
        <fgColor rgb="FFE6B8AF"/>
        <bgColor rgb="FFE6B8AF"/>
      </patternFill>
    </fill>
    <fill>
      <patternFill patternType="solid">
        <fgColor rgb="FFEAD1DC"/>
        <bgColor rgb="FFEAD1DC"/>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shrinkToFit="0" wrapText="1"/>
    </xf>
    <xf borderId="0" fillId="2" fontId="2" numFmtId="0" xfId="0" applyFont="1"/>
    <xf borderId="0" fillId="2" fontId="3" numFmtId="0" xfId="0" applyAlignment="1" applyFont="1">
      <alignment horizontal="center" readingOrder="0" shrinkToFit="0" vertical="center" wrapText="1"/>
    </xf>
    <xf borderId="0" fillId="2" fontId="4" numFmtId="0" xfId="0" applyFont="1"/>
    <xf borderId="1" fillId="3" fontId="1" numFmtId="0" xfId="0" applyAlignment="1" applyBorder="1" applyFill="1" applyFont="1">
      <alignment horizontal="center" shrinkToFit="0" wrapText="1"/>
    </xf>
    <xf borderId="2" fillId="3" fontId="1" numFmtId="0" xfId="0" applyAlignment="1" applyBorder="1" applyFont="1">
      <alignment horizontal="center" shrinkToFit="0" wrapText="1"/>
    </xf>
    <xf borderId="3" fillId="0" fontId="2" numFmtId="0" xfId="0" applyBorder="1" applyFont="1"/>
    <xf borderId="1" fillId="4" fontId="3" numFmtId="0" xfId="0" applyAlignment="1" applyBorder="1" applyFill="1" applyFont="1">
      <alignment horizontal="center" readingOrder="0" shrinkToFit="0" vertical="center" wrapText="1"/>
    </xf>
    <xf borderId="4" fillId="0" fontId="2" numFmtId="0" xfId="0" applyAlignment="1" applyBorder="1" applyFont="1">
      <alignment shrinkToFit="0" wrapText="1"/>
    </xf>
    <xf borderId="5" fillId="0" fontId="2" numFmtId="0" xfId="0" applyAlignment="1" applyBorder="1" applyFont="1">
      <alignment shrinkToFit="0" wrapText="1"/>
    </xf>
    <xf borderId="1" fillId="2" fontId="4" numFmtId="0" xfId="0" applyAlignment="1" applyBorder="1" applyFont="1">
      <alignment readingOrder="0" shrinkToFit="0" vertical="center" wrapText="1"/>
    </xf>
    <xf borderId="1" fillId="0" fontId="4" numFmtId="0" xfId="0" applyAlignment="1" applyBorder="1" applyFont="1">
      <alignment shrinkToFit="0" vertical="center" wrapText="1"/>
    </xf>
    <xf borderId="1" fillId="2" fontId="4" numFmtId="49" xfId="0" applyAlignment="1" applyBorder="1" applyFont="1" applyNumberFormat="1">
      <alignment readingOrder="0" shrinkToFit="0" vertical="center" wrapText="1"/>
    </xf>
    <xf borderId="6" fillId="5" fontId="5" numFmtId="0" xfId="0" applyAlignment="1" applyBorder="1" applyFill="1" applyFont="1">
      <alignment horizontal="center"/>
    </xf>
    <xf borderId="5" fillId="0" fontId="6" numFmtId="0" xfId="0" applyBorder="1" applyFont="1"/>
    <xf borderId="7" fillId="3" fontId="2" numFmtId="10" xfId="0" applyAlignment="1" applyBorder="1" applyFont="1" applyNumberFormat="1">
      <alignment horizontal="center" shrinkToFit="0" wrapText="1"/>
    </xf>
    <xf borderId="3" fillId="0" fontId="2" numFmtId="0" xfId="0" applyBorder="1" applyFont="1"/>
    <xf borderId="1" fillId="0" fontId="4" numFmtId="0" xfId="0" applyAlignment="1" applyBorder="1" applyFont="1">
      <alignment shrinkToFit="0" vertical="center" wrapText="1"/>
    </xf>
    <xf borderId="7" fillId="6" fontId="2" numFmtId="10" xfId="0" applyAlignment="1" applyBorder="1" applyFill="1" applyFont="1" applyNumberFormat="1">
      <alignment horizontal="center"/>
    </xf>
    <xf borderId="1"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wrapText="1"/>
    </xf>
    <xf borderId="8" fillId="0" fontId="7" numFmtId="0" xfId="0" applyAlignment="1" applyBorder="1" applyFont="1">
      <alignment readingOrder="0" shrinkToFit="0" vertical="top" wrapText="1"/>
    </xf>
    <xf borderId="3" fillId="0" fontId="6" numFmtId="0" xfId="0" applyBorder="1" applyFont="1"/>
    <xf borderId="8" fillId="0" fontId="6" numFmtId="0" xfId="0" applyBorder="1" applyFont="1"/>
    <xf borderId="0" fillId="0" fontId="1" numFmtId="0" xfId="0" applyAlignment="1" applyFont="1">
      <alignment readingOrder="0"/>
    </xf>
    <xf borderId="0" fillId="0" fontId="2" numFmtId="0" xfId="0" applyAlignment="1" applyFont="1">
      <alignment readingOrder="0"/>
    </xf>
    <xf borderId="0" fillId="0" fontId="7" numFmtId="0" xfId="0" applyAlignment="1" applyFont="1">
      <alignment readingOrder="0" shrinkToFit="0" vertical="top" wrapText="1"/>
    </xf>
    <xf borderId="9" fillId="0" fontId="7" numFmtId="0" xfId="0" applyAlignment="1" applyBorder="1" applyFont="1">
      <alignment readingOrder="0" shrinkToFit="0" vertical="top" wrapText="1"/>
    </xf>
    <xf borderId="1" fillId="7" fontId="4" numFmtId="0" xfId="0" applyAlignment="1" applyBorder="1" applyFill="1" applyFont="1">
      <alignment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vertical="center"/>
    </xf>
    <xf borderId="1" fillId="7" fontId="8" numFmtId="49" xfId="0" applyAlignment="1" applyBorder="1" applyFont="1" applyNumberFormat="1">
      <alignment horizontal="left" readingOrder="0"/>
    </xf>
    <xf borderId="1" fillId="0" fontId="4" numFmtId="49" xfId="0" applyAlignment="1" applyBorder="1" applyFont="1" applyNumberFormat="1">
      <alignment readingOrder="0" shrinkToFit="0" vertical="center" wrapText="1"/>
    </xf>
    <xf borderId="0" fillId="0" fontId="2" numFmtId="0" xfId="0" applyAlignment="1" applyFont="1">
      <alignment readingOrder="0" shrinkToFit="0" wrapText="1"/>
    </xf>
    <xf borderId="0" fillId="0" fontId="2" numFmtId="0" xfId="0" applyFont="1"/>
    <xf borderId="0" fillId="0" fontId="2" numFmtId="0" xfId="0" applyAlignment="1" applyFont="1">
      <alignment vertical="bottom"/>
    </xf>
    <xf borderId="1" fillId="0" fontId="4" numFmtId="0" xfId="0" applyBorder="1" applyFont="1"/>
    <xf borderId="0" fillId="7" fontId="8"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0" fontId="2" numFmtId="0" xfId="0" applyAlignment="1" applyFont="1">
      <alignment readingOrder="0" vertical="bottom"/>
    </xf>
    <xf borderId="1" fillId="7" fontId="2" numFmtId="0" xfId="0" applyAlignment="1" applyBorder="1" applyFont="1">
      <alignment readingOrder="0" shrinkToFit="0" vertical="center" wrapText="1"/>
    </xf>
    <xf borderId="1" fillId="7" fontId="2" numFmtId="0" xfId="0" applyAlignment="1" applyBorder="1" applyFont="1">
      <alignment readingOrder="0" shrinkToFit="0" wrapText="1"/>
    </xf>
    <xf borderId="3" fillId="0" fontId="2" numFmtId="0" xfId="0" applyAlignment="1" applyBorder="1" applyFont="1">
      <alignment vertical="bottom"/>
    </xf>
    <xf borderId="1" fillId="0" fontId="4" numFmtId="0" xfId="0" applyAlignment="1" applyBorder="1" applyFont="1">
      <alignment readingOrder="0"/>
    </xf>
    <xf borderId="1" fillId="0" fontId="9" numFmtId="0" xfId="0" applyAlignment="1" applyBorder="1" applyFont="1">
      <alignment readingOrder="0" shrinkToFit="0" vertical="center" wrapText="1"/>
    </xf>
    <xf borderId="1" fillId="0" fontId="4" numFmtId="0" xfId="0" applyAlignment="1" applyBorder="1" applyFont="1">
      <alignment readingOrder="0" vertical="center"/>
    </xf>
    <xf borderId="0" fillId="0" fontId="4" numFmtId="0" xfId="0" applyAlignment="1" applyFont="1">
      <alignment shrinkToFit="0" vertical="center" wrapText="1"/>
    </xf>
    <xf borderId="8" fillId="5" fontId="5" numFmtId="0" xfId="0" applyAlignment="1" applyBorder="1" applyFont="1">
      <alignment horizontal="center"/>
    </xf>
    <xf borderId="0" fillId="6" fontId="2" numFmtId="10" xfId="0" applyAlignment="1" applyFont="1" applyNumberFormat="1">
      <alignment horizontal="center"/>
    </xf>
    <xf borderId="1" fillId="2" fontId="9" numFmtId="0" xfId="0" applyAlignment="1" applyBorder="1" applyFont="1">
      <alignment readingOrder="0" shrinkToFit="0" vertical="center" wrapText="1"/>
    </xf>
    <xf borderId="0" fillId="0" fontId="4" numFmtId="0" xfId="0" applyAlignment="1" applyFont="1">
      <alignment readingOrder="0" shrinkToFit="0" wrapText="1"/>
    </xf>
    <xf borderId="0" fillId="2" fontId="4" numFmtId="0" xfId="0" applyAlignment="1" applyFont="1">
      <alignment readingOrder="0" shrinkToFit="0" vertical="center" wrapText="1"/>
    </xf>
    <xf borderId="0" fillId="0" fontId="4" numFmtId="0" xfId="0" applyAlignment="1" applyFont="1">
      <alignment readingOrder="0" shrinkToFit="0" vertical="center" wrapText="1"/>
    </xf>
    <xf borderId="10" fillId="2" fontId="4" numFmtId="0" xfId="0" applyAlignment="1" applyBorder="1" applyFont="1">
      <alignment readingOrder="0" shrinkToFit="0" vertical="center" wrapText="1"/>
    </xf>
    <xf borderId="11" fillId="0" fontId="6" numFmtId="0" xfId="0" applyBorder="1" applyFont="1"/>
    <xf borderId="4" fillId="0" fontId="6" numFmtId="0" xfId="0" applyBorder="1" applyFont="1"/>
    <xf borderId="4" fillId="5" fontId="5" numFmtId="0" xfId="0" applyAlignment="1" applyBorder="1" applyFont="1">
      <alignment horizontal="center"/>
    </xf>
    <xf borderId="5" fillId="5" fontId="5" numFmtId="0" xfId="0" applyAlignment="1" applyBorder="1" applyFont="1">
      <alignment horizontal="center"/>
    </xf>
    <xf borderId="5" fillId="3" fontId="2" numFmtId="10" xfId="0" applyAlignment="1" applyBorder="1" applyFont="1" applyNumberFormat="1">
      <alignment horizontal="center" shrinkToFit="0" wrapText="1"/>
    </xf>
    <xf borderId="1" fillId="7" fontId="8" numFmtId="49" xfId="0" applyAlignment="1" applyBorder="1" applyFont="1" applyNumberFormat="1">
      <alignment horizontal="left" readingOrder="0" shrinkToFit="0" vertical="center" wrapText="1"/>
    </xf>
    <xf borderId="7" fillId="7" fontId="8" numFmtId="0" xfId="0" applyAlignment="1" applyBorder="1" applyFont="1">
      <alignment horizontal="left" readingOrder="0" shrinkToFit="0" vertical="center" wrapText="1"/>
    </xf>
    <xf borderId="1" fillId="7" fontId="2" numFmtId="0" xfId="0" applyAlignment="1" applyBorder="1" applyFont="1">
      <alignment shrinkToFit="0" wrapText="1"/>
    </xf>
    <xf borderId="1" fillId="7" fontId="8" numFmtId="0" xfId="0" applyAlignment="1" applyBorder="1" applyFont="1">
      <alignment readingOrder="0" shrinkToFit="0" vertical="center" wrapText="1"/>
    </xf>
    <xf borderId="1" fillId="7" fontId="4" numFmtId="0" xfId="0" applyAlignment="1" applyBorder="1" applyFont="1">
      <alignment shrinkToFit="0" vertical="center" wrapText="1"/>
    </xf>
    <xf borderId="1" fillId="7" fontId="4" numFmtId="49" xfId="0" applyAlignment="1" applyBorder="1" applyFont="1" applyNumberFormat="1">
      <alignment readingOrder="0" shrinkToFit="0" vertical="center" wrapText="1"/>
    </xf>
    <xf borderId="0" fillId="7" fontId="10" numFmtId="0" xfId="0" applyAlignment="1" applyFont="1">
      <alignment readingOrder="0" shrinkToFit="0" vertical="center" wrapText="1"/>
    </xf>
    <xf borderId="1" fillId="2" fontId="11" numFmtId="0" xfId="0" applyAlignment="1" applyBorder="1" applyFont="1">
      <alignment readingOrder="0" shrinkToFit="0" vertical="center" wrapText="1"/>
    </xf>
    <xf borderId="1" fillId="0" fontId="9" numFmtId="0" xfId="0" applyAlignment="1" applyBorder="1" applyFont="1">
      <alignment shrinkToFit="0" vertical="center" wrapText="1"/>
    </xf>
    <xf borderId="6" fillId="0" fontId="6" numFmtId="0" xfId="0" applyBorder="1" applyFont="1"/>
    <xf borderId="7" fillId="0" fontId="6" numFmtId="0" xfId="0" applyBorder="1" applyFont="1"/>
    <xf borderId="1" fillId="2" fontId="12" numFmtId="0" xfId="0" applyAlignment="1" applyBorder="1" applyFont="1">
      <alignment readingOrder="0" shrinkToFit="0" vertical="center" wrapText="1"/>
    </xf>
    <xf borderId="1" fillId="0" fontId="4" numFmtId="0" xfId="0" applyAlignment="1" applyBorder="1" applyFont="1">
      <alignment readingOrder="0" shrinkToFit="0" wrapText="1"/>
    </xf>
    <xf borderId="9" fillId="0" fontId="1" numFmtId="0" xfId="0" applyAlignment="1" applyBorder="1" applyFont="1">
      <alignment readingOrder="0"/>
    </xf>
    <xf borderId="9" fillId="0" fontId="2" numFmtId="0" xfId="0" applyAlignment="1" applyBorder="1" applyFont="1">
      <alignment readingOrder="0"/>
    </xf>
    <xf borderId="0" fillId="0" fontId="13" numFmtId="0" xfId="0" applyAlignment="1" applyFont="1">
      <alignment readingOrder="0" shrinkToFit="0" wrapText="1"/>
    </xf>
    <xf borderId="0" fillId="0" fontId="4" numFmtId="0" xfId="0" applyAlignment="1" applyFont="1">
      <alignment shrinkToFit="0" vertical="center" wrapText="1"/>
    </xf>
    <xf borderId="0" fillId="2" fontId="4" numFmtId="49" xfId="0" applyAlignment="1" applyFont="1" applyNumberFormat="1">
      <alignment readingOrder="0" shrinkToFit="0" vertical="center" wrapText="1"/>
    </xf>
    <xf borderId="11" fillId="0" fontId="7" numFmtId="0" xfId="0" applyAlignment="1" applyBorder="1" applyFont="1">
      <alignment readingOrder="0" shrinkToFit="0" vertical="top" wrapText="1"/>
    </xf>
    <xf borderId="3" fillId="0" fontId="7" numFmtId="0" xfId="0" applyAlignment="1" applyBorder="1" applyFont="1">
      <alignment readingOrder="0" shrinkToFit="0" vertical="top" wrapText="1"/>
    </xf>
    <xf borderId="1" fillId="7" fontId="4" numFmtId="0" xfId="0" applyAlignment="1" applyBorder="1" applyFont="1">
      <alignment shrinkToFit="0" vertical="center" wrapText="1"/>
    </xf>
    <xf borderId="11" fillId="2" fontId="4" numFmtId="0" xfId="0" applyAlignment="1" applyBorder="1" applyFont="1">
      <alignment readingOrder="0" shrinkToFit="0" vertical="center" wrapText="1"/>
    </xf>
    <xf borderId="0" fillId="0" fontId="4" numFmtId="0" xfId="0" applyAlignment="1" applyFont="1">
      <alignment readingOrder="0"/>
    </xf>
    <xf borderId="10" fillId="0" fontId="4" numFmtId="0" xfId="0" applyAlignment="1" applyBorder="1" applyFont="1">
      <alignment shrinkToFit="0" vertical="center" wrapText="1"/>
    </xf>
    <xf borderId="10" fillId="2" fontId="4" numFmtId="49" xfId="0" applyAlignment="1" applyBorder="1" applyFont="1" applyNumberFormat="1">
      <alignment readingOrder="0" shrinkToFit="0" vertical="center" wrapText="1"/>
    </xf>
    <xf borderId="10" fillId="0" fontId="4" numFmtId="0" xfId="0" applyBorder="1" applyFont="1"/>
    <xf borderId="1" fillId="2" fontId="3" numFmtId="0" xfId="0" applyAlignment="1" applyBorder="1" applyFont="1">
      <alignment readingOrder="0" shrinkToFit="0" vertical="center" wrapText="1"/>
    </xf>
    <xf borderId="1" fillId="0" fontId="2" numFmtId="0" xfId="0" applyAlignment="1" applyBorder="1" applyFont="1">
      <alignment readingOrder="0" vertical="bottom"/>
    </xf>
    <xf borderId="1" fillId="0" fontId="2" numFmtId="0" xfId="0" applyAlignment="1" applyBorder="1" applyFont="1">
      <alignment shrinkToFit="0" wrapText="1"/>
    </xf>
    <xf borderId="1" fillId="0" fontId="2" numFmtId="49" xfId="0" applyAlignment="1" applyBorder="1" applyFont="1" applyNumberFormat="1">
      <alignment vertical="bottom"/>
    </xf>
    <xf borderId="1" fillId="0" fontId="2" numFmtId="0" xfId="0" applyAlignment="1" applyBorder="1" applyFont="1">
      <alignment vertical="bottom"/>
    </xf>
    <xf borderId="1" fillId="7" fontId="4" numFmtId="0" xfId="0" applyAlignment="1" applyBorder="1" applyFont="1">
      <alignment readingOrder="0" shrinkToFit="0" wrapText="1"/>
    </xf>
    <xf borderId="1" fillId="8" fontId="4" numFmtId="0" xfId="0" applyAlignment="1" applyBorder="1" applyFill="1" applyFont="1">
      <alignment readingOrder="0" shrinkToFit="0" wrapText="1"/>
    </xf>
    <xf borderId="0" fillId="9" fontId="4" numFmtId="0" xfId="0" applyAlignment="1" applyFill="1" applyFont="1">
      <alignment readingOrder="0"/>
    </xf>
    <xf borderId="1" fillId="10" fontId="4" numFmtId="0" xfId="0" applyAlignment="1" applyBorder="1" applyFill="1" applyFont="1">
      <alignment readingOrder="0"/>
    </xf>
    <xf borderId="0" fillId="11" fontId="4" numFmtId="0" xfId="0" applyAlignment="1" applyFill="1" applyFont="1">
      <alignment readingOrder="0"/>
    </xf>
    <xf borderId="0" fillId="12" fontId="4" numFmtId="0" xfId="0" applyAlignment="1" applyFill="1" applyFont="1">
      <alignment readingOrder="0"/>
    </xf>
    <xf borderId="0" fillId="13" fontId="4" numFmtId="0" xfId="0" applyAlignment="1" applyFill="1" applyFont="1">
      <alignment readingOrder="0"/>
    </xf>
    <xf borderId="1" fillId="9" fontId="4" numFmtId="0" xfId="0" applyAlignment="1" applyBorder="1" applyFont="1">
      <alignment readingOrder="0" shrinkToFit="0" vertical="center" wrapText="1"/>
    </xf>
    <xf borderId="3" fillId="7" fontId="8" numFmtId="0" xfId="0" applyAlignment="1" applyBorder="1" applyFont="1">
      <alignment horizontal="left" readingOrder="0" shrinkToFit="0" vertical="center" wrapText="1"/>
    </xf>
    <xf borderId="10" fillId="7" fontId="2" numFmtId="0" xfId="0" applyAlignment="1" applyBorder="1" applyFont="1">
      <alignment shrinkToFit="0" vertical="center" wrapText="1"/>
    </xf>
    <xf borderId="1" fillId="7" fontId="2" numFmtId="0" xfId="0" applyAlignment="1" applyBorder="1" applyFont="1">
      <alignment shrinkToFit="0" vertical="center" wrapText="1"/>
    </xf>
    <xf borderId="10" fillId="0" fontId="4" numFmtId="0" xfId="0" applyAlignment="1" applyBorder="1" applyFont="1">
      <alignment readingOrder="0" vertical="center"/>
    </xf>
    <xf borderId="10" fillId="7" fontId="4" numFmtId="0" xfId="0" applyAlignment="1" applyBorder="1" applyFont="1">
      <alignment readingOrder="0" shrinkToFit="0" vertical="center" wrapText="1"/>
    </xf>
    <xf borderId="10" fillId="0" fontId="4" numFmtId="0" xfId="0" applyAlignment="1" applyBorder="1" applyFont="1">
      <alignment readingOrder="0" shrinkToFit="0" vertical="center" wrapText="1"/>
    </xf>
    <xf borderId="1" fillId="0" fontId="4" numFmtId="0" xfId="0" applyAlignment="1" applyBorder="1" applyFont="1">
      <alignment shrinkToFit="0" wrapText="1"/>
    </xf>
    <xf borderId="0" fillId="7" fontId="4" numFmtId="0" xfId="0" applyAlignment="1" applyFont="1">
      <alignment readingOrder="0"/>
    </xf>
    <xf borderId="1" fillId="7" fontId="2" numFmtId="49" xfId="0" applyBorder="1" applyFont="1" applyNumberFormat="1"/>
    <xf borderId="5" fillId="6" fontId="2" numFmtId="10" xfId="0" applyAlignment="1" applyBorder="1" applyFont="1" applyNumberFormat="1">
      <alignment horizontal="center"/>
    </xf>
    <xf borderId="4" fillId="0" fontId="7" numFmtId="0" xfId="0" applyAlignment="1" applyBorder="1" applyFont="1">
      <alignment readingOrder="0" shrinkToFit="0" vertical="top" wrapText="1"/>
    </xf>
    <xf borderId="5" fillId="0" fontId="7" numFmtId="0" xfId="0" applyAlignment="1" applyBorder="1" applyFont="1">
      <alignment readingOrder="0" shrinkToFit="0" vertical="top" wrapText="1"/>
    </xf>
    <xf borderId="10" fillId="7" fontId="2" numFmtId="0" xfId="0" applyAlignment="1" applyBorder="1" applyFont="1">
      <alignment readingOrder="0" shrinkToFit="0" vertical="center" wrapText="1"/>
    </xf>
    <xf borderId="1" fillId="7" fontId="2" numFmtId="0" xfId="0" applyAlignment="1" applyBorder="1" applyFont="1">
      <alignment shrinkToFit="0" vertical="bottom" wrapText="1"/>
    </xf>
    <xf borderId="1" fillId="7" fontId="2" numFmtId="0" xfId="0" applyAlignment="1" applyBorder="1" applyFont="1">
      <alignment readingOrder="0" shrinkToFit="0" vertical="bottom" wrapText="1"/>
    </xf>
    <xf borderId="1" fillId="0" fontId="2" numFmtId="0" xfId="0" applyAlignment="1" applyBorder="1" applyFont="1">
      <alignment shrinkToFit="0" vertical="bottom" wrapText="1"/>
    </xf>
    <xf borderId="1" fillId="7" fontId="2" numFmtId="49" xfId="0" applyAlignment="1" applyBorder="1" applyFont="1" applyNumberFormat="1">
      <alignment shrinkToFit="0" vertical="bottom" wrapText="1"/>
    </xf>
    <xf borderId="0" fillId="0" fontId="2" numFmtId="0" xfId="0" applyAlignment="1" applyFont="1">
      <alignment shrinkToFit="0" vertical="bottom" wrapText="1"/>
    </xf>
    <xf borderId="1" fillId="7" fontId="2" numFmtId="49"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5.88"/>
    <col customWidth="1" min="7" max="7" width="18.5"/>
    <col customWidth="1" min="8" max="8" width="28.38"/>
    <col customWidth="1" min="9" max="9" width="26.88"/>
    <col customWidth="1" min="10" max="10" width="14.63"/>
    <col customWidth="1" min="11" max="11" width="14.0"/>
    <col customWidth="1" min="12" max="12" width="23.75"/>
    <col customWidth="1" min="13" max="13" width="25.25"/>
    <col customWidth="1" min="14" max="14" width="24.25"/>
    <col customWidth="1" min="16" max="16" width="16.13"/>
    <col customWidth="1" min="32" max="37" width="88.25"/>
  </cols>
  <sheetData>
    <row r="1">
      <c r="A1" s="1"/>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83</v>
      </c>
      <c r="B3" s="11">
        <f>COUNTIF(O:O,"Pass")</f>
        <v>21</v>
      </c>
      <c r="C3" s="11">
        <f>COUNTIF(O:O,"Fail")</f>
        <v>16</v>
      </c>
      <c r="D3" s="11">
        <f>COUNTIF(O:O,"Untest")</f>
        <v>45</v>
      </c>
      <c r="E3" s="8"/>
      <c r="F3" s="12" t="s">
        <v>14</v>
      </c>
      <c r="G3" s="12" t="s">
        <v>15</v>
      </c>
      <c r="H3" s="12" t="s">
        <v>16</v>
      </c>
      <c r="I3" s="12" t="s">
        <v>17</v>
      </c>
      <c r="J3" s="12" t="s">
        <v>18</v>
      </c>
      <c r="K3" s="13" t="str">
        <f>IFERROR(__xludf.DUMMYFUNCTION("IF(ISBLANK(J3), ""Input test step"", ARRAYFORMULA(TEXTJOIN(CHAR(10), TRUE, (""Step ""&amp; ROW(INDIRECT(""1:"" &amp; COUNTA(SPLIT(J3, CHAR(10))))) &amp; "": "" &amp; TRANSPOSE(SPLIT(J3, CHAR(10)))))))"),"Step 1: Navigate to Home Page
Step 2: Check that the Vtech logo is displayed at the correct size, position, and is not blurred or missing")</f>
        <v>Step 1: Navigate to Home Page
Step 2: Check that the Vtech logo is displayed at the correct size, position, and is not blurred or missing</v>
      </c>
      <c r="L3" s="14"/>
      <c r="M3" s="12" t="s">
        <v>19</v>
      </c>
      <c r="N3" s="12" t="s">
        <v>19</v>
      </c>
      <c r="O3" s="12" t="s">
        <v>1</v>
      </c>
      <c r="P3" s="12"/>
    </row>
    <row r="4">
      <c r="A4" s="15" t="s">
        <v>20</v>
      </c>
      <c r="B4" s="16"/>
      <c r="C4" s="17">
        <f>IFERROR(((B3+C3)/A3),0)</f>
        <v>0.4457831325</v>
      </c>
      <c r="D4" s="16"/>
      <c r="E4" s="18"/>
      <c r="F4" s="12" t="s">
        <v>21</v>
      </c>
      <c r="G4" s="12"/>
      <c r="H4" s="12" t="s">
        <v>22</v>
      </c>
      <c r="I4" s="12" t="s">
        <v>17</v>
      </c>
      <c r="J4" s="12" t="s">
        <v>23</v>
      </c>
      <c r="K4" s="13" t="str">
        <f>IFERROR(__xludf.DUMMYFUNCTION("IF(ISBLANK(J4), ""Input test step"", ARRAYFORMULA(TEXTJOIN(CHAR(10), TRUE, (""Step ""&amp; ROW(INDIRECT(""1:"" &amp; COUNTA(SPLIT(J4, CHAR(10))))) &amp; "": "" &amp; TRANSPOSE(SPLIT(J4, CHAR(10)))))))"),"Step 1: Navigate to Home Page
Step 2: Check the size,border color , background and placement of search box display correctly ")</f>
        <v>Step 1: Navigate to Home Page
Step 2: Check the size,border color , background and placement of search box display correctly </v>
      </c>
      <c r="L4" s="14"/>
      <c r="M4" s="12" t="s">
        <v>24</v>
      </c>
      <c r="N4" s="12" t="s">
        <v>25</v>
      </c>
      <c r="O4" s="12" t="s">
        <v>2</v>
      </c>
      <c r="P4" s="19"/>
    </row>
    <row r="5">
      <c r="A5" s="15" t="s">
        <v>26</v>
      </c>
      <c r="B5" s="16"/>
      <c r="C5" s="20">
        <f>IFERROR(B3/(B3+C3),0)</f>
        <v>0.5675675676</v>
      </c>
      <c r="D5" s="16"/>
      <c r="E5" s="18"/>
      <c r="F5" s="12" t="s">
        <v>27</v>
      </c>
      <c r="G5" s="12"/>
      <c r="H5" s="12" t="s">
        <v>28</v>
      </c>
      <c r="I5" s="12" t="s">
        <v>17</v>
      </c>
      <c r="J5" s="12" t="s">
        <v>29</v>
      </c>
      <c r="K5" s="13" t="str">
        <f>IFERROR(__xludf.DUMMYFUNCTION("IF(ISBLANK(J5), ""Input test step"", ARRAYFORMULA(TEXTJOIN(CHAR(10), TRUE, (""Step ""&amp; ROW(INDIRECT(""1:"" &amp; COUNTA(SPLIT(J5, CHAR(10))))) &amp; "": "" &amp; TRANSPOSE(SPLIT(J5, CHAR(10)))))))"),"Step 1: Navigate to home page
Step 2: Check the plahoder text size, position, and color in the search box display correctly ")</f>
        <v>Step 1: Navigate to home page
Step 2: Check the plahoder text size, position, and color in the search box display correctly </v>
      </c>
      <c r="L5" s="14"/>
      <c r="M5" s="21" t="s">
        <v>30</v>
      </c>
      <c r="N5" s="22" t="s">
        <v>31</v>
      </c>
      <c r="O5" s="12" t="s">
        <v>2</v>
      </c>
      <c r="P5" s="19"/>
    </row>
    <row r="6">
      <c r="A6" s="23" t="s">
        <v>32</v>
      </c>
      <c r="D6" s="24"/>
      <c r="E6" s="18"/>
      <c r="F6" s="12" t="s">
        <v>33</v>
      </c>
      <c r="G6" s="12"/>
      <c r="H6" s="12" t="s">
        <v>34</v>
      </c>
      <c r="I6" s="12" t="s">
        <v>17</v>
      </c>
      <c r="J6" s="12" t="s">
        <v>35</v>
      </c>
      <c r="K6" s="13" t="str">
        <f>IFERROR(__xludf.DUMMYFUNCTION("IF(ISBLANK(J6), ""Input test step"", ARRAYFORMULA(TEXTJOIN(CHAR(10), TRUE, (""Step ""&amp; ROW(INDIRECT(""1:"" &amp; COUNTA(SPLIT(J6, CHAR(10))))) &amp; "": "" &amp; TRANSPOSE(SPLIT(J6, CHAR(10)))))))"),"Step 1: Navigate to Homepage
Step 2: Test Banner for good horizontal auto-scrolling")</f>
        <v>Step 1: Navigate to Homepage
Step 2: Test Banner for good horizontal auto-scrolling</v>
      </c>
      <c r="L6" s="14"/>
      <c r="M6" s="12" t="s">
        <v>36</v>
      </c>
      <c r="N6" s="12" t="s">
        <v>36</v>
      </c>
      <c r="O6" s="12" t="s">
        <v>1</v>
      </c>
      <c r="P6" s="19"/>
    </row>
    <row r="7">
      <c r="A7" s="25"/>
      <c r="D7" s="24"/>
      <c r="E7" s="18"/>
      <c r="F7" s="12" t="s">
        <v>37</v>
      </c>
      <c r="G7" s="12"/>
      <c r="H7" s="12" t="s">
        <v>38</v>
      </c>
      <c r="I7" s="12" t="s">
        <v>17</v>
      </c>
      <c r="J7" s="12" t="s">
        <v>39</v>
      </c>
      <c r="K7" s="13" t="str">
        <f>IFERROR(__xludf.DUMMYFUNCTION("IF(ISBLANK(J7), ""Input test step"", ARRAYFORMULA(TEXTJOIN(CHAR(10), TRUE, (""Step ""&amp; ROW(INDIRECT(""1:"" &amp; COUNTA(SPLIT(J7, CHAR(10))))) &amp; "": "" &amp; TRANSPOSE(SPLIT(J7, CHAR(10)))))))"),"Step 1: Navigate to the home page
Step 2: Check that the banner images are displayed at the correct size and position and that they are not blurred, obscured or missing")</f>
        <v>Step 1: Navigate to the home page
Step 2: Check that the banner images are displayed at the correct size and position and that they are not blurred, obscured or missing</v>
      </c>
      <c r="L7" s="14"/>
      <c r="M7" s="12" t="s">
        <v>40</v>
      </c>
      <c r="N7" s="12" t="s">
        <v>41</v>
      </c>
      <c r="O7" s="12" t="s">
        <v>2</v>
      </c>
      <c r="P7" s="19"/>
    </row>
    <row r="8">
      <c r="A8" s="26"/>
      <c r="B8" s="27"/>
      <c r="C8" s="28"/>
      <c r="D8" s="28"/>
      <c r="E8" s="18"/>
      <c r="F8" s="12" t="s">
        <v>42</v>
      </c>
      <c r="G8" s="12"/>
      <c r="H8" s="12" t="s">
        <v>43</v>
      </c>
      <c r="I8" s="12" t="s">
        <v>17</v>
      </c>
      <c r="J8" s="12" t="s">
        <v>44</v>
      </c>
      <c r="K8" s="13" t="str">
        <f>IFERROR(__xludf.DUMMYFUNCTION("IF(ISBLANK(J8), ""Input test step"", ARRAYFORMULA(TEXTJOIN(CHAR(10), TRUE, (""Step ""&amp; ROW(INDIRECT(""1:"" &amp; COUNTA(SPLIT(J8, CHAR(10))))) &amp; "": "" &amp; TRANSPOSE(SPLIT(J8, CHAR(10)))))))"),"Step 1: Navigate to the home page
Step 2: Check that the dotindicator of banner are displayed at the correct size and position and color")</f>
        <v>Step 1: Navigate to the home page
Step 2: Check that the dotindicator of banner are displayed at the correct size and position and color</v>
      </c>
      <c r="L8" s="14"/>
      <c r="M8" s="12" t="s">
        <v>45</v>
      </c>
      <c r="N8" s="12"/>
      <c r="O8" s="12" t="s">
        <v>2</v>
      </c>
      <c r="P8" s="19"/>
    </row>
    <row r="9">
      <c r="A9" s="26" t="s">
        <v>46</v>
      </c>
      <c r="B9" s="27" t="s">
        <v>47</v>
      </c>
      <c r="C9" s="29"/>
      <c r="D9" s="29"/>
      <c r="E9" s="18"/>
      <c r="F9" s="12" t="s">
        <v>48</v>
      </c>
      <c r="G9" s="12"/>
      <c r="H9" s="12" t="s">
        <v>49</v>
      </c>
      <c r="I9" s="12" t="s">
        <v>17</v>
      </c>
      <c r="J9" s="12" t="s">
        <v>50</v>
      </c>
      <c r="K9" s="13" t="str">
        <f>IFERROR(__xludf.DUMMYFUNCTION("IF(ISBLANK(J9), ""Input test step"", ARRAYFORMULA(TEXTJOIN(CHAR(10), TRUE, (""Step ""&amp; ROW(INDIRECT(""1:"" &amp; COUNTA(SPLIT(J9, CHAR(10))))) &amp; "": "" &amp; TRANSPOSE(SPLIT(J9, CHAR(10)))))))"),"Step 1: Navigate to Home Page
Step 2: Swipe banner left or right
Step 3: Check banner display smoothly when scrolling")</f>
        <v>Step 1: Navigate to Home Page
Step 2: Swipe banner left or right
Step 3: Check banner display smoothly when scrolling</v>
      </c>
      <c r="L9" s="14"/>
      <c r="M9" s="12" t="s">
        <v>51</v>
      </c>
      <c r="N9" s="12"/>
      <c r="O9" s="12" t="s">
        <v>1</v>
      </c>
      <c r="P9" s="19"/>
    </row>
    <row r="10">
      <c r="A10" s="28"/>
      <c r="B10" s="28"/>
      <c r="C10" s="28"/>
      <c r="D10" s="28"/>
      <c r="E10" s="18"/>
      <c r="F10" s="12" t="s">
        <v>52</v>
      </c>
      <c r="G10" s="12"/>
      <c r="H10" s="12" t="s">
        <v>53</v>
      </c>
      <c r="I10" s="12" t="s">
        <v>17</v>
      </c>
      <c r="J10" s="12" t="s">
        <v>54</v>
      </c>
      <c r="K10" s="13" t="str">
        <f>IFERROR(__xludf.DUMMYFUNCTION("IF(ISBLANK(J10), ""Input test step"", ARRAYFORMULA(TEXTJOIN(CHAR(10), TRUE, (""Step ""&amp; ROW(INDIRECT(""1:"" &amp; COUNTA(SPLIT(J10, CHAR(10))))) &amp; "": "" &amp; TRANSPOSE(SPLIT(J10, CHAR(10)))))))"),"Step 1: Navigate to Home Page
Step 2: Check the correct placement and size of the list containing popular brands")</f>
        <v>Step 1: Navigate to Home Page
Step 2: Check the correct placement and size of the list containing popular brands</v>
      </c>
      <c r="L10" s="14"/>
      <c r="M10" s="12" t="s">
        <v>55</v>
      </c>
      <c r="N10" s="12" t="s">
        <v>56</v>
      </c>
      <c r="O10" s="12" t="s">
        <v>2</v>
      </c>
      <c r="P10" s="19"/>
    </row>
    <row r="11">
      <c r="A11" s="28"/>
      <c r="B11" s="28"/>
      <c r="C11" s="28"/>
      <c r="D11" s="28"/>
      <c r="E11" s="18"/>
      <c r="F11" s="12" t="s">
        <v>57</v>
      </c>
      <c r="G11" s="12"/>
      <c r="H11" s="12" t="s">
        <v>58</v>
      </c>
      <c r="I11" s="12" t="s">
        <v>17</v>
      </c>
      <c r="J11" s="12" t="s">
        <v>59</v>
      </c>
      <c r="K11" s="13" t="str">
        <f>IFERROR(__xludf.DUMMYFUNCTION("IF(ISBLANK(J11), ""Input test step"", ARRAYFORMULA(TEXTJOIN(CHAR(10), TRUE, (""Step ""&amp; ROW(INDIRECT(""1:"" &amp; COUNTA(SPLIT(J11, CHAR(10))))) &amp; "": "" &amp; TRANSPOSE(SPLIT(J11, CHAR(10)))))))"),"Step 1: Navigate to Home Page
Step 2: Check the brand Items displayed with even spacing")</f>
        <v>Step 1: Navigate to Home Page
Step 2: Check the brand Items displayed with even spacing</v>
      </c>
      <c r="L11" s="14"/>
      <c r="M11" s="12" t="s">
        <v>60</v>
      </c>
      <c r="N11" s="12" t="s">
        <v>56</v>
      </c>
      <c r="O11" s="12" t="s">
        <v>2</v>
      </c>
      <c r="P11" s="19"/>
    </row>
    <row r="12">
      <c r="A12" s="28"/>
      <c r="B12" s="28"/>
      <c r="C12" s="28"/>
      <c r="D12" s="28"/>
      <c r="E12" s="18"/>
      <c r="F12" s="12" t="s">
        <v>61</v>
      </c>
      <c r="G12" s="12"/>
      <c r="H12" s="12" t="s">
        <v>62</v>
      </c>
      <c r="I12" s="12" t="s">
        <v>17</v>
      </c>
      <c r="J12" s="12" t="s">
        <v>63</v>
      </c>
      <c r="K12" s="13" t="str">
        <f>IFERROR(__xludf.DUMMYFUNCTION("IF(ISBLANK(J12), ""Input test step"", ARRAYFORMULA(TEXTJOIN(CHAR(10), TRUE, (""Step ""&amp; ROW(INDIRECT(""1:"" &amp; COUNTA(SPLIT(J12, CHAR(10))))) &amp; "": "" &amp; TRANSPOSE(SPLIT(J12, CHAR(10)))))))"),"Step 1: Navigate to the home page
Step 2: Check the position, size of the Flash Sell title container, sell time and view all link display correctly ")</f>
        <v>Step 1: Navigate to the home page
Step 2: Check the position, size of the Flash Sell title container, sell time and view all link display correctly </v>
      </c>
      <c r="L12" s="14"/>
      <c r="M12" s="12" t="s">
        <v>64</v>
      </c>
      <c r="N12" s="12" t="s">
        <v>65</v>
      </c>
      <c r="O12" s="12" t="s">
        <v>2</v>
      </c>
      <c r="P12" s="19"/>
    </row>
    <row r="13">
      <c r="A13" s="28"/>
      <c r="B13" s="28"/>
      <c r="C13" s="28"/>
      <c r="D13" s="28"/>
      <c r="E13" s="18"/>
      <c r="F13" s="12" t="s">
        <v>66</v>
      </c>
      <c r="G13" s="12"/>
      <c r="H13" s="12" t="s">
        <v>67</v>
      </c>
      <c r="I13" s="12" t="s">
        <v>17</v>
      </c>
      <c r="J13" s="12" t="s">
        <v>68</v>
      </c>
      <c r="K13" s="13" t="str">
        <f>IFERROR(__xludf.DUMMYFUNCTION("IF(ISBLANK(J13), ""Input test step"", ARRAYFORMULA(TEXTJOIN(CHAR(10), TRUE, (""Step ""&amp; ROW(INDIRECT(""1:"" &amp; COUNTA(SPLIT(J13, CHAR(10))))) &amp; "": "" &amp; TRANSPOSE(SPLIT(J13, CHAR(10)))))))"),"Step 1: Navigate to Home
Step 2: Check the font size, position and color the ""Flash Sell"" Title display correctly ")</f>
        <v>Step 1: Navigate to Home
Step 2: Check the font size, position and color the "Flash Sell" Title display correctly </v>
      </c>
      <c r="L13" s="14"/>
      <c r="M13" s="12" t="s">
        <v>69</v>
      </c>
      <c r="N13" s="12"/>
      <c r="O13" s="12" t="s">
        <v>2</v>
      </c>
      <c r="P13" s="19"/>
    </row>
    <row r="14">
      <c r="A14" s="28"/>
      <c r="B14" s="28"/>
      <c r="C14" s="28"/>
      <c r="D14" s="28"/>
      <c r="E14" s="18"/>
      <c r="F14" s="12" t="s">
        <v>70</v>
      </c>
      <c r="G14" s="12"/>
      <c r="H14" s="30" t="s">
        <v>71</v>
      </c>
      <c r="I14" s="12" t="s">
        <v>17</v>
      </c>
      <c r="J14" s="12" t="s">
        <v>72</v>
      </c>
      <c r="K14" s="13" t="str">
        <f>IFERROR(__xludf.DUMMYFUNCTION("IF(ISBLANK(J14), ""Input test step"", ARRAYFORMULA(TEXTJOIN(CHAR(10), TRUE, (""Step ""&amp; ROW(INDIRECT(""1:"" &amp; COUNTA(SPLIT(J14, CHAR(10))))) &amp; "": "" &amp; TRANSPOSE(SPLIT(J14, CHAR(10)))))))"),"Step 1: Navigate to home page
Step 2: Check  the correct runtime with the time in the Flash Sell list view screen")</f>
        <v>Step 1: Navigate to home page
Step 2: Check  the correct runtime with the time in the Flash Sell list view screen</v>
      </c>
      <c r="L14" s="14"/>
      <c r="M14" s="12" t="s">
        <v>73</v>
      </c>
      <c r="N14" s="31"/>
      <c r="O14" s="12" t="s">
        <v>2</v>
      </c>
      <c r="P14" s="32"/>
    </row>
    <row r="15">
      <c r="A15" s="28"/>
      <c r="B15" s="28"/>
      <c r="C15" s="28"/>
      <c r="D15" s="28"/>
      <c r="E15" s="18"/>
      <c r="F15" s="12" t="s">
        <v>74</v>
      </c>
      <c r="G15" s="12"/>
      <c r="H15" s="12" t="s">
        <v>75</v>
      </c>
      <c r="I15" s="12" t="s">
        <v>17</v>
      </c>
      <c r="J15" s="12" t="s">
        <v>76</v>
      </c>
      <c r="K15" s="13" t="str">
        <f>IFERROR(__xludf.DUMMYFUNCTION("IF(ISBLANK(J15), ""Input test step"", ARRAYFORMULA(TEXTJOIN(CHAR(10), TRUE, (""Step ""&amp; ROW(INDIRECT(""1:"" &amp; COUNTA(SPLIT(J15, CHAR(10))))) &amp; "": "" &amp; TRANSPOSE(SPLIT(J15, CHAR(10)))))))"),"Step 1: Navigate to the home page
Step 2: Check the position, size, and color of the sell time text display correctly ")</f>
        <v>Step 1: Navigate to the home page
Step 2: Check the position, size, and color of the sell time text display correctly </v>
      </c>
      <c r="L15" s="14"/>
      <c r="M15" s="31" t="s">
        <v>77</v>
      </c>
      <c r="N15" s="31" t="s">
        <v>56</v>
      </c>
      <c r="O15" s="12" t="s">
        <v>2</v>
      </c>
      <c r="P15" s="32"/>
    </row>
    <row r="16">
      <c r="A16" s="28"/>
      <c r="B16" s="28"/>
      <c r="C16" s="28"/>
      <c r="D16" s="28"/>
      <c r="E16" s="18"/>
      <c r="F16" s="12" t="s">
        <v>78</v>
      </c>
      <c r="G16" s="12"/>
      <c r="H16" s="12" t="s">
        <v>79</v>
      </c>
      <c r="I16" s="12" t="s">
        <v>17</v>
      </c>
      <c r="J16" s="12" t="s">
        <v>80</v>
      </c>
      <c r="K16" s="13" t="str">
        <f>IFERROR(__xludf.DUMMYFUNCTION("IF(ISBLANK(J16), ""Input test step"", ARRAYFORMULA(TEXTJOIN(CHAR(10), TRUE, (""Step ""&amp; ROW(INDIRECT(""1:"" &amp; COUNTA(SPLIT(J16, CHAR(10))))) &amp; "": "" &amp; TRANSPOSE(SPLIT(J16, CHAR(10)))))))"),"Step 1: Navigate to Home Page
Step 2: Check the ""See All"" link for correct size, position, and color")</f>
        <v>Step 1: Navigate to Home Page
Step 2: Check the "See All" link for correct size, position, and color</v>
      </c>
      <c r="L16" s="33"/>
      <c r="M16" s="31" t="s">
        <v>81</v>
      </c>
      <c r="N16" s="31" t="s">
        <v>81</v>
      </c>
      <c r="O16" s="12" t="s">
        <v>1</v>
      </c>
      <c r="P16" s="32"/>
    </row>
    <row r="17">
      <c r="A17" s="28"/>
      <c r="B17" s="28"/>
      <c r="C17" s="28"/>
      <c r="D17" s="28"/>
      <c r="E17" s="18"/>
      <c r="F17" s="12" t="s">
        <v>82</v>
      </c>
      <c r="G17" s="12"/>
      <c r="H17" s="12" t="s">
        <v>83</v>
      </c>
      <c r="I17" s="12" t="s">
        <v>17</v>
      </c>
      <c r="J17" s="12" t="s">
        <v>84</v>
      </c>
      <c r="K17" s="13" t="str">
        <f>IFERROR(__xludf.DUMMYFUNCTION("IF(ISBLANK(J17), ""Input test step"", ARRAYFORMULA(TEXTJOIN(CHAR(10), TRUE, (""Step ""&amp; ROW(INDIRECT(""1:"" &amp; COUNTA(SPLIT(J17, CHAR(10))))) &amp; "": "" &amp; TRANSPOSE(SPLIT(J17, CHAR(10)))))))"),"Step 1: Navigate to Home Page
Step 2: Check the correct size and position of the ""Flash Sell"" product list")</f>
        <v>Step 1: Navigate to Home Page
Step 2: Check the correct size and position of the "Flash Sell" product list</v>
      </c>
      <c r="L17" s="33"/>
      <c r="M17" s="31" t="s">
        <v>85</v>
      </c>
      <c r="N17" s="31" t="s">
        <v>85</v>
      </c>
      <c r="O17" s="12" t="s">
        <v>1</v>
      </c>
      <c r="P17" s="32"/>
    </row>
    <row r="18">
      <c r="A18" s="28"/>
      <c r="B18" s="28"/>
      <c r="C18" s="28"/>
      <c r="D18" s="28"/>
      <c r="E18" s="18"/>
      <c r="F18" s="12" t="s">
        <v>86</v>
      </c>
      <c r="G18" s="12"/>
      <c r="H18" s="12" t="s">
        <v>87</v>
      </c>
      <c r="I18" s="12" t="s">
        <v>17</v>
      </c>
      <c r="J18" s="12" t="s">
        <v>88</v>
      </c>
      <c r="K18" s="13" t="str">
        <f>IFERROR(__xludf.DUMMYFUNCTION("IF(ISBLANK(J18), ""Input test step"", ARRAYFORMULA(TEXTJOIN(CHAR(10), TRUE, (""Step ""&amp; ROW(INDIRECT(""1:"" &amp; COUNTA(SPLIT(J18, CHAR(10))))) &amp; "": "" &amp; TRANSPOSE(SPLIT(J18, CHAR(10)))))))"),"Step 1: Navigate to Home Page
Step 2: Check for correct spacing between products in the list")</f>
        <v>Step 1: Navigate to Home Page
Step 2: Check for correct spacing between products in the list</v>
      </c>
      <c r="L18" s="34"/>
      <c r="M18" s="31" t="s">
        <v>89</v>
      </c>
      <c r="N18" s="31"/>
      <c r="O18" s="12" t="s">
        <v>1</v>
      </c>
      <c r="P18" s="32"/>
    </row>
    <row r="19">
      <c r="A19" s="28"/>
      <c r="B19" s="28"/>
      <c r="C19" s="28"/>
      <c r="D19" s="28"/>
      <c r="E19" s="18"/>
      <c r="F19" s="12" t="s">
        <v>90</v>
      </c>
      <c r="G19" s="12"/>
      <c r="H19" s="12" t="s">
        <v>91</v>
      </c>
      <c r="I19" s="12" t="s">
        <v>17</v>
      </c>
      <c r="J19" s="12" t="s">
        <v>92</v>
      </c>
      <c r="K19" s="13" t="str">
        <f>IFERROR(__xludf.DUMMYFUNCTION("IF(ISBLANK(J19), ""Input test step"", ARRAYFORMULA(TEXTJOIN(CHAR(10), TRUE, (""Step ""&amp; ROW(INDIRECT(""1:"" &amp; COUNTA(SPLIT(J19, CHAR(10))))) &amp; "": "" &amp; TRANSPOSE(SPLIT(J19, CHAR(10)))))))"),"Step 1: Navigate to Home Page
Step 2: Check for correct size of product item card")</f>
        <v>Step 1: Navigate to Home Page
Step 2: Check for correct size of product item card</v>
      </c>
      <c r="L19" s="34"/>
      <c r="M19" s="31" t="s">
        <v>93</v>
      </c>
      <c r="N19" s="31" t="s">
        <v>94</v>
      </c>
      <c r="O19" s="12" t="s">
        <v>2</v>
      </c>
      <c r="P19" s="32"/>
    </row>
    <row r="20">
      <c r="A20" s="28"/>
      <c r="B20" s="28"/>
      <c r="C20" s="28"/>
      <c r="D20" s="28"/>
      <c r="E20" s="18"/>
      <c r="F20" s="12" t="s">
        <v>95</v>
      </c>
      <c r="G20" s="12"/>
      <c r="H20" s="12" t="s">
        <v>96</v>
      </c>
      <c r="I20" s="12" t="s">
        <v>17</v>
      </c>
      <c r="J20" s="12" t="s">
        <v>97</v>
      </c>
      <c r="K20" s="13" t="str">
        <f>IFERROR(__xludf.DUMMYFUNCTION("IF(ISBLANK(J20), ""Input test step"", ARRAYFORMULA(TEXTJOIN(CHAR(10), TRUE, (""Step ""&amp; ROW(INDIRECT(""1:"" &amp; COUNTA(SPLIT(J20, CHAR(10))))) &amp; "": "" &amp; TRANSPOSE(SPLIT(J20, CHAR(10)))))))"),"Step 1: Navigate to Home Page
Step 2: Check the correct display of percentage area on a product item")</f>
        <v>Step 1: Navigate to Home Page
Step 2: Check the correct display of percentage area on a product item</v>
      </c>
      <c r="L20" s="34"/>
      <c r="M20" s="31" t="s">
        <v>98</v>
      </c>
      <c r="N20" s="31" t="s">
        <v>56</v>
      </c>
      <c r="O20" s="12" t="s">
        <v>2</v>
      </c>
      <c r="P20" s="32"/>
    </row>
    <row r="21">
      <c r="C21" s="35"/>
      <c r="D21" s="35"/>
      <c r="E21" s="18"/>
      <c r="F21" s="12" t="s">
        <v>99</v>
      </c>
      <c r="G21" s="12"/>
      <c r="H21" s="12" t="s">
        <v>100</v>
      </c>
      <c r="I21" s="12" t="s">
        <v>17</v>
      </c>
      <c r="J21" s="12" t="s">
        <v>101</v>
      </c>
      <c r="K21" s="13" t="str">
        <f>IFERROR(__xludf.DUMMYFUNCTION("IF(ISBLANK(J21), ""Input test step"", ARRAYFORMULA(TEXTJOIN(CHAR(10), TRUE, (""Step ""&amp; ROW(INDIRECT(""1:"" &amp; COUNTA(SPLIT(J21, CHAR(10))))) &amp; "": "" &amp; TRANSPOSE(SPLIT(J21, CHAR(10)))))))"),"Step 1: Navigate to Home Page
Step 2: Check the correct display of the favorite icon on a product item")</f>
        <v>Step 1: Navigate to Home Page
Step 2: Check the correct display of the favorite icon on a product item</v>
      </c>
      <c r="L21" s="34"/>
      <c r="M21" s="31" t="s">
        <v>102</v>
      </c>
      <c r="N21" s="31" t="s">
        <v>102</v>
      </c>
      <c r="O21" s="12" t="s">
        <v>1</v>
      </c>
      <c r="P21" s="32"/>
    </row>
    <row r="22">
      <c r="C22" s="35"/>
      <c r="D22" s="35"/>
      <c r="E22" s="18"/>
      <c r="F22" s="12" t="s">
        <v>103</v>
      </c>
      <c r="G22" s="12"/>
      <c r="H22" s="12" t="s">
        <v>104</v>
      </c>
      <c r="I22" s="12" t="s">
        <v>17</v>
      </c>
      <c r="J22" s="12" t="s">
        <v>105</v>
      </c>
      <c r="K22" s="13" t="str">
        <f>IFERROR(__xludf.DUMMYFUNCTION("IF(ISBLANK(J22), ""Input test step"", ARRAYFORMULA(TEXTJOIN(CHAR(10), TRUE, (""Step ""&amp; ROW(INDIRECT(""1:"" &amp; COUNTA(SPLIT(J22, CHAR(10))))) &amp; "": "" &amp; TRANSPOSE(SPLIT(J22, CHAR(10)))))))"),"Step 1: Navigate to Home Page
Step 2: Check the product image is displayed correctly in a product item")</f>
        <v>Step 1: Navigate to Home Page
Step 2: Check the product image is displayed correctly in a product item</v>
      </c>
      <c r="L22" s="34"/>
      <c r="M22" s="31" t="s">
        <v>106</v>
      </c>
      <c r="N22" s="31" t="s">
        <v>106</v>
      </c>
      <c r="O22" s="12" t="s">
        <v>1</v>
      </c>
      <c r="P22" s="32"/>
    </row>
    <row r="23">
      <c r="A23" s="35"/>
      <c r="B23" s="35"/>
      <c r="C23" s="35"/>
      <c r="D23" s="35"/>
      <c r="E23" s="18"/>
      <c r="F23" s="12" t="s">
        <v>107</v>
      </c>
      <c r="G23" s="12"/>
      <c r="H23" s="30" t="s">
        <v>108</v>
      </c>
      <c r="I23" s="12" t="s">
        <v>17</v>
      </c>
      <c r="J23" s="12" t="s">
        <v>109</v>
      </c>
      <c r="K23" s="13" t="str">
        <f>IFERROR(__xludf.DUMMYFUNCTION("IF(ISBLANK(J23), ""Input test step"", ARRAYFORMULA(TEXTJOIN(CHAR(10), TRUE, (""Step ""&amp; ROW(INDIRECT(""1:"" &amp; COUNTA(SPLIT(J23, CHAR(10))))) &amp; "": "" &amp; TRANSPOSE(SPLIT(J23, CHAR(10)))))))"),"Step 1: Navigate to Home Page
Step 2: Check the correct display area for the ""New"" label for new products")</f>
        <v>Step 1: Navigate to Home Page
Step 2: Check the correct display area for the "New" label for new products</v>
      </c>
      <c r="L23" s="14"/>
      <c r="M23" s="12" t="s">
        <v>110</v>
      </c>
      <c r="N23" s="12" t="s">
        <v>110</v>
      </c>
      <c r="O23" s="12" t="s">
        <v>1</v>
      </c>
      <c r="P23" s="32"/>
    </row>
    <row r="24">
      <c r="A24" s="35"/>
      <c r="B24" s="35"/>
      <c r="C24" s="35"/>
      <c r="D24" s="35"/>
      <c r="E24" s="18"/>
      <c r="F24" s="12" t="s">
        <v>111</v>
      </c>
      <c r="G24" s="12"/>
      <c r="H24" s="12" t="s">
        <v>112</v>
      </c>
      <c r="I24" s="12" t="s">
        <v>17</v>
      </c>
      <c r="J24" s="12" t="s">
        <v>113</v>
      </c>
      <c r="K24" s="13" t="str">
        <f>IFERROR(__xludf.DUMMYFUNCTION("IF(ISBLANK(J24), ""Input test step"", ARRAYFORMULA(TEXTJOIN(CHAR(10), TRUE, (""Step ""&amp; ROW(INDIRECT(""1:"" &amp; COUNTA(SPLIT(J24, CHAR(10))))) &amp; "": "" &amp; TRANSPOSE(SPLIT(J24, CHAR(10)))))))"),"Step 1: Navigate to home page
Step 2: Verify the size, position, and color of the image name display correctly ")</f>
        <v>Step 1: Navigate to home page
Step 2: Verify the size, position, and color of the image name display correctly </v>
      </c>
      <c r="L24" s="34"/>
      <c r="M24" s="12" t="s">
        <v>114</v>
      </c>
      <c r="N24" s="12" t="s">
        <v>114</v>
      </c>
      <c r="O24" s="12" t="s">
        <v>1</v>
      </c>
      <c r="P24" s="32"/>
    </row>
    <row r="25">
      <c r="A25" s="35"/>
      <c r="B25" s="35"/>
      <c r="C25" s="35"/>
      <c r="D25" s="35"/>
      <c r="E25" s="18"/>
      <c r="F25" s="12" t="s">
        <v>115</v>
      </c>
      <c r="G25" s="12"/>
      <c r="H25" s="12" t="s">
        <v>116</v>
      </c>
      <c r="I25" s="12" t="s">
        <v>17</v>
      </c>
      <c r="J25" s="12" t="s">
        <v>117</v>
      </c>
      <c r="K25" s="13" t="str">
        <f>IFERROR(__xludf.DUMMYFUNCTION("IF(ISBLANK(J25), ""Input test step"", ARRAYFORMULA(TEXTJOIN(CHAR(10), TRUE, (""Step ""&amp; ROW(INDIRECT(""1:"" &amp; COUNTA(SPLIT(J25, CHAR(10))))) &amp; "": "" &amp; TRANSPOSE(SPLIT(J25, CHAR(10)))))))"),"Step 1: Navigate to Home Page
Step 2: Check the size, position, and color of the product brand display correctly ")</f>
        <v>Step 1: Navigate to Home Page
Step 2: Check the size, position, and color of the product brand display correctly </v>
      </c>
      <c r="L25" s="34"/>
      <c r="M25" s="12" t="s">
        <v>118</v>
      </c>
      <c r="N25" s="31" t="s">
        <v>56</v>
      </c>
      <c r="O25" s="12" t="s">
        <v>2</v>
      </c>
      <c r="P25" s="32"/>
    </row>
    <row r="26">
      <c r="A26" s="35"/>
      <c r="B26" s="35"/>
      <c r="C26" s="35"/>
      <c r="D26" s="35"/>
      <c r="E26" s="18"/>
      <c r="F26" s="12" t="s">
        <v>119</v>
      </c>
      <c r="G26" s="12"/>
      <c r="H26" s="12" t="s">
        <v>120</v>
      </c>
      <c r="I26" s="12" t="s">
        <v>17</v>
      </c>
      <c r="J26" s="12" t="s">
        <v>121</v>
      </c>
      <c r="K26" s="13" t="str">
        <f>IFERROR(__xludf.DUMMYFUNCTION("IF(ISBLANK(J26), ""Input test step"", ARRAYFORMULA(TEXTJOIN(CHAR(10), TRUE, (""Step ""&amp; ROW(INDIRECT(""1:"" &amp; COUNTA(SPLIT(J26, CHAR(10))))) &amp; "": "" &amp; TRANSPOSE(SPLIT(J26, CHAR(10)))))))"),"Step 1: Navigate to Home Page
Step 2: Check the display size, position, color of the product price display correctly")</f>
        <v>Step 1: Navigate to Home Page
Step 2: Check the display size, position, color of the product price display correctly</v>
      </c>
      <c r="L26" s="34"/>
      <c r="M26" s="12" t="s">
        <v>122</v>
      </c>
      <c r="N26" s="12" t="s">
        <v>122</v>
      </c>
      <c r="O26" s="12" t="s">
        <v>1</v>
      </c>
      <c r="P26" s="32"/>
    </row>
    <row r="27">
      <c r="A27" s="36"/>
      <c r="B27" s="36"/>
      <c r="C27" s="36"/>
      <c r="D27" s="36"/>
      <c r="E27" s="27"/>
      <c r="F27" s="12" t="s">
        <v>123</v>
      </c>
      <c r="G27" s="12"/>
      <c r="H27" s="12" t="s">
        <v>124</v>
      </c>
      <c r="I27" s="12" t="s">
        <v>17</v>
      </c>
      <c r="J27" s="12" t="s">
        <v>125</v>
      </c>
      <c r="K27" s="13" t="str">
        <f>IFERROR(__xludf.DUMMYFUNCTION("IF(ISBLANK(J27), ""Input test step"", ARRAYFORMULA(TEXTJOIN(CHAR(10), TRUE, (""Step ""&amp; ROW(INDIRECT(""1:"" &amp; COUNTA(SPLIT(J27, CHAR(10))))) &amp; "": "" &amp; TRANSPOSE(SPLIT(J27, CHAR(10)))))))"),"Step 1: Navigate to the home page
Step 2: Check the correct size, position, and format of the product's original price display correctly ")</f>
        <v>Step 1: Navigate to the home page
Step 2: Check the correct size, position, and format of the product's original price display correctly </v>
      </c>
      <c r="L27" s="14"/>
      <c r="M27" s="12" t="s">
        <v>126</v>
      </c>
      <c r="N27" s="31" t="s">
        <v>56</v>
      </c>
      <c r="O27" s="12" t="s">
        <v>2</v>
      </c>
      <c r="P27" s="32"/>
    </row>
    <row r="28">
      <c r="A28" s="37"/>
      <c r="B28" s="37"/>
      <c r="C28" s="37"/>
      <c r="D28" s="37"/>
      <c r="E28" s="37"/>
      <c r="F28" s="12" t="s">
        <v>127</v>
      </c>
      <c r="G28" s="12"/>
      <c r="H28" s="12" t="s">
        <v>128</v>
      </c>
      <c r="I28" s="12" t="s">
        <v>17</v>
      </c>
      <c r="J28" s="12" t="s">
        <v>129</v>
      </c>
      <c r="K28" s="13" t="str">
        <f>IFERROR(__xludf.DUMMYFUNCTION("IF(ISBLANK(J28), ""Input test step"", ARRAYFORMULA(TEXTJOIN(CHAR(10), TRUE, (""Step ""&amp; ROW(INDIRECT(""1:"" &amp; COUNTA(SPLIT(J28, CHAR(10))))) &amp; "": "" &amp; TRANSPOSE(SPLIT(J28, CHAR(10)))))))"),"Step 1: Navigate to the home page
Step 2: Check the correct size, position, background color display correctly ")</f>
        <v>Step 1: Navigate to the home page
Step 2: Check the correct size, position, background color display correctly </v>
      </c>
      <c r="L28" s="14"/>
      <c r="M28" s="12" t="s">
        <v>130</v>
      </c>
      <c r="N28" s="12" t="s">
        <v>130</v>
      </c>
      <c r="O28" s="12" t="s">
        <v>1</v>
      </c>
      <c r="P28" s="38"/>
    </row>
    <row r="29">
      <c r="A29" s="37"/>
      <c r="B29" s="37"/>
      <c r="C29" s="37"/>
      <c r="D29" s="37"/>
      <c r="E29" s="37"/>
      <c r="F29" s="12" t="s">
        <v>131</v>
      </c>
      <c r="G29" s="12"/>
      <c r="H29" s="12" t="s">
        <v>132</v>
      </c>
      <c r="I29" s="12" t="s">
        <v>17</v>
      </c>
      <c r="J29" s="12" t="s">
        <v>133</v>
      </c>
      <c r="K29" s="13" t="str">
        <f>IFERROR(__xludf.DUMMYFUNCTION("IF(ISBLANK(J29), ""Input test step"", ARRAYFORMULA(TEXTJOIN(CHAR(10), TRUE, (""Step ""&amp; ROW(INDIRECT(""1:"" &amp; COUNTA(SPLIT(J29, CHAR(10))))) &amp; "": "" &amp; TRANSPOSE(SPLIT(J29, CHAR(10)))))))"),"Step 1: Navigate to the home page
Step 2: Check the available product quantity is shown correctly in the designated area.")</f>
        <v>Step 1: Navigate to the home page
Step 2: Check the available product quantity is shown correctly in the designated area.</v>
      </c>
      <c r="L29" s="14"/>
      <c r="M29" s="12" t="s">
        <v>134</v>
      </c>
      <c r="N29" s="12" t="s">
        <v>134</v>
      </c>
      <c r="O29" s="12" t="s">
        <v>1</v>
      </c>
      <c r="P29" s="38"/>
    </row>
    <row r="30">
      <c r="A30" s="37"/>
      <c r="B30" s="37"/>
      <c r="C30" s="37"/>
      <c r="D30" s="37"/>
      <c r="E30" s="37"/>
      <c r="F30" s="12" t="s">
        <v>135</v>
      </c>
      <c r="G30" s="12"/>
      <c r="H30" s="12" t="s">
        <v>136</v>
      </c>
      <c r="I30" s="12" t="s">
        <v>17</v>
      </c>
      <c r="J30" s="12" t="s">
        <v>137</v>
      </c>
      <c r="K30" s="13" t="str">
        <f>IFERROR(__xludf.DUMMYFUNCTION("IF(ISBLANK(J30), ""Input test step"", ARRAYFORMULA(TEXTJOIN(CHAR(10), TRUE, (""Step ""&amp; ROW(INDIRECT(""1:"" &amp; COUNTA(SPLIT(J30, CHAR(10))))) &amp; "": "" &amp; TRANSPOSE(SPLIT(J30, CHAR(10)))))))"),"Step 1: Navigate to Home Page
Step 2: Scroll up or down
Step 3: The  ""Home Page"" scrolls smoothly")</f>
        <v>Step 1: Navigate to Home Page
Step 2: Scroll up or down
Step 3: The  "Home Page" scrolls smoothly</v>
      </c>
      <c r="L30" s="14"/>
      <c r="M30" s="12" t="s">
        <v>138</v>
      </c>
      <c r="N30" s="12" t="s">
        <v>138</v>
      </c>
      <c r="O30" s="12" t="s">
        <v>1</v>
      </c>
      <c r="P30" s="38"/>
    </row>
    <row r="31">
      <c r="A31" s="37"/>
      <c r="B31" s="37"/>
      <c r="C31" s="37"/>
      <c r="D31" s="37"/>
      <c r="E31" s="37"/>
      <c r="F31" s="12" t="s">
        <v>139</v>
      </c>
      <c r="G31" s="12"/>
      <c r="H31" s="12" t="s">
        <v>140</v>
      </c>
      <c r="I31" s="12" t="s">
        <v>17</v>
      </c>
      <c r="J31" s="12" t="s">
        <v>141</v>
      </c>
      <c r="K31" s="13" t="str">
        <f>IFERROR(__xludf.DUMMYFUNCTION("IF(ISBLANK(J31), ""Input test step"", ARRAYFORMULA(TEXTJOIN(CHAR(10), TRUE, (""Step ""&amp; ROW(INDIRECT(""1:"" &amp; COUNTA(SPLIT(J31, CHAR(10))))) &amp; "": "" &amp; TRANSPOSE(SPLIT(J31, CHAR(10)))))))"),"Step 1: Navigate to Home Page
Step 2: Check that the ""Popular Products"" title is displayed in the correct size, position, and color")</f>
        <v>Step 1: Navigate to Home Page
Step 2: Check that the "Popular Products" title is displayed in the correct size, position, and color</v>
      </c>
      <c r="L31" s="14"/>
      <c r="M31" s="21" t="s">
        <v>142</v>
      </c>
      <c r="N31" s="21" t="s">
        <v>142</v>
      </c>
      <c r="O31" s="12" t="s">
        <v>1</v>
      </c>
      <c r="P31" s="38"/>
    </row>
    <row r="32">
      <c r="A32" s="37"/>
      <c r="B32" s="37"/>
      <c r="C32" s="37"/>
      <c r="D32" s="37"/>
      <c r="E32" s="37"/>
      <c r="F32" s="12" t="s">
        <v>143</v>
      </c>
      <c r="G32" s="12"/>
      <c r="H32" s="12" t="s">
        <v>144</v>
      </c>
      <c r="I32" s="12" t="s">
        <v>17</v>
      </c>
      <c r="J32" s="12" t="s">
        <v>145</v>
      </c>
      <c r="K32" s="13" t="str">
        <f>IFERROR(__xludf.DUMMYFUNCTION("IF(ISBLANK(J32), ""Input test step"", ARRAYFORMULA(TEXTJOIN(CHAR(10), TRUE, (""Step ""&amp; ROW(INDIRECT(""1:"" &amp; COUNTA(SPLIT(J32, CHAR(10))))) &amp; "": "" &amp; TRANSPOSE(SPLIT(J32, CHAR(10)))))))"),"Step 1: Navigate to Home Page
Step 2: Check the position, size, and color of the ""See All"" text link display correctly ")</f>
        <v>Step 1: Navigate to Home Page
Step 2: Check the position, size, and color of the "See All" text link display correctly </v>
      </c>
      <c r="L32" s="14"/>
      <c r="M32" s="12" t="s">
        <v>146</v>
      </c>
      <c r="N32" s="12" t="s">
        <v>146</v>
      </c>
      <c r="O32" s="12" t="s">
        <v>1</v>
      </c>
      <c r="P32" s="38"/>
    </row>
    <row r="33">
      <c r="A33" s="37"/>
      <c r="B33" s="37"/>
      <c r="C33" s="37"/>
      <c r="D33" s="37"/>
      <c r="E33" s="37"/>
      <c r="F33" s="12" t="s">
        <v>147</v>
      </c>
      <c r="G33" s="12"/>
      <c r="H33" s="12" t="s">
        <v>148</v>
      </c>
      <c r="I33" s="12" t="s">
        <v>17</v>
      </c>
      <c r="J33" s="12" t="s">
        <v>149</v>
      </c>
      <c r="K33" s="13" t="str">
        <f>IFERROR(__xludf.DUMMYFUNCTION("IF(ISBLANK(J33), ""Input test step"", ARRAYFORMULA(TEXTJOIN(CHAR(10), TRUE, (""Step ""&amp; ROW(INDIRECT(""1:"" &amp; COUNTA(SPLIT(J33, CHAR(10))))) &amp; "": "" &amp; TRANSPOSE(SPLIT(J33, CHAR(10)))))))"),"Step 1: Navigate to Home Page
Step 2: Check the size and position of the ""Popular Products"" list display correctly ")</f>
        <v>Step 1: Navigate to Home Page
Step 2: Check the size and position of the "Popular Products" list display correctly </v>
      </c>
      <c r="L33" s="14"/>
      <c r="M33" s="39" t="s">
        <v>150</v>
      </c>
      <c r="N33" s="39" t="s">
        <v>150</v>
      </c>
      <c r="O33" s="12" t="s">
        <v>1</v>
      </c>
      <c r="P33" s="38"/>
    </row>
    <row r="34">
      <c r="A34" s="37"/>
      <c r="B34" s="37"/>
      <c r="C34" s="37"/>
      <c r="D34" s="37"/>
      <c r="E34" s="37"/>
      <c r="F34" s="12" t="s">
        <v>151</v>
      </c>
      <c r="G34" s="12"/>
      <c r="H34" s="12" t="s">
        <v>152</v>
      </c>
      <c r="I34" s="12" t="s">
        <v>17</v>
      </c>
      <c r="J34" s="12" t="s">
        <v>153</v>
      </c>
      <c r="K34" s="13" t="str">
        <f>IFERROR(__xludf.DUMMYFUNCTION("IF(ISBLANK(J34), ""Input test step"", ARRAYFORMULA(TEXTJOIN(CHAR(10), TRUE, (""Step ""&amp; ROW(INDIRECT(""1:"" &amp; COUNTA(SPLIT(J34, CHAR(10))))) &amp; "": "" &amp; TRANSPOSE(SPLIT(J34, CHAR(10)))))))"),"Step 1: Navigate to Homepage
Step 2: Check out the good horizontal scrolling to see the popular product list")</f>
        <v>Step 1: Navigate to Homepage
Step 2: Check out the good horizontal scrolling to see the popular product list</v>
      </c>
      <c r="L34" s="14"/>
      <c r="M34" s="12" t="s">
        <v>154</v>
      </c>
      <c r="N34" s="12" t="s">
        <v>154</v>
      </c>
      <c r="O34" s="12" t="s">
        <v>1</v>
      </c>
      <c r="P34" s="38"/>
    </row>
    <row r="35">
      <c r="A35" s="37"/>
      <c r="B35" s="37"/>
      <c r="C35" s="37"/>
      <c r="D35" s="37"/>
      <c r="E35" s="37"/>
      <c r="F35" s="12" t="s">
        <v>155</v>
      </c>
      <c r="G35" s="12"/>
      <c r="H35" s="12" t="s">
        <v>156</v>
      </c>
      <c r="I35" s="12" t="s">
        <v>17</v>
      </c>
      <c r="J35" s="12" t="s">
        <v>157</v>
      </c>
      <c r="K35" s="13" t="str">
        <f>IFERROR(__xludf.DUMMYFUNCTION("IF(ISBLANK(J35), ""Input test step"", ARRAYFORMULA(TEXTJOIN(CHAR(10), TRUE, (""Step ""&amp; ROW(INDIRECT(""1:"" &amp; COUNTA(SPLIT(J35, CHAR(10))))) &amp; "": "" &amp; TRANSPOSE(SPLIT(J35, CHAR(10)))))))"),"Step 1: Navigate to Home Page
Step 2: Check the size, position, and display area of ​​the ""Product Categories"" title display correctly ")</f>
        <v>Step 1: Navigate to Home Page
Step 2: Check the size, position, and display area of ​​the "Product Categories" title display correctly </v>
      </c>
      <c r="L35" s="14"/>
      <c r="M35" s="12" t="s">
        <v>158</v>
      </c>
      <c r="N35" s="12" t="s">
        <v>158</v>
      </c>
      <c r="O35" s="12" t="s">
        <v>1</v>
      </c>
      <c r="P35" s="38"/>
    </row>
    <row r="36">
      <c r="A36" s="37"/>
      <c r="B36" s="37"/>
      <c r="C36" s="37"/>
      <c r="D36" s="37"/>
      <c r="E36" s="37"/>
      <c r="F36" s="12" t="s">
        <v>159</v>
      </c>
      <c r="G36" s="12"/>
      <c r="H36" s="12" t="s">
        <v>160</v>
      </c>
      <c r="I36" s="12" t="s">
        <v>17</v>
      </c>
      <c r="J36" s="12" t="s">
        <v>161</v>
      </c>
      <c r="K36" s="13" t="str">
        <f>IFERROR(__xludf.DUMMYFUNCTION("IF(ISBLANK(J36), ""Input test step"", ARRAYFORMULA(TEXTJOIN(CHAR(10), TRUE, (""Step ""&amp; ROW(INDIRECT(""1:"" &amp; COUNTA(SPLIT(J36, CHAR(10))))) &amp; "": "" &amp; TRANSPOSE(SPLIT(J36, CHAR(10)))))))"),"Step 1: Navigate to Home Page
Step 2: Check the size and position of the category scroll bar display correctly ")</f>
        <v>Step 1: Navigate to Home Page
Step 2: Check the size and position of the category scroll bar display correctly </v>
      </c>
      <c r="L36" s="14"/>
      <c r="M36" s="12" t="s">
        <v>162</v>
      </c>
      <c r="N36" s="12" t="s">
        <v>162</v>
      </c>
      <c r="O36" s="12" t="s">
        <v>1</v>
      </c>
      <c r="P36" s="38"/>
    </row>
    <row r="37">
      <c r="A37" s="37"/>
      <c r="B37" s="37"/>
      <c r="C37" s="37"/>
      <c r="D37" s="37"/>
      <c r="E37" s="37"/>
      <c r="F37" s="12" t="s">
        <v>163</v>
      </c>
      <c r="G37" s="12"/>
      <c r="H37" s="12" t="s">
        <v>164</v>
      </c>
      <c r="I37" s="12" t="s">
        <v>17</v>
      </c>
      <c r="J37" s="12" t="s">
        <v>165</v>
      </c>
      <c r="K37" s="13" t="str">
        <f>IFERROR(__xludf.DUMMYFUNCTION("IF(ISBLANK(J37), ""Input test step"", ARRAYFORMULA(TEXTJOIN(CHAR(10), TRUE, (""Step ""&amp; ROW(INDIRECT(""1:"" &amp; COUNTA(SPLIT(J37, CHAR(10))))) &amp; "": "" &amp; TRANSPOSE(SPLIT(J37, CHAR(10)))))))"),"Step 1: Navigate to Home Page
Step 2: Check the  size and position of product categories list display correctly ")</f>
        <v>Step 1: Navigate to Home Page
Step 2: Check the  size and position of product categories list display correctly </v>
      </c>
      <c r="L37" s="14"/>
      <c r="M37" s="12" t="s">
        <v>166</v>
      </c>
      <c r="N37" s="12" t="s">
        <v>167</v>
      </c>
      <c r="O37" s="12" t="s">
        <v>2</v>
      </c>
      <c r="P37" s="38"/>
    </row>
    <row r="38">
      <c r="A38" s="37"/>
      <c r="B38" s="37"/>
      <c r="C38" s="37"/>
      <c r="D38" s="37"/>
      <c r="E38" s="40" t="s">
        <v>168</v>
      </c>
      <c r="F38" s="12" t="s">
        <v>169</v>
      </c>
      <c r="G38" s="12"/>
      <c r="H38" s="31" t="s">
        <v>170</v>
      </c>
      <c r="I38" s="12" t="s">
        <v>17</v>
      </c>
      <c r="J38" s="12" t="s">
        <v>171</v>
      </c>
      <c r="K38" s="13" t="str">
        <f>IFERROR(__xludf.DUMMYFUNCTION("IF(ISBLANK(J38), ""Input test step"", ARRAYFORMULA(TEXTJOIN(CHAR(10), TRUE, (""Step ""&amp; ROW(INDIRECT(""1:"" &amp; COUNTA(SPLIT(J38, CHAR(10))))) &amp; "": "" &amp; TRANSPOSE(SPLIT(J38, CHAR(10)))))))"),"Step 1: Navigate to Home
Step 2: Verify the ability to refresh the list when swiping up")</f>
        <v>Step 1: Navigate to Home
Step 2: Verify the ability to refresh the list when swiping up</v>
      </c>
      <c r="L38" s="14"/>
      <c r="M38" s="12" t="s">
        <v>172</v>
      </c>
      <c r="N38" s="12" t="s">
        <v>173</v>
      </c>
      <c r="O38" s="12" t="s">
        <v>2</v>
      </c>
      <c r="P38" s="38"/>
    </row>
    <row r="39">
      <c r="A39" s="37"/>
      <c r="B39" s="37"/>
      <c r="C39" s="37"/>
      <c r="D39" s="37"/>
      <c r="F39" s="12" t="s">
        <v>174</v>
      </c>
      <c r="G39" s="12"/>
      <c r="H39" s="12" t="s">
        <v>175</v>
      </c>
      <c r="I39" s="12" t="s">
        <v>17</v>
      </c>
      <c r="J39" s="12" t="s">
        <v>176</v>
      </c>
      <c r="K39" s="13" t="str">
        <f>IFERROR(__xludf.DUMMYFUNCTION("IF(ISBLANK(J39), ""Input test step"", ARRAYFORMULA(TEXTJOIN(CHAR(10), TRUE, (""Step ""&amp; ROW(INDIRECT(""1:"" &amp; COUNTA(SPLIT(J39, CHAR(10))))) &amp; "": "" &amp; TRANSPOSE(SPLIT(J39, CHAR(10)))))))"),"Step 1: Navigate to Homepage
Step 2: Check the correct color of the favorites icon when the product has been added to the favorites list")</f>
        <v>Step 1: Navigate to Homepage
Step 2: Check the correct color of the favorites icon when the product has been added to the favorites list</v>
      </c>
      <c r="L39" s="14"/>
      <c r="M39" s="12" t="s">
        <v>177</v>
      </c>
      <c r="N39" s="12" t="s">
        <v>177</v>
      </c>
      <c r="O39" s="12" t="s">
        <v>1</v>
      </c>
      <c r="P39" s="38"/>
    </row>
    <row r="40">
      <c r="A40" s="37"/>
      <c r="B40" s="37"/>
      <c r="C40" s="37"/>
      <c r="D40" s="37"/>
      <c r="F40" s="12" t="s">
        <v>178</v>
      </c>
      <c r="G40" s="12"/>
      <c r="N40" s="12"/>
      <c r="O40" s="12"/>
      <c r="P40" s="38"/>
    </row>
    <row r="41">
      <c r="A41" s="37"/>
      <c r="B41" s="37"/>
      <c r="C41" s="37"/>
      <c r="D41" s="37"/>
      <c r="E41" s="41" t="s">
        <v>179</v>
      </c>
      <c r="F41" s="12" t="s">
        <v>180</v>
      </c>
      <c r="G41" s="12" t="s">
        <v>181</v>
      </c>
      <c r="H41" s="42" t="s">
        <v>182</v>
      </c>
      <c r="I41" s="12" t="s">
        <v>17</v>
      </c>
      <c r="J41" s="43" t="s">
        <v>183</v>
      </c>
      <c r="K41" s="13" t="str">
        <f>IFERROR(__xludf.DUMMYFUNCTION("IF(ISBLANK(J41), ""Input test step"", ARRAYFORMULA(TEXTJOIN(CHAR(10), TRUE, (""Step ""&amp; ROW(INDIRECT(""1:"" &amp; COUNTA(SPLIT(J41, CHAR(10))))) &amp; "": "" &amp; TRANSPOSE(SPLIT(J41, CHAR(10)))))))"),"Step 1: Navigate to Home Page
Step 2: Check to display the ""Please try again later"" message when there is a server error while loading the list")</f>
        <v>Step 1: Navigate to Home Page
Step 2: Check to display the "Please try again later" message when there is a server error while loading the list</v>
      </c>
      <c r="L41" s="14"/>
      <c r="M41" s="12" t="s">
        <v>184</v>
      </c>
      <c r="N41" s="12"/>
      <c r="O41" s="12" t="s">
        <v>3</v>
      </c>
      <c r="P41" s="38"/>
    </row>
    <row r="42">
      <c r="A42" s="37"/>
      <c r="B42" s="37"/>
      <c r="C42" s="37"/>
      <c r="D42" s="37"/>
      <c r="E42" s="37"/>
      <c r="F42" s="12" t="s">
        <v>185</v>
      </c>
      <c r="G42" s="12"/>
      <c r="H42" s="12" t="s">
        <v>186</v>
      </c>
      <c r="I42" s="12" t="s">
        <v>17</v>
      </c>
      <c r="J42" s="12" t="s">
        <v>187</v>
      </c>
      <c r="K42" s="13" t="str">
        <f>IFERROR(__xludf.DUMMYFUNCTION("IF(ISBLANK(J42), ""Input test step"", ARRAYFORMULA(TEXTJOIN(CHAR(10), TRUE, (""Step ""&amp; ROW(INDIRECT(""1:"" &amp; COUNTA(SPLIT(J42, CHAR(10))))) &amp; "": "" &amp; TRANSPOSE(SPLIT(J42, CHAR(10)))))))"),"Step 1: Navigate to Home Page
Step 2: Check if ""Please Try Again Later"" message is displayed when the network is weak")</f>
        <v>Step 1: Navigate to Home Page
Step 2: Check if "Please Try Again Later" message is displayed when the network is weak</v>
      </c>
      <c r="L42" s="14"/>
      <c r="M42" s="12" t="s">
        <v>188</v>
      </c>
      <c r="N42" s="12"/>
      <c r="O42" s="12" t="s">
        <v>3</v>
      </c>
      <c r="P42" s="38"/>
    </row>
    <row r="43">
      <c r="A43" s="37"/>
      <c r="B43" s="37"/>
      <c r="C43" s="37"/>
      <c r="D43" s="37"/>
      <c r="E43" s="37"/>
      <c r="F43" s="12" t="s">
        <v>189</v>
      </c>
      <c r="G43" s="12" t="s">
        <v>190</v>
      </c>
      <c r="H43" s="12" t="s">
        <v>191</v>
      </c>
      <c r="I43" s="12" t="s">
        <v>17</v>
      </c>
      <c r="J43" s="12" t="s">
        <v>192</v>
      </c>
      <c r="K43" s="13" t="str">
        <f>IFERROR(__xludf.DUMMYFUNCTION("IF(ISBLANK(J43), ""Input test step"", ARRAYFORMULA(TEXTJOIN(CHAR(10), TRUE, (""Step ""&amp; ROW(INDIRECT(""1:"" &amp; COUNTA(SPLIT(J43, CHAR(10))))) &amp; "": "" &amp; TRANSPOSE(SPLIT(J43, CHAR(10)))))))"),"Step 1: Navigate to Home Page
Step 2: Check displays ""No Results Found"" message and displays blank interface")</f>
        <v>Step 1: Navigate to Home Page
Step 2: Check displays "No Results Found" message and displays blank interface</v>
      </c>
      <c r="L43" s="14"/>
      <c r="M43" s="12" t="s">
        <v>193</v>
      </c>
      <c r="N43" s="12"/>
      <c r="O43" s="12" t="s">
        <v>3</v>
      </c>
      <c r="P43" s="38"/>
    </row>
    <row r="44">
      <c r="A44" s="37"/>
      <c r="B44" s="37"/>
      <c r="C44" s="37"/>
      <c r="D44" s="37"/>
      <c r="E44" s="44"/>
      <c r="F44" s="12" t="s">
        <v>194</v>
      </c>
      <c r="G44" s="12"/>
      <c r="H44" s="12" t="s">
        <v>195</v>
      </c>
      <c r="I44" s="12" t="s">
        <v>17</v>
      </c>
      <c r="J44" s="12" t="s">
        <v>196</v>
      </c>
      <c r="K44" s="13" t="str">
        <f>IFERROR(__xludf.DUMMYFUNCTION("IF(ISBLANK(J44), ""Input test step"", ARRAYFORMULA(TEXTJOIN(CHAR(10), TRUE, (""Step ""&amp; ROW(INDIRECT(""1:"" &amp; COUNTA(SPLIT(J44, CHAR(10))))) &amp; "": "" &amp; TRANSPOSE(SPLIT(J44, CHAR(10)))))))"),"Step 1: Navigate to the home page
Step 2: Check that the product information is displayed correctly in the list")</f>
        <v>Step 1: Navigate to the home page
Step 2: Check that the product information is displayed correctly in the list</v>
      </c>
      <c r="L44" s="14"/>
      <c r="M44" s="12" t="s">
        <v>197</v>
      </c>
      <c r="N44" s="12"/>
      <c r="O44" s="12" t="s">
        <v>3</v>
      </c>
      <c r="P44" s="38"/>
    </row>
    <row r="45">
      <c r="A45" s="37"/>
      <c r="B45" s="37"/>
      <c r="C45" s="37"/>
      <c r="D45" s="37"/>
      <c r="E45" s="44"/>
      <c r="F45" s="12" t="s">
        <v>198</v>
      </c>
      <c r="G45" s="38"/>
      <c r="H45" s="31" t="s">
        <v>199</v>
      </c>
      <c r="I45" s="12" t="s">
        <v>17</v>
      </c>
      <c r="J45" s="12" t="s">
        <v>200</v>
      </c>
      <c r="K45" s="13" t="str">
        <f>IFERROR(__xludf.DUMMYFUNCTION("IF(ISBLANK(J45), ""Input test step"", ARRAYFORMULA(TEXTJOIN(CHAR(10), TRUE, (""Step ""&amp; ROW(INDIRECT(""1:"" &amp; COUNTA(SPLIT(J45, CHAR(10))))) &amp; "": "" &amp; TRANSPOSE(SPLIT(J45, CHAR(10)))))))"),"Step 1: Navigate to home page
Step 2: Verify that the product is out of stock and the user cannot place an order")</f>
        <v>Step 1: Navigate to home page
Step 2: Verify that the product is out of stock and the user cannot place an order</v>
      </c>
      <c r="L45" s="38"/>
      <c r="M45" s="31" t="s">
        <v>201</v>
      </c>
      <c r="N45" s="12"/>
      <c r="O45" s="12" t="s">
        <v>3</v>
      </c>
      <c r="P45" s="38"/>
    </row>
    <row r="46">
      <c r="A46" s="37"/>
      <c r="B46" s="37"/>
      <c r="C46" s="37"/>
      <c r="D46" s="37"/>
      <c r="E46" s="44"/>
      <c r="F46" s="12" t="s">
        <v>202</v>
      </c>
      <c r="G46" s="38"/>
      <c r="H46" s="12" t="s">
        <v>203</v>
      </c>
      <c r="I46" s="12" t="s">
        <v>17</v>
      </c>
      <c r="J46" s="43" t="s">
        <v>204</v>
      </c>
      <c r="K46" s="13" t="str">
        <f>IFERROR(__xludf.DUMMYFUNCTION("IF(ISBLANK(J46), ""Input test step"", ARRAYFORMULA(TEXTJOIN(CHAR(10), TRUE, (""Step ""&amp; ROW(INDIRECT(""1:"" &amp; COUNTA(SPLIT(J46, CHAR(10))))) &amp; "": "" &amp; TRANSPOSE(SPLIT(J46, CHAR(10)))))))"),"Step 1: Navigate to Home Page
Step 2: Check to display the ""Please try again later"" message when there is a server error while loading the list")</f>
        <v>Step 1: Navigate to Home Page
Step 2: Check to display the "Please try again later" message when there is a server error while loading the list</v>
      </c>
      <c r="L46" s="38"/>
      <c r="M46" s="31" t="s">
        <v>205</v>
      </c>
      <c r="N46" s="12"/>
      <c r="O46" s="12" t="s">
        <v>3</v>
      </c>
      <c r="P46" s="38"/>
    </row>
    <row r="47">
      <c r="A47" s="37"/>
      <c r="B47" s="37"/>
      <c r="C47" s="37"/>
      <c r="D47" s="37"/>
      <c r="E47" s="44"/>
      <c r="F47" s="12" t="s">
        <v>206</v>
      </c>
      <c r="G47" s="45"/>
      <c r="H47" s="12" t="s">
        <v>186</v>
      </c>
      <c r="I47" s="12" t="s">
        <v>17</v>
      </c>
      <c r="J47" s="12" t="s">
        <v>187</v>
      </c>
      <c r="K47" s="13" t="str">
        <f>IFERROR(__xludf.DUMMYFUNCTION("IF(ISBLANK(J47), ""Input test step"", ARRAYFORMULA(TEXTJOIN(CHAR(10), TRUE, (""Step ""&amp; ROW(INDIRECT(""1:"" &amp; COUNTA(SPLIT(J47, CHAR(10))))) &amp; "": "" &amp; TRANSPOSE(SPLIT(J47, CHAR(10)))))))"),"Step 1: Navigate to Home Page
Step 2: Check if ""Please Try Again Later"" message is displayed when the network is weak")</f>
        <v>Step 1: Navigate to Home Page
Step 2: Check if "Please Try Again Later" message is displayed when the network is weak</v>
      </c>
      <c r="L47" s="38"/>
      <c r="M47" s="31" t="s">
        <v>188</v>
      </c>
      <c r="N47" s="12"/>
      <c r="O47" s="12" t="s">
        <v>3</v>
      </c>
      <c r="P47" s="38"/>
    </row>
    <row r="48">
      <c r="A48" s="37"/>
      <c r="B48" s="37"/>
      <c r="C48" s="37"/>
      <c r="D48" s="37"/>
      <c r="E48" s="44"/>
      <c r="F48" s="12" t="s">
        <v>207</v>
      </c>
      <c r="G48" s="38"/>
      <c r="H48" s="12" t="s">
        <v>208</v>
      </c>
      <c r="I48" s="12" t="s">
        <v>17</v>
      </c>
      <c r="J48" s="12" t="s">
        <v>209</v>
      </c>
      <c r="K48" s="13" t="str">
        <f>IFERROR(__xludf.DUMMYFUNCTION("IF(ISBLANK(J48), ""Input test step"", ARRAYFORMULA(TEXTJOIN(CHAR(10), TRUE, (""Step ""&amp; ROW(INDIRECT(""1:"" &amp; COUNTA(SPLIT(J48, CHAR(10))))) &amp; "": "" &amp; TRANSPOSE(SPLIT(J48, CHAR(10)))))))"),"Step 1: Navigate to Homepage
Step 2: Check the list is automatically updated in real time when Flash sell time expires or the available quantity is updated after the user makes a purchase")</f>
        <v>Step 1: Navigate to Homepage
Step 2: Check the list is automatically updated in real time when Flash sell time expires or the available quantity is updated after the user makes a purchase</v>
      </c>
      <c r="L48" s="38"/>
      <c r="M48" s="31" t="s">
        <v>210</v>
      </c>
      <c r="N48" s="12"/>
      <c r="O48" s="12" t="s">
        <v>3</v>
      </c>
      <c r="P48" s="38"/>
    </row>
    <row r="49">
      <c r="A49" s="37"/>
      <c r="B49" s="37"/>
      <c r="C49" s="37"/>
      <c r="D49" s="37"/>
      <c r="E49" s="44"/>
      <c r="F49" s="12" t="s">
        <v>211</v>
      </c>
      <c r="G49" s="38"/>
      <c r="H49" s="31" t="s">
        <v>212</v>
      </c>
      <c r="I49" s="12" t="s">
        <v>17</v>
      </c>
      <c r="J49" s="12" t="s">
        <v>213</v>
      </c>
      <c r="K49" s="13" t="str">
        <f>IFERROR(__xludf.DUMMYFUNCTION("IF(ISBLANK(J49), ""Input test step"", ARRAYFORMULA(TEXTJOIN(CHAR(10), TRUE, (""Step ""&amp; ROW(INDIRECT(""1:"" &amp; COUNTA(SPLIT(J49, CHAR(10))))) &amp; "": "" &amp; TRANSPOSE(SPLIT(J49, CHAR(10)))))))"),"Step 1: Navigate to Home Page
Step 2: Check for fast loading when the list has many items and no lag")</f>
        <v>Step 1: Navigate to Home Page
Step 2: Check for fast loading when the list has many items and no lag</v>
      </c>
      <c r="L49" s="38"/>
      <c r="M49" s="31" t="s">
        <v>214</v>
      </c>
      <c r="N49" s="12"/>
      <c r="O49" s="12" t="s">
        <v>3</v>
      </c>
      <c r="P49" s="38"/>
    </row>
    <row r="50">
      <c r="A50" s="37"/>
      <c r="B50" s="37"/>
      <c r="C50" s="37"/>
      <c r="D50" s="37"/>
      <c r="E50" s="44"/>
      <c r="F50" s="12" t="s">
        <v>215</v>
      </c>
      <c r="G50" s="38"/>
      <c r="H50" s="31" t="s">
        <v>216</v>
      </c>
      <c r="I50" s="12" t="s">
        <v>17</v>
      </c>
      <c r="J50" s="12" t="s">
        <v>217</v>
      </c>
      <c r="K50" s="13" t="str">
        <f>IFERROR(__xludf.DUMMYFUNCTION("IF(ISBLANK(J50), ""Input test step"", ARRAYFORMULA(TEXTJOIN(CHAR(10), TRUE, (""Step ""&amp; ROW(INDIRECT(""1:"" &amp; COUNTA(SPLIT(J50, CHAR(10))))) &amp; "": "" &amp; TRANSPOSE(SPLIT(J50, CHAR(10)))))))"),"Step 1: Navigate to the home page
Step 2: Check the Flash Sell end time display area, the time display area will be refreshed")</f>
        <v>Step 1: Navigate to the home page
Step 2: Check the Flash Sell end time display area, the time display area will be refreshed</v>
      </c>
      <c r="L50" s="38"/>
      <c r="M50" s="31" t="s">
        <v>218</v>
      </c>
      <c r="N50" s="12"/>
      <c r="O50" s="12" t="s">
        <v>3</v>
      </c>
      <c r="P50" s="38"/>
    </row>
    <row r="51">
      <c r="A51" s="37"/>
      <c r="B51" s="37"/>
      <c r="C51" s="37"/>
      <c r="D51" s="37"/>
      <c r="E51" s="44"/>
      <c r="F51" s="12" t="s">
        <v>219</v>
      </c>
      <c r="G51" s="38"/>
      <c r="H51" s="31" t="s">
        <v>220</v>
      </c>
      <c r="I51" s="12" t="s">
        <v>17</v>
      </c>
      <c r="J51" s="12" t="s">
        <v>221</v>
      </c>
      <c r="K51" s="13" t="str">
        <f>IFERROR(__xludf.DUMMYFUNCTION("IF(ISBLANK(J51), ""Input test step"", ARRAYFORMULA(TEXTJOIN(CHAR(10), TRUE, (""Step ""&amp; ROW(INDIRECT(""1:"" &amp; COUNTA(SPLIT(J51, CHAR(10))))) &amp; "": "" &amp; TRANSPOSE(SPLIT(J51, CHAR(10)))))))"),"Step 1: Navigate to Home Page
Step 2: Check the Flash Sell list which is refreshed after the Flash Sell period ends")</f>
        <v>Step 1: Navigate to Home Page
Step 2: Check the Flash Sell list which is refreshed after the Flash Sell period ends</v>
      </c>
      <c r="L51" s="38"/>
      <c r="M51" s="31" t="s">
        <v>222</v>
      </c>
      <c r="N51" s="12"/>
      <c r="O51" s="12" t="s">
        <v>3</v>
      </c>
      <c r="P51" s="38"/>
    </row>
    <row r="52">
      <c r="A52" s="37"/>
      <c r="B52" s="37"/>
      <c r="C52" s="37"/>
      <c r="D52" s="37"/>
      <c r="E52" s="44"/>
      <c r="F52" s="12" t="s">
        <v>223</v>
      </c>
      <c r="G52" s="38"/>
      <c r="H52" s="31" t="s">
        <v>224</v>
      </c>
      <c r="I52" s="12" t="s">
        <v>17</v>
      </c>
      <c r="J52" s="12" t="s">
        <v>225</v>
      </c>
      <c r="K52" s="13" t="str">
        <f>IFERROR(__xludf.DUMMYFUNCTION("IF(ISBLANK(J52), ""Input test step"", ARRAYFORMULA(TEXTJOIN(CHAR(10), TRUE, (""Step ""&amp; ROW(INDIRECT(""1:"" &amp; COUNTA(SPLIT(J52, CHAR(10))))) &amp; "": "" &amp; TRANSPOSE(SPLIT(J52, CHAR(10)))))))"),"Step 1: Navigate to the home page
Step 2: Check that the products in the list are not duplicated")</f>
        <v>Step 1: Navigate to the home page
Step 2: Check that the products in the list are not duplicated</v>
      </c>
      <c r="L52" s="38"/>
      <c r="M52" s="31" t="s">
        <v>226</v>
      </c>
      <c r="N52" s="12"/>
      <c r="O52" s="12" t="s">
        <v>3</v>
      </c>
      <c r="P52" s="38"/>
    </row>
    <row r="53">
      <c r="A53" s="37"/>
      <c r="B53" s="37"/>
      <c r="C53" s="37"/>
      <c r="D53" s="37"/>
      <c r="E53" s="44"/>
      <c r="F53" s="12" t="s">
        <v>227</v>
      </c>
      <c r="G53" s="38"/>
      <c r="H53" s="31" t="s">
        <v>228</v>
      </c>
      <c r="I53" s="12" t="s">
        <v>17</v>
      </c>
      <c r="J53" s="12" t="s">
        <v>229</v>
      </c>
      <c r="K53" s="13" t="str">
        <f>IFERROR(__xludf.DUMMYFUNCTION("IF(ISBLANK(J53), ""Input test step"", ARRAYFORMULA(TEXTJOIN(CHAR(10), TRUE, (""Step ""&amp; ROW(INDIRECT(""1:"" &amp; COUNTA(SPLIT(J53, CHAR(10))))) &amp; "": "" &amp; TRANSPOSE(SPLIT(J53, CHAR(10)))))))"),"Step 1: Navigate to Home Page
Step 2: Check the system displays the Flash Sell list page when clicking ""View All""")</f>
        <v>Step 1: Navigate to Home Page
Step 2: Check the system displays the Flash Sell list page when clicking "View All"</v>
      </c>
      <c r="L53" s="38"/>
      <c r="M53" s="31" t="s">
        <v>230</v>
      </c>
      <c r="N53" s="12"/>
      <c r="O53" s="12" t="s">
        <v>3</v>
      </c>
      <c r="P53" s="38"/>
    </row>
    <row r="54">
      <c r="A54" s="37"/>
      <c r="B54" s="37"/>
      <c r="C54" s="37"/>
      <c r="D54" s="37"/>
      <c r="E54" s="44"/>
      <c r="F54" s="12" t="s">
        <v>231</v>
      </c>
      <c r="G54" s="45"/>
      <c r="H54" s="31" t="s">
        <v>232</v>
      </c>
      <c r="I54" s="12" t="s">
        <v>17</v>
      </c>
      <c r="J54" s="12" t="s">
        <v>233</v>
      </c>
      <c r="K54" s="13" t="str">
        <f>IFERROR(__xludf.DUMMYFUNCTION("IF(ISBLANK(J54), ""Input test step"", ARRAYFORMULA(TEXTJOIN(CHAR(10), TRUE, (""Step ""&amp; ROW(INDIRECT(""1:"" &amp; COUNTA(SPLIT(J54, CHAR(10))))) &amp; "": "" &amp; TRANSPOSE(SPLIT(J54, CHAR(10)))))))"),"Step 1: Navigate to home page
Step 2: Check out of stock products will be displayed out of stock label and hide available products")</f>
        <v>Step 1: Navigate to home page
Step 2: Check out of stock products will be displayed out of stock label and hide available products</v>
      </c>
      <c r="L54" s="38"/>
      <c r="M54" s="31" t="s">
        <v>234</v>
      </c>
      <c r="N54" s="12"/>
      <c r="O54" s="12" t="s">
        <v>3</v>
      </c>
      <c r="P54" s="38"/>
    </row>
    <row r="55">
      <c r="A55" s="37"/>
      <c r="B55" s="37"/>
      <c r="C55" s="37"/>
      <c r="D55" s="37"/>
      <c r="E55" s="44"/>
      <c r="F55" s="12" t="s">
        <v>235</v>
      </c>
      <c r="G55" s="31" t="s">
        <v>236</v>
      </c>
      <c r="H55" s="31" t="s">
        <v>237</v>
      </c>
      <c r="I55" s="12" t="s">
        <v>17</v>
      </c>
      <c r="J55" s="12" t="s">
        <v>238</v>
      </c>
      <c r="K55" s="13" t="str">
        <f>IFERROR(__xludf.DUMMYFUNCTION("IF(ISBLANK(J55), ""Input test step"", ARRAYFORMULA(TEXTJOIN(CHAR(10), TRUE, (""Step ""&amp; ROW(INDIRECT(""1:"" &amp; COUNTA(SPLIT(J55, CHAR(10))))) &amp; "": "" &amp; TRANSPOSE(SPLIT(J55, CHAR(10)))))))"),"Step 1: Navigate to the home page
Step 2: Click on the search area
Step 3: Enter the search keyword
Step 4: Click the search ""Button""
Step 5: Check the display of the returned list of products containing the search keyword and are in the Flash Sell "&amp;"list")</f>
        <v>Step 1: Navigate to the home page
Step 2: Click on the search area
Step 3: Enter the search keyword
Step 4: Click the search "Button"
Step 5: Check the display of the returned list of products containing the search keyword and are in the Flash Sell list</v>
      </c>
      <c r="L55" s="38"/>
      <c r="M55" s="31" t="s">
        <v>239</v>
      </c>
      <c r="N55" s="12"/>
      <c r="O55" s="12" t="s">
        <v>3</v>
      </c>
      <c r="P55" s="38"/>
    </row>
    <row r="56">
      <c r="A56" s="37"/>
      <c r="B56" s="37"/>
      <c r="C56" s="37"/>
      <c r="D56" s="37"/>
      <c r="E56" s="44"/>
      <c r="F56" s="12" t="s">
        <v>240</v>
      </c>
      <c r="G56" s="38"/>
      <c r="H56" s="31" t="s">
        <v>241</v>
      </c>
      <c r="I56" s="12" t="s">
        <v>17</v>
      </c>
      <c r="J56" s="12" t="s">
        <v>242</v>
      </c>
      <c r="K56" s="13" t="str">
        <f>IFERROR(__xludf.DUMMYFUNCTION("IF(ISBLANK(J56), ""Input test step"", ARRAYFORMULA(TEXTJOIN(CHAR(10), TRUE, (""Step ""&amp; ROW(INDIRECT(""1:"" &amp; COUNTA(SPLIT(J56, CHAR(10))))) &amp; "": "" &amp; TRANSPOSE(SPLIT(J56, CHAR(10)))))))"),"Step 1: Navigate to the home page
Step 2: Click on the search area
Step 3: Enter search keywords
Step 4: Click the search ""Button""
Step 5: Check the system displays ""No results found"" when there is no data containing the search keywords")</f>
        <v>Step 1: Navigate to the home page
Step 2: Click on the search area
Step 3: Enter search keywords
Step 4: Click the search "Button"
Step 5: Check the system displays "No results found" when there is no data containing the search keywords</v>
      </c>
      <c r="L56" s="38"/>
      <c r="M56" s="31" t="s">
        <v>243</v>
      </c>
      <c r="N56" s="12"/>
      <c r="O56" s="12" t="s">
        <v>3</v>
      </c>
      <c r="P56" s="38"/>
    </row>
    <row r="57">
      <c r="A57" s="37"/>
      <c r="B57" s="37"/>
      <c r="C57" s="37"/>
      <c r="D57" s="37"/>
      <c r="E57" s="44"/>
      <c r="F57" s="12" t="s">
        <v>244</v>
      </c>
      <c r="G57" s="38"/>
      <c r="H57" s="46" t="s">
        <v>245</v>
      </c>
      <c r="I57" s="12" t="s">
        <v>17</v>
      </c>
      <c r="J57" s="12" t="s">
        <v>246</v>
      </c>
      <c r="K57" s="13" t="str">
        <f>IFERROR(__xludf.DUMMYFUNCTION("IF(ISBLANK(J57), ""Input test step"", ARRAYFORMULA(TEXTJOIN(CHAR(10), TRUE, (""Step ""&amp; ROW(INDIRECT(""1:"" &amp; COUNTA(SPLIT(J57, CHAR(10))))) &amp; "": "" &amp; TRANSPOSE(SPLIT(J57, CHAR(10)))))))"),"Step 1: Navigate to the home page
Step 2: Click on the search area
Step 3: Enter search keywords as blanks
Step 4: Click the search ""Button""
Step 5: Check the system to keep the page status")</f>
        <v>Step 1: Navigate to the home page
Step 2: Click on the search area
Step 3: Enter search keywords as blanks
Step 4: Click the search "Button"
Step 5: Check the system to keep the page status</v>
      </c>
      <c r="L57" s="38"/>
      <c r="M57" s="31" t="s">
        <v>247</v>
      </c>
      <c r="N57" s="12"/>
      <c r="O57" s="12" t="s">
        <v>3</v>
      </c>
      <c r="P57" s="38"/>
    </row>
    <row r="58">
      <c r="A58" s="37"/>
      <c r="B58" s="37"/>
      <c r="C58" s="37"/>
      <c r="D58" s="37"/>
      <c r="E58" s="44"/>
      <c r="F58" s="12" t="s">
        <v>248</v>
      </c>
      <c r="G58" s="38"/>
      <c r="H58" s="31" t="s">
        <v>249</v>
      </c>
      <c r="I58" s="12" t="s">
        <v>17</v>
      </c>
      <c r="J58" s="12" t="s">
        <v>250</v>
      </c>
      <c r="K58" s="13" t="str">
        <f>IFERROR(__xludf.DUMMYFUNCTION("IF(ISBLANK(J58), ""Input test step"", ARRAYFORMULA(TEXTJOIN(CHAR(10), TRUE, (""Step ""&amp; ROW(INDIRECT(""1:"" &amp; COUNTA(SPLIT(J58, CHAR(10))))) &amp; "": "" &amp; TRANSPOSE(SPLIT(J58, CHAR(10)))))))"),"Step 1: Navigate to the home page
Step 2: Click on the search area
Step 3: Enter search keywords
Step 4: Click on the close icon to the right of the search box
Step 5: Check the system deletes search data when clicking on the close icon")</f>
        <v>Step 1: Navigate to the home page
Step 2: Click on the search area
Step 3: Enter search keywords
Step 4: Click on the close icon to the right of the search box
Step 5: Check the system deletes search data when clicking on the close icon</v>
      </c>
      <c r="L58" s="38"/>
      <c r="M58" s="31" t="s">
        <v>251</v>
      </c>
      <c r="N58" s="12"/>
      <c r="O58" s="12" t="s">
        <v>3</v>
      </c>
      <c r="P58" s="38"/>
    </row>
    <row r="59">
      <c r="A59" s="37"/>
      <c r="B59" s="37"/>
      <c r="C59" s="37"/>
      <c r="D59" s="37"/>
      <c r="E59" s="44"/>
      <c r="F59" s="12" t="s">
        <v>252</v>
      </c>
      <c r="G59" s="45" t="s">
        <v>253</v>
      </c>
      <c r="H59" s="31" t="s">
        <v>254</v>
      </c>
      <c r="I59" s="12" t="s">
        <v>17</v>
      </c>
      <c r="J59" s="12" t="s">
        <v>255</v>
      </c>
      <c r="K59" s="13" t="str">
        <f>IFERROR(__xludf.DUMMYFUNCTION("IF(ISBLANK(J59), ""Input test step"", ARRAYFORMULA(TEXTJOIN(CHAR(10), TRUE, (""Step ""&amp; ROW(INDIRECT(""1:"" &amp; COUNTA(SPLIT(J59, CHAR(10))))) &amp; "": "" &amp; TRANSPOSE(SPLIT(J59, CHAR(10)))))))"),"Step 1: Navigate to the home page
Step 2: Click on the search box
Step 3: Enter search keywords
Step 4: Check the system to display suggestions that match the keyword")</f>
        <v>Step 1: Navigate to the home page
Step 2: Click on the search box
Step 3: Enter search keywords
Step 4: Check the system to display suggestions that match the keyword</v>
      </c>
      <c r="L59" s="38"/>
      <c r="M59" s="31" t="s">
        <v>256</v>
      </c>
      <c r="N59" s="12"/>
      <c r="O59" s="12" t="s">
        <v>3</v>
      </c>
      <c r="P59" s="38"/>
    </row>
    <row r="60">
      <c r="A60" s="37"/>
      <c r="B60" s="37"/>
      <c r="C60" s="37"/>
      <c r="D60" s="37"/>
      <c r="E60" s="44"/>
      <c r="F60" s="12" t="s">
        <v>257</v>
      </c>
      <c r="G60" s="38"/>
      <c r="H60" s="47" t="s">
        <v>258</v>
      </c>
      <c r="I60" s="12" t="s">
        <v>17</v>
      </c>
      <c r="J60" s="12" t="s">
        <v>259</v>
      </c>
      <c r="K60" s="13" t="str">
        <f>IFERROR(__xludf.DUMMYFUNCTION("IF(ISBLANK(J60), ""Input test step"", ARRAYFORMULA(TEXTJOIN(CHAR(10), TRUE, (""Step ""&amp; ROW(INDIRECT(""1:"" &amp; COUNTA(SPLIT(J60, CHAR(10))))) &amp; "": "" &amp; TRANSPOSE(SPLIT(J60, CHAR(10)))))))"),"Step 1: Navigate to the home page
Step 2: Click on the search box
Step 3: Enter search keywords
Step 4: Check the system to display suggestions that match the keyword")</f>
        <v>Step 1: Navigate to the home page
Step 2: Click on the search box
Step 3: Enter search keywords
Step 4: Check the system to display suggestions that match the keyword</v>
      </c>
      <c r="L60" s="38"/>
      <c r="M60" s="31" t="s">
        <v>256</v>
      </c>
      <c r="N60" s="12"/>
      <c r="O60" s="12" t="s">
        <v>3</v>
      </c>
      <c r="P60" s="38"/>
    </row>
    <row r="61">
      <c r="A61" s="37"/>
      <c r="B61" s="37"/>
      <c r="C61" s="37"/>
      <c r="D61" s="37"/>
      <c r="E61" s="44"/>
      <c r="F61" s="12" t="s">
        <v>260</v>
      </c>
      <c r="G61" s="38"/>
      <c r="H61" s="31" t="s">
        <v>261</v>
      </c>
      <c r="I61" s="12" t="s">
        <v>17</v>
      </c>
      <c r="J61" s="12" t="s">
        <v>262</v>
      </c>
      <c r="K61" s="13" t="str">
        <f>IFERROR(__xludf.DUMMYFUNCTION("IF(ISBLANK(J61), ""Input test step"", ARRAYFORMULA(TEXTJOIN(CHAR(10), TRUE, (""Step ""&amp; ROW(INDIRECT(""1:"" &amp; COUNTA(SPLIT(J61, CHAR(10))))) &amp; "": "" &amp; TRANSPOSE(SPLIT(J61, CHAR(10)))))))"),"Step 1: Navigate to the home page
Step 2: Click on the search box
Step 3: Enter a search kyword
Step 4: Select a suggestion from the suggestion list
Step 5: Check the system to display the selected suggestion on the search bar")</f>
        <v>Step 1: Navigate to the home page
Step 2: Click on the search box
Step 3: Enter a search kyword
Step 4: Select a suggestion from the suggestion list
Step 5: Check the system to display the selected suggestion on the search bar</v>
      </c>
      <c r="L61" s="38"/>
      <c r="M61" s="31" t="s">
        <v>263</v>
      </c>
      <c r="N61" s="12"/>
      <c r="O61" s="12" t="s">
        <v>3</v>
      </c>
      <c r="P61" s="38"/>
    </row>
    <row r="62">
      <c r="A62" s="37"/>
      <c r="B62" s="37"/>
      <c r="C62" s="37"/>
      <c r="D62" s="37"/>
      <c r="E62" s="44"/>
      <c r="F62" s="12" t="s">
        <v>264</v>
      </c>
      <c r="G62" s="38"/>
      <c r="H62" s="31" t="s">
        <v>265</v>
      </c>
      <c r="I62" s="12" t="s">
        <v>17</v>
      </c>
      <c r="J62" s="12" t="s">
        <v>266</v>
      </c>
      <c r="K62" s="13" t="str">
        <f>IFERROR(__xludf.DUMMYFUNCTION("IF(ISBLANK(J62), ""Input test step"", ARRAYFORMULA(TEXTJOIN(CHAR(10), TRUE, (""Step ""&amp; ROW(INDIRECT(""1:"" &amp; COUNTA(SPLIT(J62, CHAR(10))))) &amp; "": "" &amp; TRANSPOSE(SPLIT(J62, CHAR(10)))))))"),"Step 1: Navigate to the Home page
Step 2: Click on the search box
Step 3: Enter search keywords
Step 4: Check for ""No results found"" when the suggestion list is empty")</f>
        <v>Step 1: Navigate to the Home page
Step 2: Click on the search box
Step 3: Enter search keywords
Step 4: Check for "No results found" when the suggestion list is empty</v>
      </c>
      <c r="L62" s="38"/>
      <c r="M62" s="31" t="s">
        <v>267</v>
      </c>
      <c r="N62" s="12"/>
      <c r="O62" s="12" t="s">
        <v>3</v>
      </c>
      <c r="P62" s="38"/>
    </row>
    <row r="63">
      <c r="A63" s="37"/>
      <c r="B63" s="37"/>
      <c r="C63" s="37"/>
      <c r="D63" s="37"/>
      <c r="E63" s="44"/>
      <c r="F63" s="12" t="s">
        <v>268</v>
      </c>
      <c r="G63" s="47"/>
      <c r="H63" s="31" t="s">
        <v>269</v>
      </c>
      <c r="I63" s="12" t="s">
        <v>270</v>
      </c>
      <c r="J63" s="12" t="s">
        <v>271</v>
      </c>
      <c r="K63" s="13" t="str">
        <f>IFERROR(__xludf.DUMMYFUNCTION("IF(ISBLANK(J63), ""Input test step"", ARRAYFORMULA(TEXTJOIN(CHAR(10), TRUE, (""Step ""&amp; ROW(INDIRECT(""1:"" &amp; COUNTA(SPLIT(J63, CHAR(10))))) &amp; "": "" &amp; TRANSPOSE(SPLIT(J63, CHAR(10)))))))"),"Step 1: Navigate to the Home page
Step 2: Click on the search box
Step 3: Enter the search keyword
Step 4: Click on the ""Search"" button
Step 5: Check the system to navigate to the ""Related Products"" page and display the keyword on the search bar")</f>
        <v>Step 1: Navigate to the Home page
Step 2: Click on the search box
Step 3: Enter the search keyword
Step 4: Click on the "Search" button
Step 5: Check the system to navigate to the "Related Products" page and display the keyword on the search bar</v>
      </c>
      <c r="L63" s="38"/>
      <c r="M63" s="31" t="s">
        <v>272</v>
      </c>
      <c r="N63" s="12"/>
      <c r="O63" s="12" t="s">
        <v>3</v>
      </c>
      <c r="P63" s="38"/>
    </row>
    <row r="64">
      <c r="A64" s="37"/>
      <c r="B64" s="37"/>
      <c r="C64" s="37"/>
      <c r="D64" s="37"/>
      <c r="E64" s="44"/>
      <c r="F64" s="12" t="s">
        <v>273</v>
      </c>
      <c r="G64" s="47" t="s">
        <v>274</v>
      </c>
      <c r="H64" s="31" t="s">
        <v>275</v>
      </c>
      <c r="I64" s="12" t="s">
        <v>270</v>
      </c>
      <c r="J64" s="12" t="s">
        <v>276</v>
      </c>
      <c r="K64" s="13" t="str">
        <f>IFERROR(__xludf.DUMMYFUNCTION("IF(ISBLANK(J64), ""Input test step"", ARRAYFORMULA(TEXTJOIN(CHAR(10), TRUE, (""Step ""&amp; ROW(INDIRECT(""1:"" &amp; COUNTA(SPLIT(J64, CHAR(10))))) &amp; "": "" &amp; TRANSPOSE(SPLIT(J64, CHAR(10)))))))"),"Step 1: Navigate to the home page
Step 2: Check that the content information of each product in the list is displayed correctly")</f>
        <v>Step 1: Navigate to the home page
Step 2: Check that the content information of each product in the list is displayed correctly</v>
      </c>
      <c r="L64" s="38"/>
      <c r="M64" s="31" t="s">
        <v>277</v>
      </c>
      <c r="N64" s="12"/>
      <c r="O64" s="12" t="s">
        <v>3</v>
      </c>
      <c r="P64" s="38"/>
    </row>
    <row r="65">
      <c r="A65" s="37"/>
      <c r="B65" s="37"/>
      <c r="C65" s="37"/>
      <c r="D65" s="37"/>
      <c r="E65" s="44"/>
      <c r="F65" s="12" t="s">
        <v>278</v>
      </c>
      <c r="G65" s="38"/>
      <c r="H65" s="31" t="s">
        <v>279</v>
      </c>
      <c r="I65" s="12" t="s">
        <v>270</v>
      </c>
      <c r="J65" s="12" t="s">
        <v>280</v>
      </c>
      <c r="K65" s="13" t="str">
        <f>IFERROR(__xludf.DUMMYFUNCTION("IF(ISBLANK(J65), ""Input test step"", ARRAYFORMULA(TEXTJOIN(CHAR(10), TRUE, (""Step ""&amp; ROW(INDIRECT(""1:"" &amp; COUNTA(SPLIT(J65, CHAR(10))))) &amp; "": "" &amp; TRANSPOSE(SPLIT(J65, CHAR(10)))))))"),"Step 1: Navigate to Home Page
Step 2: Check if ""Out of Stock"" message is displayed for out of stock products")</f>
        <v>Step 1: Navigate to Home Page
Step 2: Check if "Out of Stock" message is displayed for out of stock products</v>
      </c>
      <c r="L65" s="38"/>
      <c r="M65" s="31" t="s">
        <v>281</v>
      </c>
      <c r="N65" s="12"/>
      <c r="O65" s="12" t="s">
        <v>3</v>
      </c>
      <c r="P65" s="38"/>
    </row>
    <row r="66">
      <c r="A66" s="37"/>
      <c r="B66" s="37"/>
      <c r="C66" s="37"/>
      <c r="D66" s="37"/>
      <c r="E66" s="44"/>
      <c r="F66" s="12" t="s">
        <v>282</v>
      </c>
      <c r="G66" s="38"/>
      <c r="H66" s="31" t="s">
        <v>283</v>
      </c>
      <c r="I66" s="12" t="s">
        <v>270</v>
      </c>
      <c r="J66" s="12" t="s">
        <v>284</v>
      </c>
      <c r="K66" s="13" t="str">
        <f>IFERROR(__xludf.DUMMYFUNCTION("IF(ISBLANK(J66), ""Input test step"", ARRAYFORMULA(TEXTJOIN(CHAR(10), TRUE, (""Step ""&amp; ROW(INDIRECT(""1:"" &amp; COUNTA(SPLIT(J66, CHAR(10))))) &amp; "": "" &amp; TRANSPOSE(SPLIT(J66, CHAR(10)))))))"),"Step 1: Navigate to the Home page
Step 2: Click on a product item in the product list
Step 3: Check the system displays the product detail page and confirm that the product information is displayed correctly")</f>
        <v>Step 1: Navigate to the Home page
Step 2: Click on a product item in the product list
Step 3: Check the system displays the product detail page and confirm that the product information is displayed correctly</v>
      </c>
      <c r="L66" s="38"/>
      <c r="M66" s="31" t="s">
        <v>285</v>
      </c>
      <c r="N66" s="12"/>
      <c r="O66" s="12" t="s">
        <v>3</v>
      </c>
      <c r="P66" s="38"/>
    </row>
    <row r="67">
      <c r="A67" s="37"/>
      <c r="B67" s="37"/>
      <c r="C67" s="37"/>
      <c r="D67" s="37"/>
      <c r="E67" s="44"/>
      <c r="F67" s="12" t="s">
        <v>286</v>
      </c>
      <c r="G67" s="38"/>
      <c r="H67" s="31" t="s">
        <v>287</v>
      </c>
      <c r="I67" s="12" t="s">
        <v>270</v>
      </c>
      <c r="J67" s="12" t="s">
        <v>288</v>
      </c>
      <c r="K67" s="13" t="str">
        <f>IFERROR(__xludf.DUMMYFUNCTION("IF(ISBLANK(J67), ""Input test step"", ARRAYFORMULA(TEXTJOIN(CHAR(10), TRUE, (""Step ""&amp; ROW(INDIRECT(""1:"" &amp; COUNTA(SPLIT(J67, CHAR(10))))) &amp; "": "" &amp; TRANSPOSE(SPLIT(J67, CHAR(10)))))))"),"Step 1: Navigate to the home page
Step 2: Click on the cart icon on a product item
Step 3: Check the ""Add to Cart"" dialog box")</f>
        <v>Step 1: Navigate to the home page
Step 2: Click on the cart icon on a product item
Step 3: Check the "Add to Cart" dialog box</v>
      </c>
      <c r="L67" s="38"/>
      <c r="M67" s="31" t="s">
        <v>289</v>
      </c>
      <c r="N67" s="12"/>
      <c r="O67" s="12" t="s">
        <v>3</v>
      </c>
      <c r="P67" s="38"/>
    </row>
    <row r="68">
      <c r="A68" s="37"/>
      <c r="B68" s="37"/>
      <c r="C68" s="37"/>
      <c r="D68" s="37"/>
      <c r="E68" s="44"/>
      <c r="F68" s="12" t="s">
        <v>290</v>
      </c>
      <c r="G68" s="38"/>
      <c r="H68" s="31" t="s">
        <v>291</v>
      </c>
      <c r="I68" s="12" t="s">
        <v>270</v>
      </c>
      <c r="J68" s="12" t="s">
        <v>292</v>
      </c>
      <c r="K68" s="13" t="str">
        <f>IFERROR(__xludf.DUMMYFUNCTION("IF(ISBLANK(J68), ""Input test step"", ARRAYFORMULA(TEXTJOIN(CHAR(10), TRUE, (""Step ""&amp; ROW(INDIRECT(""1:"" &amp; COUNTA(SPLIT(J68, CHAR(10))))) &amp; "": "" &amp; TRANSPOSE(SPLIT(J68, CHAR(10)))))))"),"Step 1: Navigate to the home page
Step 2: Click on the cart icon on a product item
Step 3: Check that the product information is displayed completely and accurately and that the total is displayed correctly on the ""Add to Cart"" dialog")</f>
        <v>Step 1: Navigate to the home page
Step 2: Click on the cart icon on a product item
Step 3: Check that the product information is displayed completely and accurately and that the total is displayed correctly on the "Add to Cart" dialog</v>
      </c>
      <c r="L68" s="38"/>
      <c r="M68" s="31" t="s">
        <v>293</v>
      </c>
      <c r="N68" s="12"/>
      <c r="O68" s="12" t="s">
        <v>3</v>
      </c>
      <c r="P68" s="38"/>
    </row>
    <row r="69">
      <c r="A69" s="37"/>
      <c r="B69" s="37"/>
      <c r="C69" s="37"/>
      <c r="D69" s="37"/>
      <c r="E69" s="44"/>
      <c r="F69" s="12" t="s">
        <v>294</v>
      </c>
      <c r="G69" s="38"/>
      <c r="H69" s="31" t="s">
        <v>295</v>
      </c>
      <c r="I69" s="12" t="s">
        <v>270</v>
      </c>
      <c r="J69" s="12" t="s">
        <v>296</v>
      </c>
      <c r="K69" s="13" t="str">
        <f>IFERROR(__xludf.DUMMYFUNCTION("IF(ISBLANK(J69), ""Input test step"", ARRAYFORMULA(TEXTJOIN(CHAR(10), TRUE, (""Step ""&amp; ROW(INDIRECT(""1:"" &amp; COUNTA(SPLIT(J69, CHAR(10))))) &amp; "": "" &amp; TRANSPOSE(SPLIT(J69, CHAR(10)))))))"),"Step 1: Navigate to the home page
Step 2: Click on the cart icon on a product item
Step 3: Click the ""Add to Cart"" button
Step 4: Check to display the ""Add Successful"" message when the user clicks the ""Add to Cart"" button")</f>
        <v>Step 1: Navigate to the home page
Step 2: Click on the cart icon on a product item
Step 3: Click the "Add to Cart" button
Step 4: Check to display the "Add Successful" message when the user clicks the "Add to Cart" button</v>
      </c>
      <c r="L69" s="38"/>
      <c r="M69" s="31" t="s">
        <v>297</v>
      </c>
      <c r="N69" s="12"/>
      <c r="O69" s="12" t="s">
        <v>3</v>
      </c>
      <c r="P69" s="38"/>
    </row>
    <row r="70">
      <c r="A70" s="37"/>
      <c r="B70" s="37"/>
      <c r="C70" s="37"/>
      <c r="D70" s="37"/>
      <c r="E70" s="44"/>
      <c r="F70" s="12" t="s">
        <v>298</v>
      </c>
      <c r="G70" s="38"/>
      <c r="H70" s="31" t="s">
        <v>299</v>
      </c>
      <c r="I70" s="12" t="s">
        <v>270</v>
      </c>
      <c r="J70" s="12" t="s">
        <v>300</v>
      </c>
      <c r="K70" s="13" t="str">
        <f>IFERROR(__xludf.DUMMYFUNCTION("IF(ISBLANK(J70), ""Input test step"", ARRAYFORMULA(TEXTJOIN(CHAR(10), TRUE, (""Step ""&amp; ROW(INDIRECT(""1:"" &amp; COUNTA(SPLIT(J70, CHAR(10))))) &amp; "": "" &amp; TRANSPOSE(SPLIT(J70, CHAR(10)))))))"),"Step 1: Navigate to the home page
Step 2: Click on the cart icon on a product item
Step 3: Click the (-) button in the ""Add to Cart"" dialog box
Step 4: Check the quantity to reduce")</f>
        <v>Step 1: Navigate to the home page
Step 2: Click on the cart icon on a product item
Step 3: Click the (-) button in the "Add to Cart" dialog box
Step 4: Check the quantity to reduce</v>
      </c>
      <c r="L70" s="38"/>
      <c r="M70" s="31" t="s">
        <v>301</v>
      </c>
      <c r="N70" s="12"/>
      <c r="O70" s="12" t="s">
        <v>3</v>
      </c>
      <c r="P70" s="38"/>
    </row>
    <row r="71">
      <c r="A71" s="37"/>
      <c r="B71" s="37"/>
      <c r="C71" s="37"/>
      <c r="D71" s="37"/>
      <c r="E71" s="44"/>
      <c r="F71" s="12" t="s">
        <v>302</v>
      </c>
      <c r="G71" s="38"/>
      <c r="H71" s="31" t="s">
        <v>303</v>
      </c>
      <c r="I71" s="12" t="s">
        <v>270</v>
      </c>
      <c r="J71" s="12" t="s">
        <v>304</v>
      </c>
      <c r="K71" s="13" t="str">
        <f>IFERROR(__xludf.DUMMYFUNCTION("IF(ISBLANK(J71), ""Input test step"", ARRAYFORMULA(TEXTJOIN(CHAR(10), TRUE, (""Step ""&amp; ROW(INDIRECT(""1:"" &amp; COUNTA(SPLIT(J71, CHAR(10))))) &amp; "": "" &amp; TRANSPOSE(SPLIT(J71, CHAR(10)))))))"),"Step 1: Navigate to the home page
Step 2: Click the cart icon on a product item
Step 3: Click the (+) button in the ""Add to cart"" dialog
Step 4: Check quantity increase")</f>
        <v>Step 1: Navigate to the home page
Step 2: Click the cart icon on a product item
Step 3: Click the (+) button in the "Add to cart" dialog
Step 4: Check quantity increase</v>
      </c>
      <c r="L71" s="38"/>
      <c r="M71" s="31" t="s">
        <v>305</v>
      </c>
      <c r="N71" s="12"/>
      <c r="O71" s="12" t="s">
        <v>3</v>
      </c>
      <c r="P71" s="38"/>
    </row>
    <row r="72">
      <c r="A72" s="37"/>
      <c r="B72" s="37"/>
      <c r="C72" s="37"/>
      <c r="D72" s="37"/>
      <c r="E72" s="44"/>
      <c r="F72" s="12" t="s">
        <v>306</v>
      </c>
      <c r="G72" s="38"/>
      <c r="H72" s="31" t="s">
        <v>307</v>
      </c>
      <c r="I72" s="12" t="s">
        <v>270</v>
      </c>
      <c r="J72" s="12" t="s">
        <v>308</v>
      </c>
      <c r="K72" s="13" t="str">
        <f>IFERROR(__xludf.DUMMYFUNCTION("IF(ISBLANK(J72), ""Input test step"", ARRAYFORMULA(TEXTJOIN(CHAR(10), TRUE, (""Step ""&amp; ROW(INDIRECT(""1:"" &amp; COUNTA(SPLIT(J72, CHAR(10))))) &amp; "": "" &amp; TRANSPOSE(SPLIT(J72, CHAR(10)))))))"),"Step 1: Navigate to the Home page
Step 2: Click on the cart icon on a product item
Step 3: Enter negative product quantity or special characters on the dialog box
Step 4: Check the system does not allow users to enter negative product quantity or speci"&amp;"al characters")</f>
        <v>Step 1: Navigate to the Home page
Step 2: Click on the cart icon on a product item
Step 3: Enter negative product quantity or special characters on the dialog box
Step 4: Check the system does not allow users to enter negative product quantity or special characters</v>
      </c>
      <c r="L72" s="38"/>
      <c r="M72" s="31" t="s">
        <v>309</v>
      </c>
      <c r="N72" s="12"/>
      <c r="O72" s="12" t="s">
        <v>3</v>
      </c>
      <c r="P72" s="38"/>
    </row>
    <row r="73">
      <c r="A73" s="37"/>
      <c r="B73" s="37"/>
      <c r="C73" s="37"/>
      <c r="D73" s="37"/>
      <c r="E73" s="44"/>
      <c r="F73" s="12" t="s">
        <v>310</v>
      </c>
      <c r="G73" s="38"/>
      <c r="H73" s="31" t="s">
        <v>311</v>
      </c>
      <c r="I73" s="12" t="s">
        <v>270</v>
      </c>
      <c r="J73" s="12" t="s">
        <v>312</v>
      </c>
      <c r="K73" s="13" t="str">
        <f>IFERROR(__xludf.DUMMYFUNCTION("IF(ISBLANK(J73), ""Input test step"", ARRAYFORMULA(TEXTJOIN(CHAR(10), TRUE, (""Step ""&amp; ROW(INDIRECT(""1:"" &amp; COUNTA(SPLIT(J73, CHAR(10))))) &amp; "": "" &amp; TRANSPOSE(SPLIT(J73, CHAR(10)))))))"),"Step 1: Navigate to the home page
Step 2: Click on the cart icon on a product item
Step 3: Enter the product quantity
Step 4: Check the system displays the message ""Exceeded stock quantity""")</f>
        <v>Step 1: Navigate to the home page
Step 2: Click on the cart icon on a product item
Step 3: Enter the product quantity
Step 4: Check the system displays the message "Exceeded stock quantity"</v>
      </c>
      <c r="L73" s="38"/>
      <c r="M73" s="31" t="s">
        <v>313</v>
      </c>
      <c r="N73" s="12"/>
      <c r="O73" s="12" t="s">
        <v>3</v>
      </c>
      <c r="P73" s="38"/>
    </row>
    <row r="74">
      <c r="A74" s="37"/>
      <c r="B74" s="37"/>
      <c r="C74" s="37"/>
      <c r="D74" s="37"/>
      <c r="E74" s="44"/>
      <c r="F74" s="12" t="s">
        <v>314</v>
      </c>
      <c r="G74" s="38"/>
      <c r="H74" s="31" t="s">
        <v>315</v>
      </c>
      <c r="I74" s="12" t="s">
        <v>270</v>
      </c>
      <c r="J74" s="12" t="s">
        <v>316</v>
      </c>
      <c r="K74" s="13" t="str">
        <f>IFERROR(__xludf.DUMMYFUNCTION("IF(ISBLANK(J74), ""Input test step"", ARRAYFORMULA(TEXTJOIN(CHAR(10), TRUE, (""Step ""&amp; ROW(INDIRECT(""1:"" &amp; COUNTA(SPLIT(J74, CHAR(10))))) &amp; "": "" &amp; TRANSPOSE(SPLIT(J74, CHAR(10)))))))"),"Step 1: Navigate to the home page
Step 2: Click on the cart icon on a product item
Step 3: Click the (-) button
Step 4: Check the system displays the number of users who can buy is at least 1")</f>
        <v>Step 1: Navigate to the home page
Step 2: Click on the cart icon on a product item
Step 3: Click the (-) button
Step 4: Check the system displays the number of users who can buy is at least 1</v>
      </c>
      <c r="L74" s="38"/>
      <c r="M74" s="31" t="s">
        <v>313</v>
      </c>
      <c r="N74" s="12"/>
      <c r="O74" s="12" t="s">
        <v>3</v>
      </c>
      <c r="P74" s="38"/>
    </row>
    <row r="75">
      <c r="A75" s="37"/>
      <c r="B75" s="37"/>
      <c r="C75" s="37"/>
      <c r="D75" s="37"/>
      <c r="E75" s="44"/>
      <c r="F75" s="12" t="s">
        <v>317</v>
      </c>
      <c r="G75" s="38"/>
      <c r="H75" s="31" t="s">
        <v>318</v>
      </c>
      <c r="I75" s="12" t="s">
        <v>270</v>
      </c>
      <c r="J75" s="12" t="s">
        <v>319</v>
      </c>
      <c r="K75" s="13" t="str">
        <f>IFERROR(__xludf.DUMMYFUNCTION("IF(ISBLANK(J75), ""Input test step"", ARRAYFORMULA(TEXTJOIN(CHAR(10), TRUE, (""Step ""&amp; ROW(INDIRECT(""1:"" &amp; COUNTA(SPLIT(J75, CHAR(10))))) &amp; "": "" &amp; TRANSPOSE(SPLIT(J75, CHAR(10)))))))"),"Step 1: Navigate to the home page
Step 2: Click on the cart icon on a product item
Step 3: Press the (+) button until the product quantity exceeds the inventory quantity
Step 4: Check the system displays the message ""Exceeded Inventory Quantity""")</f>
        <v>Step 1: Navigate to the home page
Step 2: Click on the cart icon on a product item
Step 3: Press the (+) button until the product quantity exceeds the inventory quantity
Step 4: Check the system displays the message "Exceeded Inventory Quantity"</v>
      </c>
      <c r="L75" s="38"/>
      <c r="M75" s="31" t="s">
        <v>313</v>
      </c>
      <c r="N75" s="12"/>
      <c r="O75" s="12" t="s">
        <v>3</v>
      </c>
      <c r="P75" s="38"/>
    </row>
    <row r="76">
      <c r="A76" s="37"/>
      <c r="B76" s="37"/>
      <c r="C76" s="37"/>
      <c r="D76" s="37"/>
      <c r="E76" s="44"/>
      <c r="F76" s="12" t="s">
        <v>320</v>
      </c>
      <c r="G76" s="38"/>
      <c r="H76" s="31" t="s">
        <v>321</v>
      </c>
      <c r="I76" s="12" t="s">
        <v>270</v>
      </c>
      <c r="J76" s="12" t="s">
        <v>322</v>
      </c>
      <c r="K76" s="13" t="str">
        <f>IFERROR(__xludf.DUMMYFUNCTION("IF(ISBLANK(J76), ""Input test step"", ARRAYFORMULA(TEXTJOIN(CHAR(10), TRUE, (""Step ""&amp; ROW(INDIRECT(""1:"" &amp; COUNTA(SPLIT(J76, CHAR(10))))) &amp; "": "" &amp; TRANSPOSE(SPLIT(J76, CHAR(10)))))))"),"Step 1: Navigate to the Home page
Step 2: Click on the cart icon on a product item
Step 3: Enter quantity as 0
Step 4: Check the system displays the default product quantity as 1")</f>
        <v>Step 1: Navigate to the Home page
Step 2: Click on the cart icon on a product item
Step 3: Enter quantity as 0
Step 4: Check the system displays the default product quantity as 1</v>
      </c>
      <c r="L76" s="38"/>
      <c r="M76" s="31" t="s">
        <v>323</v>
      </c>
      <c r="N76" s="12"/>
      <c r="O76" s="12" t="s">
        <v>3</v>
      </c>
      <c r="P76" s="38"/>
    </row>
    <row r="77">
      <c r="A77" s="37"/>
      <c r="B77" s="37"/>
      <c r="C77" s="37"/>
      <c r="D77" s="37"/>
      <c r="E77" s="44"/>
      <c r="F77" s="12" t="s">
        <v>324</v>
      </c>
      <c r="G77" s="38"/>
      <c r="H77" s="31" t="s">
        <v>325</v>
      </c>
      <c r="I77" s="12" t="s">
        <v>270</v>
      </c>
      <c r="J77" s="12" t="s">
        <v>326</v>
      </c>
      <c r="K77" s="13" t="str">
        <f>IFERROR(__xludf.DUMMYFUNCTION("IF(ISBLANK(J77), ""Input test step"", ARRAYFORMULA(TEXTJOIN(CHAR(10), TRUE, (""Step ""&amp; ROW(INDIRECT(""1:"" &amp; COUNTA(SPLIT(J77, CHAR(10))))) &amp; "": "" &amp; TRANSPOSE(SPLIT(J77, CHAR(10)))))))"),"Step 1: Navigate to the Home page
Step 2: Click on the favorite icon on a product item
Step 3: Check for the ""Added to favorites"" notification")</f>
        <v>Step 1: Navigate to the Home page
Step 2: Click on the favorite icon on a product item
Step 3: Check for the "Added to favorites" notification</v>
      </c>
      <c r="L77" s="38"/>
      <c r="M77" s="31" t="s">
        <v>327</v>
      </c>
      <c r="N77" s="12"/>
      <c r="O77" s="12" t="s">
        <v>3</v>
      </c>
      <c r="P77" s="38"/>
    </row>
    <row r="78">
      <c r="A78" s="37"/>
      <c r="B78" s="37"/>
      <c r="C78" s="37"/>
      <c r="D78" s="37"/>
      <c r="E78" s="44"/>
      <c r="F78" s="12" t="s">
        <v>328</v>
      </c>
      <c r="G78" s="38"/>
      <c r="H78" s="31" t="s">
        <v>329</v>
      </c>
      <c r="I78" s="12" t="s">
        <v>270</v>
      </c>
      <c r="J78" s="12" t="s">
        <v>330</v>
      </c>
      <c r="K78" s="13" t="str">
        <f>IFERROR(__xludf.DUMMYFUNCTION("IF(ISBLANK(J78), ""Input test step"", ARRAYFORMULA(TEXTJOIN(CHAR(10), TRUE, (""Step ""&amp; ROW(INDIRECT(""1:"" &amp; COUNTA(SPLIT(J78, CHAR(10))))) &amp; "": "" &amp; TRANSPOSE(SPLIT(J78, CHAR(10)))))))"),"Step 1: Navigate to the Home page
Step 2: Click on the favorite icon on a product item
Step 3: Click again on the favorite icon 
Step 4: Product successfully removed from the favorite list")</f>
        <v>Step 1: Navigate to the Home page
Step 2: Click on the favorite icon on a product item
Step 3: Click again on the favorite icon 
Step 4: Product successfully removed from the favorite list</v>
      </c>
      <c r="L78" s="38"/>
      <c r="M78" s="31" t="s">
        <v>331</v>
      </c>
      <c r="N78" s="12"/>
      <c r="O78" s="12" t="s">
        <v>3</v>
      </c>
      <c r="P78" s="38"/>
    </row>
    <row r="79">
      <c r="A79" s="37"/>
      <c r="B79" s="37"/>
      <c r="C79" s="37"/>
      <c r="D79" s="37"/>
      <c r="E79" s="44"/>
      <c r="F79" s="12" t="s">
        <v>332</v>
      </c>
      <c r="G79" s="38"/>
      <c r="H79" s="31" t="s">
        <v>333</v>
      </c>
      <c r="I79" s="12" t="s">
        <v>270</v>
      </c>
      <c r="J79" s="12" t="s">
        <v>334</v>
      </c>
      <c r="K79" s="13" t="str">
        <f>IFERROR(__xludf.DUMMYFUNCTION("IF(ISBLANK(J79), ""Input test step"", ARRAYFORMULA(TEXTJOIN(CHAR(10), TRUE, (""Step ""&amp; ROW(INDIRECT(""1:"" &amp; COUNTA(SPLIT(J79, CHAR(10))))) &amp; "": "" &amp; TRANSPOSE(SPLIT(J79, CHAR(10)))))))"),"Step 1: Navigate to the home page
Step 2: Select a product and check the available quantity
Step 3: Click on the ""Buy Now"" button
Step 4: Click on ""Proceed to Order""
Step 5: Click on the ""Payment"" button
Step 6: Click on the ""Home"" button und"&amp;"er the menu bar to return to the home page
Step 7: Find and check if the available quantity of the selected product is updated")</f>
        <v>Step 1: Navigate to the home page
Step 2: Select a product and check the available quantity
Step 3: Click on the "Buy Now" button
Step 4: Click on "Proceed to Order"
Step 5: Click on the "Payment" button
Step 6: Click on the "Home" button under the menu bar to return to the home page
Step 7: Find and check if the available quantity of the selected product is updated</v>
      </c>
      <c r="L79" s="38"/>
      <c r="M79" s="31" t="s">
        <v>335</v>
      </c>
      <c r="N79" s="12"/>
      <c r="O79" s="12" t="s">
        <v>3</v>
      </c>
      <c r="P79" s="38"/>
    </row>
    <row r="80">
      <c r="A80" s="37"/>
      <c r="B80" s="37"/>
      <c r="C80" s="37"/>
      <c r="D80" s="37"/>
      <c r="E80" s="44"/>
      <c r="F80" s="12" t="s">
        <v>336</v>
      </c>
      <c r="G80" s="31" t="s">
        <v>337</v>
      </c>
      <c r="H80" s="31" t="s">
        <v>338</v>
      </c>
      <c r="I80" s="12" t="s">
        <v>270</v>
      </c>
      <c r="J80" s="31" t="s">
        <v>339</v>
      </c>
      <c r="K80" s="13" t="str">
        <f>IFERROR(__xludf.DUMMYFUNCTION("IF(ISBLANK(J80), ""Input test step"", ARRAYFORMULA(TEXTJOIN(CHAR(10), TRUE, (""Step ""&amp; ROW(INDIRECT(""1:"" &amp; COUNTA(SPLIT(J80, CHAR(10))))) &amp; "": "" &amp; TRANSPOSE(SPLIT(J80, CHAR(10)))))))"),"Step 1: Navigate to Home Page
Step 2: Click on ""Home"" in the bottom menu bar
Step 3: Check and confirm that the system navigates to the ""Home"" page")</f>
        <v>Step 1: Navigate to Home Page
Step 2: Click on "Home" in the bottom menu bar
Step 3: Check and confirm that the system navigates to the "Home" page</v>
      </c>
      <c r="L80" s="38"/>
      <c r="M80" s="31" t="s">
        <v>340</v>
      </c>
      <c r="N80" s="12"/>
      <c r="O80" s="12" t="s">
        <v>3</v>
      </c>
      <c r="P80" s="38"/>
    </row>
    <row r="81">
      <c r="A81" s="37"/>
      <c r="B81" s="37"/>
      <c r="C81" s="37"/>
      <c r="D81" s="37"/>
      <c r="E81" s="44"/>
      <c r="F81" s="12" t="s">
        <v>341</v>
      </c>
      <c r="G81" s="38"/>
      <c r="H81" s="31" t="s">
        <v>342</v>
      </c>
      <c r="I81" s="12" t="s">
        <v>270</v>
      </c>
      <c r="J81" s="31" t="s">
        <v>343</v>
      </c>
      <c r="K81" s="13" t="str">
        <f>IFERROR(__xludf.DUMMYFUNCTION("IF(ISBLANK(J81), ""Input test step"", ARRAYFORMULA(TEXTJOIN(CHAR(10), TRUE, (""Step ""&amp; ROW(INDIRECT(""1:"" &amp; COUNTA(SPLIT(J81, CHAR(10))))) &amp; "": "" &amp; TRANSPOSE(SPLIT(J81, CHAR(10)))))))"),"Step 1: Navigate to the Home Page
Step 2: Click on the ""Home"" item in the bottom menu bar
Step 3: Check and confirm that the system navigates to the ""Category"" page")</f>
        <v>Step 1: Navigate to the Home Page
Step 2: Click on the "Home" item in the bottom menu bar
Step 3: Check and confirm that the system navigates to the "Category" page</v>
      </c>
      <c r="L81" s="38"/>
      <c r="M81" s="31" t="s">
        <v>344</v>
      </c>
      <c r="N81" s="12"/>
      <c r="O81" s="12" t="s">
        <v>3</v>
      </c>
      <c r="P81" s="38"/>
    </row>
    <row r="82">
      <c r="A82" s="37"/>
      <c r="B82" s="37"/>
      <c r="C82" s="37"/>
      <c r="D82" s="37"/>
      <c r="E82" s="44"/>
      <c r="F82" s="12" t="s">
        <v>345</v>
      </c>
      <c r="G82" s="38"/>
      <c r="H82" s="31" t="s">
        <v>346</v>
      </c>
      <c r="I82" s="12" t="s">
        <v>270</v>
      </c>
      <c r="J82" s="31" t="s">
        <v>347</v>
      </c>
      <c r="K82" s="13" t="str">
        <f>IFERROR(__xludf.DUMMYFUNCTION("IF(ISBLANK(J82), ""Input test step"", ARRAYFORMULA(TEXTJOIN(CHAR(10), TRUE, (""Step ""&amp; ROW(INDIRECT(""1:"" &amp; COUNTA(SPLIT(J82, CHAR(10))))) &amp; "": "" &amp; TRANSPOSE(SPLIT(J82, CHAR(10)))))))"),"Step 1: ""Navigate to Home Page
Step 2: Click on ""Home Page"" in the bottom menu bar
Step 3: Check and confirm that the system navigates to the ""Promotions"" page")</f>
        <v>Step 1: "Navigate to Home Page
Step 2: Click on "Home Page" in the bottom menu bar
Step 3: Check and confirm that the system navigates to the "Promotions" page</v>
      </c>
      <c r="L82" s="38"/>
      <c r="M82" s="31" t="s">
        <v>348</v>
      </c>
      <c r="N82" s="12"/>
      <c r="O82" s="12" t="s">
        <v>3</v>
      </c>
      <c r="P82" s="38"/>
    </row>
    <row r="83">
      <c r="A83" s="37"/>
      <c r="B83" s="37"/>
      <c r="C83" s="37"/>
      <c r="D83" s="37"/>
      <c r="E83" s="44"/>
      <c r="F83" s="12" t="s">
        <v>349</v>
      </c>
      <c r="G83" s="38"/>
      <c r="H83" s="31" t="s">
        <v>350</v>
      </c>
      <c r="I83" s="12" t="s">
        <v>270</v>
      </c>
      <c r="J83" s="31" t="s">
        <v>351</v>
      </c>
      <c r="K83" s="13" t="str">
        <f>IFERROR(__xludf.DUMMYFUNCTION("IF(ISBLANK(J83), ""Input test step"", ARRAYFORMULA(TEXTJOIN(CHAR(10), TRUE, (""Step ""&amp; ROW(INDIRECT(""1:"" &amp; COUNTA(SPLIT(J83, CHAR(10))))) &amp; "": "" &amp; TRANSPOSE(SPLIT(J83, CHAR(10)))))))"),"Step 1: Điều hướng đến trang chủ
Step 2: Quan sát và quan sát số lượng khuyến mãi đang có nhưnng chưa dùng")</f>
        <v>Step 1: Điều hướng đến trang chủ
Step 2: Quan sát và quan sát số lượng khuyến mãi đang có nhưnng chưa dùng</v>
      </c>
      <c r="L83" s="38"/>
      <c r="M83" s="31" t="s">
        <v>352</v>
      </c>
      <c r="N83" s="12"/>
      <c r="O83" s="12" t="s">
        <v>3</v>
      </c>
      <c r="P83" s="38"/>
    </row>
    <row r="84">
      <c r="A84" s="37"/>
      <c r="B84" s="37"/>
      <c r="C84" s="37"/>
      <c r="D84" s="37"/>
      <c r="E84" s="44"/>
      <c r="F84" s="12" t="s">
        <v>353</v>
      </c>
      <c r="G84" s="38"/>
      <c r="H84" s="31" t="s">
        <v>354</v>
      </c>
      <c r="I84" s="12" t="s">
        <v>270</v>
      </c>
      <c r="J84" s="31" t="s">
        <v>355</v>
      </c>
      <c r="K84" s="13" t="str">
        <f>IFERROR(__xludf.DUMMYFUNCTION("IF(ISBLANK(J84), ""Input test step"", ARRAYFORMULA(TEXTJOIN(CHAR(10), TRUE, (""Step ""&amp; ROW(INDIRECT(""1:"" &amp; COUNTA(SPLIT(J84, CHAR(10))))) &amp; "": "" &amp; TRANSPOSE(SPLIT(J84, CHAR(10)))))))"),"Step 1: ""Navigate to Home Page
Step 2: Click on ""Home"" in the bottom menu bar
Step 3: Check and confirm that the system navigates to the ""Account"" page")</f>
        <v>Step 1: "Navigate to Home Page
Step 2: Click on "Home" in the bottom menu bar
Step 3: Check and confirm that the system navigates to the "Account" page</v>
      </c>
      <c r="L84" s="38"/>
      <c r="M84" s="31" t="s">
        <v>356</v>
      </c>
      <c r="N84" s="12"/>
      <c r="O84" s="12" t="s">
        <v>3</v>
      </c>
      <c r="P84" s="38"/>
    </row>
    <row r="85">
      <c r="A85" s="37"/>
      <c r="B85" s="37"/>
      <c r="C85" s="37"/>
      <c r="D85" s="37"/>
      <c r="E85" s="44"/>
      <c r="F85" s="12" t="s">
        <v>357</v>
      </c>
      <c r="G85" s="38"/>
      <c r="H85" s="31" t="s">
        <v>358</v>
      </c>
      <c r="I85" s="12" t="s">
        <v>270</v>
      </c>
      <c r="J85" s="31" t="s">
        <v>359</v>
      </c>
      <c r="K85" s="13" t="str">
        <f>IFERROR(__xludf.DUMMYFUNCTION("IF(ISBLANK(J85), ""Input test step"", ARRAYFORMULA(TEXTJOIN(CHAR(10), TRUE, (""Step ""&amp; ROW(INDIRECT(""1:"" &amp; COUNTA(SPLIT(J85, CHAR(10))))) &amp; "": "" &amp; TRANSPOSE(SPLIT(J85, CHAR(10)))))))"),"Step 1: Navigate to the home page
Step 2: Click on the shopping cart icon below the menu bar
Step 3: Check and confirm that the system navigates to the ""Shopping Cart"" page")</f>
        <v>Step 1: Navigate to the home page
Step 2: Click on the shopping cart icon below the menu bar
Step 3: Check and confirm that the system navigates to the "Shopping Cart" page</v>
      </c>
      <c r="L85" s="38"/>
      <c r="M85" s="31" t="s">
        <v>360</v>
      </c>
      <c r="N85" s="12"/>
      <c r="O85" s="12" t="s">
        <v>3</v>
      </c>
      <c r="P85" s="38"/>
    </row>
    <row r="86">
      <c r="A86" s="37"/>
      <c r="B86" s="37"/>
      <c r="C86" s="37"/>
      <c r="D86" s="37"/>
      <c r="E86" s="37"/>
      <c r="K86" s="48"/>
    </row>
    <row r="87">
      <c r="A87" s="37"/>
      <c r="B87" s="37"/>
      <c r="C87" s="37"/>
      <c r="D87" s="37"/>
      <c r="E87" s="37"/>
      <c r="K87" s="48"/>
    </row>
    <row r="88">
      <c r="A88" s="37"/>
      <c r="B88" s="37"/>
      <c r="C88" s="37"/>
      <c r="D88" s="37"/>
      <c r="E88" s="37"/>
      <c r="K88" s="48"/>
    </row>
    <row r="89">
      <c r="A89" s="37"/>
      <c r="B89" s="37"/>
      <c r="C89" s="37"/>
      <c r="D89" s="37"/>
      <c r="E89" s="37"/>
      <c r="K89" s="48"/>
    </row>
    <row r="90">
      <c r="A90" s="37"/>
      <c r="B90" s="37"/>
      <c r="C90" s="37"/>
      <c r="D90" s="37"/>
      <c r="E90" s="37"/>
      <c r="K90" s="48"/>
    </row>
    <row r="91">
      <c r="A91" s="37"/>
      <c r="B91" s="37"/>
      <c r="C91" s="37"/>
      <c r="D91" s="37"/>
      <c r="E91" s="37"/>
      <c r="K91" s="48"/>
    </row>
    <row r="92">
      <c r="A92" s="37"/>
      <c r="B92" s="37"/>
      <c r="C92" s="37"/>
      <c r="D92" s="37"/>
      <c r="E92" s="37"/>
      <c r="K92" s="48"/>
    </row>
    <row r="93">
      <c r="A93" s="37"/>
      <c r="B93" s="37"/>
      <c r="C93" s="37"/>
      <c r="D93" s="37"/>
      <c r="E93" s="37"/>
      <c r="K93" s="48"/>
    </row>
    <row r="94">
      <c r="A94" s="37"/>
      <c r="B94" s="37"/>
      <c r="C94" s="37"/>
      <c r="D94" s="37"/>
      <c r="E94" s="37"/>
      <c r="K94" s="48"/>
    </row>
    <row r="95">
      <c r="A95" s="37"/>
      <c r="B95" s="37"/>
      <c r="C95" s="37"/>
      <c r="D95" s="37"/>
      <c r="E95" s="37"/>
      <c r="K95" s="48"/>
    </row>
    <row r="96">
      <c r="A96" s="37"/>
      <c r="B96" s="37"/>
      <c r="C96" s="37"/>
      <c r="D96" s="37"/>
      <c r="E96" s="37"/>
      <c r="K96" s="48"/>
    </row>
    <row r="97">
      <c r="A97" s="37"/>
      <c r="B97" s="37"/>
      <c r="C97" s="37"/>
      <c r="D97" s="37"/>
      <c r="E97" s="37"/>
      <c r="K97" s="48"/>
    </row>
    <row r="98">
      <c r="A98" s="37"/>
      <c r="B98" s="37"/>
      <c r="C98" s="37"/>
      <c r="D98" s="37"/>
      <c r="E98" s="37"/>
      <c r="K98" s="48"/>
    </row>
    <row r="99">
      <c r="A99" s="37"/>
      <c r="B99" s="37"/>
      <c r="C99" s="37"/>
      <c r="D99" s="37"/>
      <c r="E99" s="37"/>
      <c r="K99" s="48"/>
    </row>
    <row r="100">
      <c r="A100" s="37"/>
      <c r="B100" s="37"/>
      <c r="C100" s="37"/>
      <c r="D100" s="37"/>
      <c r="E100" s="37"/>
      <c r="K100" s="48"/>
    </row>
    <row r="101">
      <c r="A101" s="37"/>
      <c r="B101" s="37"/>
      <c r="C101" s="37"/>
      <c r="D101" s="37"/>
      <c r="E101" s="37"/>
      <c r="K101" s="48"/>
    </row>
    <row r="102">
      <c r="A102" s="37"/>
      <c r="B102" s="37"/>
      <c r="C102" s="37"/>
      <c r="D102" s="37"/>
      <c r="E102" s="37"/>
      <c r="K102" s="48"/>
    </row>
    <row r="103">
      <c r="A103" s="37"/>
      <c r="B103" s="37"/>
      <c r="C103" s="37"/>
      <c r="D103" s="37"/>
      <c r="E103" s="37"/>
      <c r="K103" s="48"/>
    </row>
    <row r="104">
      <c r="A104" s="37"/>
      <c r="B104" s="37"/>
      <c r="C104" s="37"/>
      <c r="D104" s="37"/>
      <c r="E104" s="37"/>
      <c r="K104" s="48"/>
    </row>
    <row r="105">
      <c r="A105" s="37"/>
      <c r="B105" s="37"/>
      <c r="C105" s="37"/>
      <c r="D105" s="37"/>
      <c r="E105" s="37"/>
      <c r="K105" s="48"/>
    </row>
    <row r="106">
      <c r="A106" s="37"/>
      <c r="B106" s="37"/>
      <c r="C106" s="37"/>
      <c r="D106" s="37"/>
      <c r="E106" s="37"/>
      <c r="K106" s="48"/>
    </row>
    <row r="107">
      <c r="A107" s="37"/>
      <c r="B107" s="37"/>
      <c r="C107" s="37"/>
      <c r="D107" s="37"/>
      <c r="E107" s="37"/>
      <c r="K107" s="48"/>
    </row>
    <row r="108">
      <c r="A108" s="37"/>
      <c r="B108" s="37"/>
      <c r="C108" s="37"/>
      <c r="D108" s="37"/>
      <c r="E108" s="37"/>
      <c r="K108" s="48"/>
    </row>
    <row r="109">
      <c r="A109" s="37"/>
      <c r="B109" s="37"/>
      <c r="C109" s="37"/>
      <c r="D109" s="37"/>
      <c r="E109" s="37"/>
      <c r="K109" s="48"/>
    </row>
    <row r="110">
      <c r="A110" s="37"/>
      <c r="B110" s="37"/>
      <c r="C110" s="37"/>
      <c r="D110" s="37"/>
      <c r="E110" s="37"/>
      <c r="K110" s="48"/>
    </row>
    <row r="111">
      <c r="A111" s="37"/>
      <c r="B111" s="37"/>
      <c r="C111" s="37"/>
      <c r="D111" s="37"/>
      <c r="E111" s="37"/>
      <c r="K111" s="48"/>
    </row>
    <row r="112">
      <c r="A112" s="37"/>
      <c r="B112" s="37"/>
      <c r="C112" s="37"/>
      <c r="D112" s="37"/>
      <c r="E112" s="37"/>
      <c r="K112" s="48"/>
    </row>
    <row r="113">
      <c r="A113" s="37"/>
      <c r="B113" s="37"/>
      <c r="C113" s="37"/>
      <c r="D113" s="37"/>
      <c r="E113" s="37"/>
      <c r="K113" s="48"/>
    </row>
    <row r="114">
      <c r="A114" s="37"/>
      <c r="B114" s="37"/>
      <c r="C114" s="37"/>
      <c r="D114" s="37"/>
      <c r="E114" s="37"/>
      <c r="K114" s="48"/>
    </row>
    <row r="115">
      <c r="A115" s="37"/>
      <c r="B115" s="37"/>
      <c r="C115" s="37"/>
      <c r="D115" s="37"/>
      <c r="E115" s="37"/>
      <c r="K115" s="48"/>
    </row>
    <row r="116">
      <c r="A116" s="37"/>
      <c r="B116" s="37"/>
      <c r="C116" s="37"/>
      <c r="D116" s="37"/>
      <c r="E116" s="37"/>
      <c r="K116" s="48"/>
    </row>
    <row r="117">
      <c r="A117" s="37"/>
      <c r="B117" s="37"/>
      <c r="C117" s="37"/>
      <c r="D117" s="37"/>
      <c r="E117" s="37"/>
      <c r="K117" s="48"/>
    </row>
    <row r="118">
      <c r="A118" s="37"/>
      <c r="B118" s="37"/>
      <c r="C118" s="37"/>
      <c r="D118" s="37"/>
      <c r="E118" s="37"/>
      <c r="K118" s="48"/>
    </row>
    <row r="119">
      <c r="A119" s="37"/>
      <c r="B119" s="37"/>
      <c r="C119" s="37"/>
      <c r="D119" s="37"/>
      <c r="E119" s="37"/>
      <c r="K119" s="48"/>
    </row>
    <row r="120">
      <c r="A120" s="37"/>
      <c r="B120" s="37"/>
      <c r="C120" s="37"/>
      <c r="D120" s="37"/>
      <c r="E120" s="37"/>
      <c r="K120" s="48"/>
    </row>
    <row r="121">
      <c r="A121" s="37"/>
      <c r="B121" s="37"/>
      <c r="C121" s="37"/>
      <c r="D121" s="37"/>
      <c r="E121" s="37"/>
      <c r="K121" s="48"/>
    </row>
    <row r="122">
      <c r="A122" s="37"/>
      <c r="B122" s="37"/>
      <c r="C122" s="37"/>
      <c r="D122" s="37"/>
      <c r="E122" s="37"/>
      <c r="K122" s="48"/>
    </row>
    <row r="123">
      <c r="A123" s="37"/>
      <c r="B123" s="37"/>
      <c r="C123" s="37"/>
      <c r="D123" s="37"/>
      <c r="E123" s="37"/>
      <c r="K123" s="48"/>
    </row>
    <row r="124">
      <c r="A124" s="37"/>
      <c r="B124" s="37"/>
      <c r="C124" s="37"/>
      <c r="D124" s="37"/>
      <c r="E124" s="37"/>
      <c r="K124" s="48"/>
    </row>
    <row r="125">
      <c r="A125" s="37"/>
      <c r="B125" s="37"/>
      <c r="C125" s="37"/>
      <c r="D125" s="37"/>
      <c r="E125" s="37"/>
      <c r="K125" s="48"/>
    </row>
    <row r="126">
      <c r="A126" s="37"/>
      <c r="B126" s="37"/>
      <c r="C126" s="37"/>
      <c r="D126" s="37"/>
      <c r="E126" s="37"/>
      <c r="K126" s="48"/>
    </row>
    <row r="127">
      <c r="A127" s="37"/>
      <c r="B127" s="37"/>
      <c r="C127" s="37"/>
      <c r="D127" s="37"/>
      <c r="E127" s="37"/>
      <c r="K127" s="48"/>
    </row>
    <row r="128">
      <c r="A128" s="37"/>
      <c r="B128" s="37"/>
      <c r="C128" s="37"/>
      <c r="D128" s="37"/>
      <c r="E128" s="37"/>
      <c r="K128" s="48"/>
    </row>
    <row r="129">
      <c r="A129" s="37"/>
      <c r="B129" s="37"/>
      <c r="C129" s="37"/>
      <c r="D129" s="37"/>
      <c r="E129" s="37"/>
      <c r="K129" s="48"/>
    </row>
    <row r="130">
      <c r="A130" s="37"/>
      <c r="B130" s="37"/>
      <c r="C130" s="37"/>
      <c r="D130" s="37"/>
      <c r="E130" s="37"/>
      <c r="K130" s="48"/>
    </row>
    <row r="131">
      <c r="A131" s="37"/>
      <c r="B131" s="37"/>
      <c r="C131" s="37"/>
      <c r="D131" s="37"/>
      <c r="E131" s="37"/>
      <c r="K131" s="48"/>
    </row>
    <row r="132">
      <c r="A132" s="37"/>
      <c r="B132" s="37"/>
      <c r="C132" s="37"/>
      <c r="D132" s="37"/>
      <c r="E132" s="37"/>
      <c r="K132" s="48"/>
    </row>
    <row r="133">
      <c r="A133" s="37"/>
      <c r="B133" s="37"/>
      <c r="C133" s="37"/>
      <c r="D133" s="37"/>
      <c r="E133" s="37"/>
      <c r="K133" s="48"/>
    </row>
    <row r="134">
      <c r="A134" s="37"/>
      <c r="B134" s="37"/>
      <c r="C134" s="37"/>
      <c r="D134" s="37"/>
      <c r="E134" s="37"/>
      <c r="K134" s="48"/>
    </row>
    <row r="135">
      <c r="A135" s="37"/>
      <c r="B135" s="37"/>
      <c r="C135" s="37"/>
      <c r="D135" s="37"/>
      <c r="E135" s="37"/>
      <c r="K135" s="48"/>
    </row>
    <row r="136">
      <c r="A136" s="37"/>
      <c r="B136" s="37"/>
      <c r="C136" s="37"/>
      <c r="D136" s="37"/>
      <c r="E136" s="37"/>
      <c r="K136" s="48"/>
    </row>
    <row r="137">
      <c r="A137" s="37"/>
      <c r="B137" s="37"/>
      <c r="C137" s="37"/>
      <c r="D137" s="37"/>
      <c r="E137" s="37"/>
      <c r="K137" s="48"/>
    </row>
    <row r="138">
      <c r="A138" s="37"/>
      <c r="B138" s="37"/>
      <c r="C138" s="37"/>
      <c r="D138" s="37"/>
      <c r="E138" s="37"/>
      <c r="K138" s="48"/>
    </row>
    <row r="139">
      <c r="A139" s="37"/>
      <c r="B139" s="37"/>
      <c r="C139" s="37"/>
      <c r="D139" s="37"/>
      <c r="E139" s="37"/>
      <c r="K139" s="48"/>
    </row>
    <row r="140">
      <c r="A140" s="37"/>
      <c r="B140" s="37"/>
      <c r="C140" s="37"/>
      <c r="D140" s="37"/>
      <c r="E140" s="37"/>
      <c r="K140" s="48"/>
    </row>
    <row r="141">
      <c r="A141" s="37"/>
      <c r="B141" s="37"/>
      <c r="C141" s="37"/>
      <c r="D141" s="37"/>
      <c r="E141" s="37"/>
      <c r="K141" s="48"/>
    </row>
    <row r="142">
      <c r="A142" s="37"/>
      <c r="B142" s="37"/>
      <c r="C142" s="37"/>
      <c r="D142" s="37"/>
      <c r="E142" s="37"/>
      <c r="K142" s="48"/>
    </row>
    <row r="143">
      <c r="A143" s="37"/>
      <c r="B143" s="37"/>
      <c r="C143" s="37"/>
      <c r="D143" s="37"/>
      <c r="E143" s="37"/>
      <c r="K143" s="48"/>
    </row>
    <row r="144">
      <c r="A144" s="37"/>
      <c r="B144" s="37"/>
      <c r="C144" s="37"/>
      <c r="D144" s="37"/>
      <c r="E144" s="37"/>
      <c r="K144" s="48"/>
    </row>
    <row r="145">
      <c r="A145" s="37"/>
      <c r="B145" s="37"/>
      <c r="C145" s="37"/>
      <c r="D145" s="37"/>
      <c r="E145" s="37"/>
      <c r="K145" s="48"/>
    </row>
    <row r="146">
      <c r="A146" s="37"/>
      <c r="B146" s="37"/>
      <c r="C146" s="37"/>
      <c r="D146" s="37"/>
      <c r="E146" s="37"/>
      <c r="K146" s="48"/>
    </row>
    <row r="147">
      <c r="A147" s="37"/>
      <c r="B147" s="37"/>
      <c r="C147" s="37"/>
      <c r="D147" s="37"/>
      <c r="E147" s="37"/>
      <c r="K147" s="48"/>
    </row>
    <row r="148">
      <c r="A148" s="37"/>
      <c r="B148" s="37"/>
      <c r="C148" s="37"/>
      <c r="D148" s="37"/>
      <c r="E148" s="37"/>
      <c r="K148" s="48"/>
    </row>
    <row r="149">
      <c r="A149" s="37"/>
      <c r="B149" s="37"/>
      <c r="C149" s="37"/>
      <c r="D149" s="37"/>
      <c r="E149" s="37"/>
      <c r="K149" s="48"/>
    </row>
    <row r="150">
      <c r="A150" s="37"/>
      <c r="B150" s="37"/>
      <c r="C150" s="37"/>
      <c r="D150" s="37"/>
      <c r="E150" s="37"/>
      <c r="K150" s="48"/>
    </row>
    <row r="151">
      <c r="A151" s="37"/>
      <c r="B151" s="37"/>
      <c r="C151" s="37"/>
      <c r="D151" s="37"/>
      <c r="E151" s="37"/>
      <c r="K151" s="48"/>
    </row>
    <row r="152">
      <c r="A152" s="37"/>
      <c r="B152" s="37"/>
      <c r="C152" s="37"/>
      <c r="D152" s="37"/>
      <c r="E152" s="37"/>
      <c r="K152" s="48"/>
    </row>
    <row r="153">
      <c r="A153" s="37"/>
      <c r="B153" s="37"/>
      <c r="C153" s="37"/>
      <c r="D153" s="37"/>
      <c r="E153" s="37"/>
      <c r="K153" s="48"/>
    </row>
    <row r="154">
      <c r="A154" s="37"/>
      <c r="B154" s="37"/>
      <c r="C154" s="37"/>
      <c r="D154" s="37"/>
      <c r="E154" s="37"/>
      <c r="K154" s="48"/>
    </row>
    <row r="155">
      <c r="A155" s="37"/>
      <c r="B155" s="37"/>
      <c r="C155" s="37"/>
      <c r="D155" s="37"/>
      <c r="E155" s="37"/>
      <c r="K155" s="48"/>
    </row>
    <row r="156">
      <c r="A156" s="37"/>
      <c r="B156" s="37"/>
      <c r="C156" s="37"/>
      <c r="D156" s="37"/>
      <c r="E156" s="37"/>
      <c r="K156" s="48"/>
    </row>
    <row r="157">
      <c r="A157" s="37"/>
      <c r="B157" s="37"/>
      <c r="C157" s="37"/>
      <c r="D157" s="37"/>
      <c r="E157" s="37"/>
      <c r="K157" s="48"/>
    </row>
    <row r="158">
      <c r="A158" s="37"/>
      <c r="B158" s="37"/>
      <c r="C158" s="37"/>
      <c r="D158" s="37"/>
      <c r="E158" s="37"/>
      <c r="K158" s="48"/>
    </row>
    <row r="159">
      <c r="A159" s="37"/>
      <c r="B159" s="37"/>
      <c r="C159" s="37"/>
      <c r="D159" s="37"/>
      <c r="E159" s="37"/>
      <c r="K159" s="48"/>
    </row>
    <row r="160">
      <c r="A160" s="37"/>
      <c r="B160" s="37"/>
      <c r="C160" s="37"/>
      <c r="D160" s="37"/>
      <c r="E160" s="37"/>
      <c r="K160" s="48"/>
    </row>
    <row r="161">
      <c r="A161" s="37"/>
      <c r="B161" s="37"/>
      <c r="C161" s="37"/>
      <c r="D161" s="37"/>
      <c r="E161" s="37"/>
      <c r="K161" s="48"/>
    </row>
    <row r="162">
      <c r="A162" s="37"/>
      <c r="B162" s="37"/>
      <c r="C162" s="37"/>
      <c r="D162" s="37"/>
      <c r="E162" s="37"/>
      <c r="K162" s="48"/>
    </row>
    <row r="163">
      <c r="A163" s="37"/>
      <c r="B163" s="37"/>
      <c r="C163" s="37"/>
      <c r="D163" s="37"/>
      <c r="E163" s="37"/>
      <c r="K163" s="48"/>
    </row>
    <row r="164">
      <c r="A164" s="37"/>
      <c r="B164" s="37"/>
      <c r="C164" s="37"/>
      <c r="D164" s="37"/>
      <c r="E164" s="37"/>
      <c r="K164" s="48"/>
    </row>
    <row r="165">
      <c r="A165" s="37"/>
      <c r="B165" s="37"/>
      <c r="C165" s="37"/>
      <c r="D165" s="37"/>
      <c r="E165" s="37"/>
      <c r="K165" s="48"/>
    </row>
    <row r="166">
      <c r="A166" s="37"/>
      <c r="B166" s="37"/>
      <c r="C166" s="37"/>
      <c r="D166" s="37"/>
      <c r="E166" s="37"/>
      <c r="K166" s="4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row r="1010">
      <c r="A1010" s="37"/>
      <c r="B1010" s="37"/>
      <c r="C1010" s="37"/>
      <c r="D1010" s="37"/>
      <c r="E1010" s="37"/>
      <c r="K1010" s="48"/>
    </row>
    <row r="1011">
      <c r="A1011" s="37"/>
      <c r="B1011" s="37"/>
      <c r="C1011" s="37"/>
      <c r="D1011" s="37"/>
      <c r="E1011" s="37"/>
      <c r="K1011" s="48"/>
    </row>
    <row r="1012">
      <c r="A1012" s="37"/>
      <c r="B1012" s="37"/>
      <c r="C1012" s="37"/>
      <c r="D1012" s="37"/>
      <c r="E1012" s="37"/>
      <c r="K1012" s="48"/>
    </row>
    <row r="1013">
      <c r="A1013" s="37"/>
      <c r="B1013" s="37"/>
      <c r="C1013" s="37"/>
      <c r="D1013" s="37"/>
      <c r="E1013" s="37"/>
      <c r="K1013" s="48"/>
    </row>
    <row r="1014">
      <c r="A1014" s="37"/>
      <c r="B1014" s="37"/>
      <c r="C1014" s="37"/>
      <c r="D1014" s="37"/>
      <c r="E1014" s="37"/>
      <c r="K1014" s="48"/>
    </row>
    <row r="1015">
      <c r="A1015" s="37"/>
      <c r="B1015" s="37"/>
      <c r="C1015" s="37"/>
      <c r="D1015" s="37"/>
      <c r="E1015" s="37"/>
      <c r="K1015" s="48"/>
    </row>
    <row r="1016">
      <c r="A1016" s="37"/>
      <c r="B1016" s="37"/>
      <c r="C1016" s="37"/>
      <c r="D1016" s="37"/>
      <c r="E1016" s="37"/>
      <c r="K1016" s="48"/>
    </row>
    <row r="1017">
      <c r="A1017" s="37"/>
      <c r="B1017" s="37"/>
      <c r="C1017" s="37"/>
      <c r="D1017" s="37"/>
      <c r="E1017" s="37"/>
      <c r="K1017" s="48"/>
    </row>
    <row r="1018">
      <c r="A1018" s="37"/>
      <c r="B1018" s="37"/>
      <c r="C1018" s="37"/>
      <c r="D1018" s="37"/>
      <c r="E1018" s="37"/>
      <c r="K1018" s="48"/>
    </row>
    <row r="1019">
      <c r="A1019" s="37"/>
      <c r="B1019" s="37"/>
      <c r="C1019" s="37"/>
      <c r="D1019" s="37"/>
      <c r="E1019" s="37"/>
      <c r="K1019" s="48"/>
    </row>
    <row r="1020">
      <c r="A1020" s="37"/>
      <c r="B1020" s="37"/>
      <c r="C1020" s="37"/>
      <c r="D1020" s="37"/>
      <c r="E1020" s="37"/>
      <c r="K1020" s="48"/>
    </row>
    <row r="1021">
      <c r="A1021" s="37"/>
      <c r="B1021" s="37"/>
      <c r="C1021" s="37"/>
      <c r="D1021" s="37"/>
      <c r="E1021" s="37"/>
      <c r="K1021" s="48"/>
    </row>
    <row r="1022">
      <c r="A1022" s="37"/>
      <c r="B1022" s="37"/>
      <c r="C1022" s="37"/>
      <c r="D1022" s="37"/>
      <c r="E1022" s="37"/>
      <c r="K1022" s="48"/>
    </row>
    <row r="1023">
      <c r="A1023" s="37"/>
      <c r="B1023" s="37"/>
      <c r="C1023" s="37"/>
      <c r="D1023" s="37"/>
      <c r="E1023" s="37"/>
      <c r="K1023" s="48"/>
    </row>
    <row r="1024">
      <c r="A1024" s="37"/>
      <c r="B1024" s="37"/>
      <c r="C1024" s="37"/>
      <c r="D1024" s="37"/>
      <c r="E1024" s="37"/>
      <c r="K1024" s="48"/>
    </row>
    <row r="1025">
      <c r="A1025" s="37"/>
      <c r="B1025" s="37"/>
      <c r="C1025" s="37"/>
      <c r="D1025" s="37"/>
      <c r="E1025" s="37"/>
      <c r="K1025" s="48"/>
    </row>
    <row r="1026">
      <c r="A1026" s="37"/>
      <c r="B1026" s="37"/>
      <c r="C1026" s="37"/>
      <c r="D1026" s="37"/>
      <c r="E1026" s="37"/>
      <c r="K1026" s="48"/>
    </row>
    <row r="1027">
      <c r="A1027" s="37"/>
      <c r="B1027" s="37"/>
      <c r="C1027" s="37"/>
      <c r="D1027" s="37"/>
      <c r="E1027" s="37"/>
      <c r="K1027" s="48"/>
    </row>
    <row r="1028">
      <c r="A1028" s="37"/>
      <c r="B1028" s="37"/>
      <c r="C1028" s="37"/>
      <c r="D1028" s="37"/>
      <c r="E1028" s="37"/>
      <c r="K1028" s="48"/>
    </row>
    <row r="1029">
      <c r="A1029" s="37"/>
      <c r="B1029" s="37"/>
      <c r="C1029" s="37"/>
      <c r="D1029" s="37"/>
      <c r="E1029" s="37"/>
      <c r="K1029" s="48"/>
    </row>
    <row r="1030">
      <c r="A1030" s="37"/>
      <c r="B1030" s="37"/>
      <c r="C1030" s="37"/>
      <c r="D1030" s="37"/>
      <c r="E1030" s="37"/>
      <c r="K1030" s="48"/>
    </row>
  </sheetData>
  <mergeCells count="6">
    <mergeCell ref="A4:B4"/>
    <mergeCell ref="C4:D4"/>
    <mergeCell ref="A5:B5"/>
    <mergeCell ref="C5:D5"/>
    <mergeCell ref="A6:D7"/>
    <mergeCell ref="E38:E40"/>
  </mergeCells>
  <dataValidations>
    <dataValidation type="list" allowBlank="1" showErrorMessage="1" sqref="O3:O85">
      <formula1>"Pass,Fail,Untest"</formula1>
    </dataValidation>
    <dataValidation type="list" allowBlank="1" showErrorMessage="1" sqref="B8:B9">
      <formula1>"MINH THUẬN,CẨM NHIÊN,Nhung"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6.13"/>
    <col customWidth="1" min="10" max="10" width="37.88"/>
    <col customWidth="1" min="11" max="11" width="35.88"/>
    <col customWidth="1" min="12" max="12" width="12.13"/>
    <col customWidth="1" min="13" max="13" width="25.25"/>
    <col customWidth="1" min="14" max="14" width="16.88"/>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136</v>
      </c>
      <c r="B3" s="11">
        <f>COUNTIF(O:O,"Pass")</f>
        <v>78</v>
      </c>
      <c r="C3" s="11">
        <f>COUNTIF(O:O,"Fail")</f>
        <v>57</v>
      </c>
      <c r="D3" s="11">
        <f>COUNTIF(O:O,"Untest")</f>
        <v>0</v>
      </c>
      <c r="E3" s="8"/>
      <c r="F3" s="12" t="s">
        <v>3527</v>
      </c>
      <c r="G3" s="55" t="s">
        <v>15</v>
      </c>
      <c r="H3" s="12" t="s">
        <v>1612</v>
      </c>
      <c r="I3" s="12" t="s">
        <v>3528</v>
      </c>
      <c r="J3" s="12" t="s">
        <v>3529</v>
      </c>
      <c r="K3" s="13" t="str">
        <f>IFERROR(__xludf.DUMMYFUNCTION("IF(ISBLANK(J3), ""Input test step"", ARRAYFORMULA(TEXTJOIN(CHAR(10), TRUE, (""Step ""&amp; ROW(INDIRECT(""1:"" &amp; COUNTA(SPLIT(J3, CHAR(10))))) &amp; "": "" &amp; TRANSPOSE(SPLIT(J3, CHAR(10)))))))"),"Step 1: Đăng nhập vào tài  khoản
Step 2: Chọn mục cá nhân
Step 3: Chọn mục số địa chỉ
Step 4: Kiểm tra hiển thị màu sắc, kích thước, cỡ chữ của thanh header")</f>
        <v>Step 1: Đăng nhập vào tài  khoản
Step 2: Chọn mục cá nhân
Step 3: Chọn mục số địa chỉ
Step 4: Kiểm tra hiển thị màu sắc, kích thước, cỡ chữ của thanh header</v>
      </c>
      <c r="L3" s="14"/>
      <c r="M3" s="12" t="s">
        <v>3530</v>
      </c>
      <c r="N3" s="12" t="s">
        <v>3531</v>
      </c>
      <c r="O3" s="12" t="s">
        <v>2</v>
      </c>
      <c r="P3" s="12"/>
    </row>
    <row r="4">
      <c r="A4" s="15" t="s">
        <v>20</v>
      </c>
      <c r="B4" s="16"/>
      <c r="C4" s="17">
        <f>IFERROR(((B3+C3)/A3),0)</f>
        <v>0.9926470588</v>
      </c>
      <c r="D4" s="16"/>
      <c r="E4" s="18"/>
      <c r="F4" s="12" t="s">
        <v>3532</v>
      </c>
      <c r="G4" s="56"/>
      <c r="H4" s="12" t="s">
        <v>3533</v>
      </c>
      <c r="I4" s="12" t="s">
        <v>3528</v>
      </c>
      <c r="J4" s="12" t="s">
        <v>3534</v>
      </c>
      <c r="K4" s="13" t="str">
        <f>IFERROR(__xludf.DUMMYFUNCTION("IF(ISBLANK(J4), ""Input test step"", ARRAYFORMULA(TEXTJOIN(CHAR(10), TRUE, (""Step ""&amp; ROW(INDIRECT(""1:"" &amp; COUNTA(SPLIT(J4, CHAR(10))))) &amp; "": "" &amp; TRANSPOSE(SPLIT(J4, CHAR(10)))))))"),"Step 1: Đăng nhập vào tài  khoản
Step 2: Chọn mục cá nhân
Step 3: Chọn mục số địa chỉ
Step 4: Kiểm tra hiển thị danh sách list địa chỉ ( màu sắc, kích thước, cỡ chữ ) ")</f>
        <v>Step 1: Đăng nhập vào tài  khoản
Step 2: Chọn mục cá nhân
Step 3: Chọn mục số địa chỉ
Step 4: Kiểm tra hiển thị danh sách list địa chỉ ( màu sắc, kích thước, cỡ chữ ) </v>
      </c>
      <c r="L4" s="14"/>
      <c r="M4" s="12" t="s">
        <v>3530</v>
      </c>
      <c r="N4" s="12" t="s">
        <v>3530</v>
      </c>
      <c r="O4" s="12" t="s">
        <v>1</v>
      </c>
      <c r="P4" s="19"/>
    </row>
    <row r="5">
      <c r="A5" s="58"/>
      <c r="B5" s="58"/>
      <c r="C5" s="109"/>
      <c r="D5" s="109"/>
      <c r="E5" s="18"/>
      <c r="F5" s="12" t="s">
        <v>3535</v>
      </c>
      <c r="G5" s="56"/>
      <c r="H5" s="12" t="s">
        <v>3536</v>
      </c>
      <c r="I5" s="12" t="s">
        <v>3528</v>
      </c>
      <c r="J5" s="12" t="s">
        <v>3537</v>
      </c>
      <c r="K5" s="13" t="str">
        <f>IFERROR(__xludf.DUMMYFUNCTION("IF(ISBLANK(J5), ""Input test step"", ARRAYFORMULA(TEXTJOIN(CHAR(10), TRUE, (""Step ""&amp; ROW(INDIRECT(""1:"" &amp; COUNTA(SPLIT(J5, CHAR(10))))) &amp; "": "" &amp; TRANSPOSE(SPLIT(J5, CHAR(10)))))))"),"Step 1: Đăng nhập vào tài  khoản
Step 2: Chọn mục cá nhân
Step 3: Chọn mục số địa chỉ
Step 4: Kiểm tra khoảng cách giữa các địa chỉ với nhau")</f>
        <v>Step 1: Đăng nhập vào tài  khoản
Step 2: Chọn mục cá nhân
Step 3: Chọn mục số địa chỉ
Step 4: Kiểm tra khoảng cách giữa các địa chỉ với nhau</v>
      </c>
      <c r="L5" s="14" t="s">
        <v>3538</v>
      </c>
      <c r="M5" s="12" t="s">
        <v>3539</v>
      </c>
      <c r="N5" s="12" t="s">
        <v>3540</v>
      </c>
      <c r="O5" s="12" t="s">
        <v>2</v>
      </c>
      <c r="P5" s="19"/>
    </row>
    <row r="6">
      <c r="A6" s="15" t="s">
        <v>26</v>
      </c>
      <c r="B6" s="16"/>
      <c r="C6" s="20">
        <f>IFERROR(B3/(B3+C3),0)</f>
        <v>0.5777777778</v>
      </c>
      <c r="D6" s="16"/>
      <c r="E6" s="18"/>
      <c r="F6" s="12" t="s">
        <v>3541</v>
      </c>
      <c r="G6" s="56"/>
      <c r="H6" s="12" t="s">
        <v>3542</v>
      </c>
      <c r="I6" s="12" t="s">
        <v>3528</v>
      </c>
      <c r="J6" s="12" t="s">
        <v>3543</v>
      </c>
      <c r="K6" s="13" t="str">
        <f>IFERROR(__xludf.DUMMYFUNCTION("IF(ISBLANK(J6), ""Input test step"", ARRAYFORMULA(TEXTJOIN(CHAR(10), TRUE, (""Step ""&amp; ROW(INDIRECT(""1:"" &amp; COUNTA(SPLIT(J6, CHAR(10))))) &amp; "": "" &amp; TRANSPOSE(SPLIT(J6, CHAR(10)))))))"),"Step 1: Đăng nhập vào tài  khoản
Step 2: Chọn mục cá nhân
Step 3: Chọn mục số địa chỉ
Step 4: Chọn 1 địa chi bất kì để xem màn hình chi tiết
Step 5: Kiểm tra hiển thị màn hình chi tiết chỉnh sửa địa chỉ ( màu sắc, kích thước, cỡ chữ ) ")</f>
        <v>Step 1: Đăng nhập vào tài  khoản
Step 2: Chọn mục cá nhân
Step 3: Chọn mục số địa chỉ
Step 4: Chọn 1 địa chi bất kì để xem màn hình chi tiết
Step 5: Kiểm tra hiển thị màn hình chi tiết chỉnh sửa địa chỉ ( màu sắc, kích thước, cỡ chữ ) </v>
      </c>
      <c r="L6" s="14"/>
      <c r="M6" s="12" t="s">
        <v>3530</v>
      </c>
      <c r="N6" s="12" t="s">
        <v>3544</v>
      </c>
      <c r="O6" s="12" t="s">
        <v>2</v>
      </c>
      <c r="P6" s="19"/>
    </row>
    <row r="7">
      <c r="A7" s="110"/>
      <c r="B7" s="110"/>
      <c r="C7" s="111"/>
      <c r="D7" s="111"/>
      <c r="E7" s="18"/>
      <c r="F7" s="12" t="s">
        <v>3545</v>
      </c>
      <c r="G7" s="56"/>
      <c r="H7" s="12" t="s">
        <v>3546</v>
      </c>
      <c r="I7" s="12" t="s">
        <v>3528</v>
      </c>
      <c r="J7" s="12" t="s">
        <v>3547</v>
      </c>
      <c r="K7" s="13" t="str">
        <f>IFERROR(__xludf.DUMMYFUNCTION("IF(ISBLANK(J7), ""Input test step"", ARRAYFORMULA(TEXTJOIN(CHAR(10), TRUE, (""Step ""&amp; ROW(INDIRECT(""1:"" &amp; COUNTA(SPLIT(J7, CHAR(10))))) &amp; "": "" &amp; TRANSPOSE(SPLIT(J7, CHAR(10)))))))"),"Step 1: Đăng nhập vào tài  khoản
Step 2: Chọn mục cá nhân
Step 3: Chọn mục số địa chỉ
Step 4: Chọn 1 địa chi bất kì để xem màn hình chi tiết
Step 5: Kiểm tra khoảng cách giữa các trường với nhau ")</f>
        <v>Step 1: Đăng nhập vào tài  khoản
Step 2: Chọn mục cá nhân
Step 3: Chọn mục số địa chỉ
Step 4: Chọn 1 địa chi bất kì để xem màn hình chi tiết
Step 5: Kiểm tra khoảng cách giữa các trường với nhau </v>
      </c>
      <c r="L7" s="14" t="s">
        <v>3548</v>
      </c>
      <c r="M7" s="12" t="s">
        <v>3549</v>
      </c>
      <c r="N7" s="12" t="s">
        <v>3540</v>
      </c>
      <c r="O7" s="12" t="s">
        <v>2</v>
      </c>
      <c r="P7" s="19"/>
    </row>
    <row r="8">
      <c r="A8" s="23" t="s">
        <v>3550</v>
      </c>
      <c r="D8" s="24"/>
      <c r="E8" s="18"/>
      <c r="F8" s="12" t="s">
        <v>3551</v>
      </c>
      <c r="G8" s="56"/>
      <c r="H8" s="12" t="s">
        <v>3552</v>
      </c>
      <c r="I8" s="12" t="s">
        <v>3553</v>
      </c>
      <c r="J8" s="12" t="s">
        <v>3554</v>
      </c>
      <c r="K8" s="13" t="str">
        <f>IFERROR(__xludf.DUMMYFUNCTION("IF(ISBLANK(J8), ""Input test step"", ARRAYFORMULA(TEXTJOIN(CHAR(10), TRUE, (""Step ""&amp; ROW(INDIRECT(""1:"" &amp; COUNTA(SPLIT(J8, CHAR(10))))) &amp; "": "" &amp; TRANSPOSE(SPLIT(J8, CHAR(10)))))))"),"Step 1: Đăng nhập vào tài  khoản
Step 2: Chọn mục cá nhân
Step 3: Chọn mục số địa chỉ
Step 4: Chọn xem chi tiết địa chỉ
Step 5: Kiểm tra hiển thị họ và tên của khách hàng ( màu sắc, kích thước, cỡ chữ, dấu * bắt buộc  ) ")</f>
        <v>Step 1: Đăng nhập vào tài  khoản
Step 2: Chọn mục cá nhân
Step 3: Chọn mục số địa chỉ
Step 4: Chọn xem chi tiết địa chỉ
Step 5: Kiểm tra hiển thị họ và tên của khách hàng ( màu sắc, kích thước, cỡ chữ, dấu * bắt buộc  ) </v>
      </c>
      <c r="L8" s="14"/>
      <c r="M8" s="12" t="s">
        <v>3555</v>
      </c>
      <c r="N8" s="12" t="s">
        <v>3555</v>
      </c>
      <c r="O8" s="12" t="s">
        <v>1</v>
      </c>
      <c r="P8" s="19"/>
    </row>
    <row r="9">
      <c r="A9" s="25"/>
      <c r="D9" s="24"/>
      <c r="E9" s="18"/>
      <c r="F9" s="12" t="s">
        <v>3556</v>
      </c>
      <c r="G9" s="56"/>
      <c r="H9" s="12" t="s">
        <v>3557</v>
      </c>
      <c r="I9" s="12" t="s">
        <v>3553</v>
      </c>
      <c r="J9" s="12" t="s">
        <v>3558</v>
      </c>
      <c r="K9" s="13" t="str">
        <f>IFERROR(__xludf.DUMMYFUNCTION("IF(ISBLANK(J9), ""Input test step"", ARRAYFORMULA(TEXTJOIN(CHAR(10), TRUE, (""Step ""&amp; ROW(INDIRECT(""1:"" &amp; COUNTA(SPLIT(J9, CHAR(10))))) &amp; "": "" &amp; TRANSPOSE(SPLIT(J9, CHAR(10)))))))"),"Step 1: Đăng nhập vào tài  khoản
Step 2: Chọn mục cá nhân
Step 3: Chọn mục số địa chỉ
Step 4: Chọn xem chi tiết địa chỉ
Step 5: Kiểm tra hiển thị số điện thoại của khách hàng ( màu sắc, kích thước, cỡ chữ, dấu * bắt buộc  ) ")</f>
        <v>Step 1: Đăng nhập vào tài  khoản
Step 2: Chọn mục cá nhân
Step 3: Chọn mục số địa chỉ
Step 4: Chọn xem chi tiết địa chỉ
Step 5: Kiểm tra hiển thị số điện thoại của khách hàng ( màu sắc, kích thước, cỡ chữ, dấu * bắt buộc  ) </v>
      </c>
      <c r="L9" s="14"/>
      <c r="M9" s="12" t="s">
        <v>3559</v>
      </c>
      <c r="N9" s="12" t="s">
        <v>3559</v>
      </c>
      <c r="O9" s="12" t="s">
        <v>1</v>
      </c>
      <c r="P9" s="19"/>
    </row>
    <row r="10">
      <c r="A10" s="70"/>
      <c r="B10" s="71"/>
      <c r="C10" s="71"/>
      <c r="D10" s="16"/>
      <c r="E10" s="18"/>
      <c r="F10" s="12" t="s">
        <v>3560</v>
      </c>
      <c r="G10" s="56"/>
      <c r="H10" s="12" t="s">
        <v>3561</v>
      </c>
      <c r="I10" s="12" t="s">
        <v>3553</v>
      </c>
      <c r="J10" s="12" t="s">
        <v>3562</v>
      </c>
      <c r="K10" s="13" t="str">
        <f>IFERROR(__xludf.DUMMYFUNCTION("IF(ISBLANK(J10), ""Input test step"", ARRAYFORMULA(TEXTJOIN(CHAR(10), TRUE, (""Step ""&amp; ROW(INDIRECT(""1:"" &amp; COUNTA(SPLIT(J10, CHAR(10))))) &amp; "": "" &amp; TRANSPOSE(SPLIT(J10, CHAR(10)))))))"),"Step 1: Đăng nhập vào tài  khoản
Step 2: Chọn mục cá nhân
Step 3: Chọn mục số địa chỉ
Step 4: Chọn xem chi tiết địa chỉ
Step 5: Kiểm tra hiển thị Tỉnh/huyện/xác của khách hàng ( màu sắc, kích thước, cỡ chữ, dấu * bắt buộc  ) ")</f>
        <v>Step 1: Đăng nhập vào tài  khoản
Step 2: Chọn mục cá nhân
Step 3: Chọn mục số địa chỉ
Step 4: Chọn xem chi tiết địa chỉ
Step 5: Kiểm tra hiển thị Tỉnh/huyện/xác của khách hàng ( màu sắc, kích thước, cỡ chữ, dấu * bắt buộc  ) </v>
      </c>
      <c r="L10" s="14"/>
      <c r="M10" s="12" t="s">
        <v>3563</v>
      </c>
      <c r="N10" s="12" t="s">
        <v>3563</v>
      </c>
      <c r="O10" s="12" t="s">
        <v>1</v>
      </c>
      <c r="P10" s="19"/>
    </row>
    <row r="11">
      <c r="A11" s="26" t="s">
        <v>46</v>
      </c>
      <c r="B11" s="27" t="s">
        <v>1650</v>
      </c>
      <c r="C11" s="29"/>
      <c r="D11" s="29"/>
      <c r="E11" s="18"/>
      <c r="F11" s="12" t="s">
        <v>3564</v>
      </c>
      <c r="G11" s="56"/>
      <c r="H11" s="12" t="s">
        <v>3565</v>
      </c>
      <c r="I11" s="12" t="s">
        <v>3553</v>
      </c>
      <c r="J11" s="12" t="s">
        <v>3566</v>
      </c>
      <c r="K11" s="13" t="str">
        <f>IFERROR(__xludf.DUMMYFUNCTION("IF(ISBLANK(J11), ""Input test step"", ARRAYFORMULA(TEXTJOIN(CHAR(10), TRUE, (""Step ""&amp; ROW(INDIRECT(""1:"" &amp; COUNTA(SPLIT(J11, CHAR(10))))) &amp; "": "" &amp; TRANSPOSE(SPLIT(J11, CHAR(10)))))))"),"Step 1: Đăng nhập vào tài  khoản
Step 2: Chọn mục cá nhân
Step 3: Chọn mục số địa chỉ
Step 4: Chọn xem chi tiết địa chỉ
Step 5: Kiểm tra hiển thị địa chỉ cụ thể của khách hàng ( màu sắc, kích thước, cỡ chữ, dấu * bắt buộc  ) ")</f>
        <v>Step 1: Đăng nhập vào tài  khoản
Step 2: Chọn mục cá nhân
Step 3: Chọn mục số địa chỉ
Step 4: Chọn xem chi tiết địa chỉ
Step 5: Kiểm tra hiển thị địa chỉ cụ thể của khách hàng ( màu sắc, kích thước, cỡ chữ, dấu * bắt buộc  ) </v>
      </c>
      <c r="L11" s="14"/>
      <c r="M11" s="12" t="s">
        <v>3567</v>
      </c>
      <c r="N11" s="12" t="s">
        <v>3568</v>
      </c>
      <c r="O11" s="12" t="s">
        <v>2</v>
      </c>
      <c r="P11" s="19"/>
    </row>
    <row r="12">
      <c r="A12" s="28"/>
      <c r="B12" s="28"/>
      <c r="C12" s="28"/>
      <c r="D12" s="28"/>
      <c r="E12" s="18"/>
      <c r="F12" s="12" t="s">
        <v>3569</v>
      </c>
      <c r="G12" s="57"/>
      <c r="H12" s="12" t="s">
        <v>3570</v>
      </c>
      <c r="I12" s="12" t="s">
        <v>3528</v>
      </c>
      <c r="J12" s="12" t="s">
        <v>3571</v>
      </c>
      <c r="K12" s="13" t="str">
        <f>IFERROR(__xludf.DUMMYFUNCTION("IF(ISBLANK(J12), ""Input test step"", ARRAYFORMULA(TEXTJOIN(CHAR(10), TRUE, (""Step ""&amp; ROW(INDIRECT(""1:"" &amp; COUNTA(SPLIT(J12, CHAR(10))))) &amp; "": "" &amp; TRANSPOSE(SPLIT(J12, CHAR(10)))))))"),"Step 1: Đăng nhập vào tài  khoản
Step 2: Chọn mục cá nhân
Step 3: Chọn mục số địa chỉ
Step 4: Kiểm tra hiển thị màu sắc, kích thước, cỡ chữ của Button thêm mới địa chỉ")</f>
        <v>Step 1: Đăng nhập vào tài  khoản
Step 2: Chọn mục cá nhân
Step 3: Chọn mục số địa chỉ
Step 4: Kiểm tra hiển thị màu sắc, kích thước, cỡ chữ của Button thêm mới địa chỉ</v>
      </c>
      <c r="L12" s="14"/>
      <c r="M12" s="12" t="s">
        <v>3572</v>
      </c>
      <c r="N12" s="12" t="s">
        <v>3573</v>
      </c>
      <c r="O12" s="12" t="s">
        <v>2</v>
      </c>
      <c r="P12" s="19"/>
    </row>
    <row r="13">
      <c r="A13" s="28"/>
      <c r="B13" s="28"/>
      <c r="C13" s="28"/>
      <c r="D13" s="28"/>
      <c r="E13" s="18"/>
      <c r="F13" s="12" t="s">
        <v>3574</v>
      </c>
      <c r="G13" s="55" t="s">
        <v>1786</v>
      </c>
      <c r="H13" s="12" t="s">
        <v>3575</v>
      </c>
      <c r="I13" s="12" t="s">
        <v>3576</v>
      </c>
      <c r="J13" s="12" t="s">
        <v>3577</v>
      </c>
      <c r="K13" s="13" t="str">
        <f>IFERROR(__xludf.DUMMYFUNCTION("IF(ISBLANK(J13), ""Input test step"", ARRAYFORMULA(TEXTJOIN(CHAR(10), TRUE, (""Step ""&amp; ROW(INDIRECT(""1:"" &amp; COUNTA(SPLIT(J13, CHAR(10))))) &amp; "": "" &amp; TRANSPOSE(SPLIT(J13, CHAR(10)))))))"),"Step 1: Đăng nhập vào tài  khoản
Step 2: Chọn mục cá nhân
Step 3: Kiểm tra khi chọn mục số địa chỉ sẽ vào màn hình "" Số địa chỉ """)</f>
        <v>Step 1: Đăng nhập vào tài  khoản
Step 2: Chọn mục cá nhân
Step 3: Kiểm tra khi chọn mục số địa chỉ sẽ vào màn hình " Số địa chỉ "</v>
      </c>
      <c r="L13" s="14" t="s">
        <v>3578</v>
      </c>
      <c r="M13" s="12" t="s">
        <v>3579</v>
      </c>
      <c r="N13" s="12" t="s">
        <v>3580</v>
      </c>
      <c r="O13" s="12" t="s">
        <v>2</v>
      </c>
      <c r="P13" s="19"/>
    </row>
    <row r="14">
      <c r="A14" s="28"/>
      <c r="B14" s="28"/>
      <c r="C14" s="28"/>
      <c r="D14" s="28"/>
      <c r="E14" s="18"/>
      <c r="F14" s="12" t="s">
        <v>3581</v>
      </c>
      <c r="G14" s="56"/>
      <c r="H14" s="12" t="s">
        <v>3582</v>
      </c>
      <c r="I14" s="12" t="s">
        <v>3528</v>
      </c>
      <c r="J14" s="12" t="s">
        <v>3583</v>
      </c>
      <c r="K14" s="13" t="str">
        <f>IFERROR(__xludf.DUMMYFUNCTION("IF(ISBLANK(J14), ""Input test step"", ARRAYFORMULA(TEXTJOIN(CHAR(10), TRUE, (""Step ""&amp; ROW(INDIRECT(""1:"" &amp; COUNTA(SPLIT(J14, CHAR(10))))) &amp; "": "" &amp; TRANSPOSE(SPLIT(J14, CHAR(10)))))))"),"Step 1: Đăng nhập vào tài  khoản
Step 2: Chọn mục cá nhân
Step 3: Chọn mục số địa chỉ
Step 4: Kiểm tra hiển thị tên khách hàng  ( in đậm, viết hoa chữ cái đầu )")</f>
        <v>Step 1: Đăng nhập vào tài  khoản
Step 2: Chọn mục cá nhân
Step 3: Chọn mục số địa chỉ
Step 4: Kiểm tra hiển thị tên khách hàng  ( in đậm, viết hoa chữ cái đầu )</v>
      </c>
      <c r="L14" s="14"/>
      <c r="M14" s="12" t="s">
        <v>3517</v>
      </c>
      <c r="N14" s="12" t="s">
        <v>3517</v>
      </c>
      <c r="O14" s="12" t="s">
        <v>1</v>
      </c>
      <c r="P14" s="19"/>
    </row>
    <row r="15">
      <c r="A15" s="28"/>
      <c r="B15" s="28"/>
      <c r="C15" s="28"/>
      <c r="D15" s="28"/>
      <c r="E15" s="18"/>
      <c r="F15" s="12" t="s">
        <v>3584</v>
      </c>
      <c r="G15" s="56"/>
      <c r="H15" s="12" t="s">
        <v>3585</v>
      </c>
      <c r="I15" s="12" t="s">
        <v>3528</v>
      </c>
      <c r="J15" s="12" t="s">
        <v>3586</v>
      </c>
      <c r="K15" s="13" t="str">
        <f>IFERROR(__xludf.DUMMYFUNCTION("IF(ISBLANK(J15), ""Input test step"", ARRAYFORMULA(TEXTJOIN(CHAR(10), TRUE, (""Step ""&amp; ROW(INDIRECT(""1:"" &amp; COUNTA(SPLIT(J15, CHAR(10))))) &amp; "": "" &amp; TRANSPOSE(SPLIT(J15, CHAR(10)))))))"),"Step 1: Đăng nhập vào tài  khoản
Step 2: Chọn mục cá nhân
Step 3: Chọn mục số địa chỉ
Step 4: Kiểm tra hiển thị số điện thoại khách hàng ")</f>
        <v>Step 1: Đăng nhập vào tài  khoản
Step 2: Chọn mục cá nhân
Step 3: Chọn mục số địa chỉ
Step 4: Kiểm tra hiển thị số điện thoại khách hàng </v>
      </c>
      <c r="L15" s="14" t="s">
        <v>3587</v>
      </c>
      <c r="M15" s="12" t="s">
        <v>3588</v>
      </c>
      <c r="N15" s="12" t="s">
        <v>3517</v>
      </c>
      <c r="O15" s="12" t="s">
        <v>1</v>
      </c>
      <c r="P15" s="19"/>
    </row>
    <row r="16">
      <c r="A16" s="28"/>
      <c r="B16" s="28"/>
      <c r="C16" s="28"/>
      <c r="D16" s="28"/>
      <c r="E16" s="18"/>
      <c r="F16" s="12" t="s">
        <v>3589</v>
      </c>
      <c r="G16" s="56"/>
      <c r="H16" s="12" t="s">
        <v>3590</v>
      </c>
      <c r="I16" s="12" t="s">
        <v>3528</v>
      </c>
      <c r="J16" s="12" t="s">
        <v>3583</v>
      </c>
      <c r="K16" s="13" t="str">
        <f>IFERROR(__xludf.DUMMYFUNCTION("IF(ISBLANK(J16), ""Input test step"", ARRAYFORMULA(TEXTJOIN(CHAR(10), TRUE, (""Step ""&amp; ROW(INDIRECT(""1:"" &amp; COUNTA(SPLIT(J16, CHAR(10))))) &amp; "": "" &amp; TRANSPOSE(SPLIT(J16, CHAR(10)))))))"),"Step 1: Đăng nhập vào tài  khoản
Step 2: Chọn mục cá nhân
Step 3: Chọn mục số địa chỉ
Step 4: Kiểm tra hiển thị tên khách hàng  ( in đậm, viết hoa chữ cái đầu )")</f>
        <v>Step 1: Đăng nhập vào tài  khoản
Step 2: Chọn mục cá nhân
Step 3: Chọn mục số địa chỉ
Step 4: Kiểm tra hiển thị tên khách hàng  ( in đậm, viết hoa chữ cái đầu )</v>
      </c>
      <c r="L16" s="14" t="s">
        <v>3591</v>
      </c>
      <c r="M16" s="12" t="s">
        <v>3592</v>
      </c>
      <c r="N16" s="12" t="s">
        <v>3592</v>
      </c>
      <c r="O16" s="12" t="s">
        <v>1</v>
      </c>
      <c r="P16" s="19"/>
    </row>
    <row r="17">
      <c r="A17" s="28"/>
      <c r="B17" s="28"/>
      <c r="C17" s="28"/>
      <c r="D17" s="28"/>
      <c r="E17" s="18"/>
      <c r="F17" s="12" t="s">
        <v>3593</v>
      </c>
      <c r="G17" s="56"/>
      <c r="H17" s="52" t="s">
        <v>3594</v>
      </c>
      <c r="I17" s="45" t="s">
        <v>3595</v>
      </c>
      <c r="J17" s="12" t="s">
        <v>3596</v>
      </c>
      <c r="K17" s="13" t="str">
        <f>IFERROR(__xludf.DUMMYFUNCTION("IF(ISBLANK(J17), ""Input test step"", ARRAYFORMULA(TEXTJOIN(CHAR(10), TRUE, (""Step ""&amp; ROW(INDIRECT(""1:"" &amp; COUNTA(SPLIT(J17, CHAR(10))))) &amp; "": "" &amp; TRANSPOSE(SPLIT(J17, CHAR(10)))))))"),"Step 1: Đăng nhập vào tài  khoản
Step 2: Chọn mục cá nhân
Step 3: Chọn mục số địa chỉ
Step 4: Kiểm tra 1 địa chỉ được đánh dấu là mặc định hay không")</f>
        <v>Step 1: Đăng nhập vào tài  khoản
Step 2: Chọn mục cá nhân
Step 3: Chọn mục số địa chỉ
Step 4: Kiểm tra 1 địa chỉ được đánh dấu là mặc định hay không</v>
      </c>
      <c r="L17" s="14"/>
      <c r="M17" s="73" t="s">
        <v>3597</v>
      </c>
      <c r="N17" s="73" t="s">
        <v>3597</v>
      </c>
      <c r="O17" s="12" t="s">
        <v>1</v>
      </c>
      <c r="P17" s="19"/>
    </row>
    <row r="18">
      <c r="A18" s="28"/>
      <c r="B18" s="28"/>
      <c r="C18" s="28"/>
      <c r="D18" s="28"/>
      <c r="E18" s="18"/>
      <c r="F18" s="12" t="s">
        <v>3598</v>
      </c>
      <c r="G18" s="56"/>
      <c r="H18" s="12" t="s">
        <v>3599</v>
      </c>
      <c r="I18" s="12" t="s">
        <v>3528</v>
      </c>
      <c r="J18" s="12" t="s">
        <v>3600</v>
      </c>
      <c r="K18" s="13" t="str">
        <f>IFERROR(__xludf.DUMMYFUNCTION("IF(ISBLANK(J18), ""Input test step"", ARRAYFORMULA(TEXTJOIN(CHAR(10), TRUE, (""Step ""&amp; ROW(INDIRECT(""1:"" &amp; COUNTA(SPLIT(J18, CHAR(10))))) &amp; "": "" &amp; TRANSPOSE(SPLIT(J18, CHAR(10)))))))"),"Step 1: Đăng nhập vào tài  khoản
Step 2: Chọn mục cá nhân
Step 3: Chọn mục số địa chỉ
Step 4: Kiểm tra 1 địa chỉ được đánh dấu là mặc định ( hiển thị đúng màu sắc, kích thước,cỡ chữ ,icon )")</f>
        <v>Step 1: Đăng nhập vào tài  khoản
Step 2: Chọn mục cá nhân
Step 3: Chọn mục số địa chỉ
Step 4: Kiểm tra 1 địa chỉ được đánh dấu là mặc định ( hiển thị đúng màu sắc, kích thước,cỡ chữ ,icon )</v>
      </c>
      <c r="L18" s="14"/>
      <c r="M18" s="12" t="s">
        <v>3601</v>
      </c>
      <c r="N18" s="12" t="s">
        <v>3602</v>
      </c>
      <c r="O18" s="12" t="s">
        <v>2</v>
      </c>
      <c r="P18" s="19"/>
    </row>
    <row r="19">
      <c r="A19" s="28"/>
      <c r="B19" s="28"/>
      <c r="C19" s="28"/>
      <c r="D19" s="28"/>
      <c r="E19" s="18"/>
      <c r="F19" s="12" t="s">
        <v>3603</v>
      </c>
      <c r="G19" s="56"/>
      <c r="H19" s="54" t="s">
        <v>3604</v>
      </c>
      <c r="I19" s="12" t="s">
        <v>3528</v>
      </c>
      <c r="J19" s="12" t="s">
        <v>3605</v>
      </c>
      <c r="K19" s="13" t="str">
        <f>IFERROR(__xludf.DUMMYFUNCTION("IF(ISBLANK(J19), ""Input test step"", ARRAYFORMULA(TEXTJOIN(CHAR(10), TRUE, (""Step ""&amp; ROW(INDIRECT(""1:"" &amp; COUNTA(SPLIT(J19, CHAR(10))))) &amp; "": "" &amp; TRANSPOSE(SPLIT(J19, CHAR(10)))))))"),"Step 1: Đăng nhập vào tài  khoản
Step 2: Chọn mục cá nhân
Step 3: Chọn mục số địa chỉ
Step 4: Kiểm tra khi không có danh sách địa chỉ")</f>
        <v>Step 1: Đăng nhập vào tài  khoản
Step 2: Chọn mục cá nhân
Step 3: Chọn mục số địa chỉ
Step 4: Kiểm tra khi không có danh sách địa chỉ</v>
      </c>
      <c r="L19" s="14"/>
      <c r="M19" s="12" t="s">
        <v>3606</v>
      </c>
      <c r="N19" s="12" t="s">
        <v>3607</v>
      </c>
      <c r="O19" s="12" t="s">
        <v>2</v>
      </c>
      <c r="P19" s="19"/>
    </row>
    <row r="20">
      <c r="A20" s="28"/>
      <c r="B20" s="28"/>
      <c r="C20" s="28"/>
      <c r="D20" s="28"/>
      <c r="E20" s="18"/>
      <c r="F20" s="12" t="s">
        <v>3608</v>
      </c>
      <c r="G20" s="56"/>
      <c r="H20" s="12" t="s">
        <v>3609</v>
      </c>
      <c r="I20" s="12" t="s">
        <v>3528</v>
      </c>
      <c r="J20" s="12" t="s">
        <v>3610</v>
      </c>
      <c r="K20" s="13" t="str">
        <f>IFERROR(__xludf.DUMMYFUNCTION("IF(ISBLANK(J20), ""Input test step"", ARRAYFORMULA(TEXTJOIN(CHAR(10), TRUE, (""Step ""&amp; ROW(INDIRECT(""1:"" &amp; COUNTA(SPLIT(J20, CHAR(10))))) &amp; "": "" &amp; TRANSPOSE(SPLIT(J20, CHAR(10)))))))"),"Step 1: Đăng nhập vào tài  khoản
Step 2: Chọn mục cá nhân
Step 3: Chọn mục số địa chỉ
Step 4: Thử cuộn màn hình lên và xuống")</f>
        <v>Step 1: Đăng nhập vào tài  khoản
Step 2: Chọn mục cá nhân
Step 3: Chọn mục số địa chỉ
Step 4: Thử cuộn màn hình lên và xuống</v>
      </c>
      <c r="L20" s="14"/>
      <c r="M20" s="52" t="s">
        <v>3611</v>
      </c>
      <c r="N20" s="31" t="s">
        <v>3612</v>
      </c>
      <c r="O20" s="12" t="s">
        <v>2</v>
      </c>
      <c r="P20" s="32"/>
    </row>
    <row r="21">
      <c r="A21" s="28"/>
      <c r="B21" s="28"/>
      <c r="C21" s="28"/>
      <c r="D21" s="28"/>
      <c r="E21" s="18"/>
      <c r="F21" s="12" t="s">
        <v>3613</v>
      </c>
      <c r="G21" s="56"/>
      <c r="H21" s="52" t="s">
        <v>3614</v>
      </c>
      <c r="I21" s="12" t="s">
        <v>3528</v>
      </c>
      <c r="J21" s="12" t="s">
        <v>3615</v>
      </c>
      <c r="K21" s="13" t="str">
        <f>IFERROR(__xludf.DUMMYFUNCTION("IF(ISBLANK(J21), ""Input test step"", ARRAYFORMULA(TEXTJOIN(CHAR(10), TRUE, (""Step ""&amp; ROW(INDIRECT(""1:"" &amp; COUNTA(SPLIT(J21, CHAR(10))))) &amp; "": "" &amp; TRANSPOSE(SPLIT(J21, CHAR(10)))))))"),"Step 1: Đăng nhập vào tài  khoản
Step 2: Chọn mục cá nhân
Step 3: Chọn mục số địa chỉ
Step 4: Kiểm tra hiển thị danh sách chỉ có ít địa chỉ ) ")</f>
        <v>Step 1: Đăng nhập vào tài  khoản
Step 2: Chọn mục cá nhân
Step 3: Chọn mục số địa chỉ
Step 4: Kiểm tra hiển thị danh sách chỉ có ít địa chỉ ) </v>
      </c>
      <c r="L21" s="33"/>
      <c r="M21" s="73" t="s">
        <v>3616</v>
      </c>
      <c r="N21" s="73" t="s">
        <v>3616</v>
      </c>
      <c r="O21" s="12" t="s">
        <v>1</v>
      </c>
      <c r="P21" s="32"/>
    </row>
    <row r="22">
      <c r="A22" s="28"/>
      <c r="B22" s="28"/>
      <c r="C22" s="28"/>
      <c r="D22" s="28"/>
      <c r="E22" s="18"/>
      <c r="F22" s="12" t="s">
        <v>3617</v>
      </c>
      <c r="G22" s="56"/>
      <c r="H22" s="73" t="s">
        <v>3618</v>
      </c>
      <c r="I22" s="12" t="s">
        <v>3528</v>
      </c>
      <c r="J22" s="12" t="s">
        <v>3619</v>
      </c>
      <c r="K22" s="13" t="str">
        <f>IFERROR(__xludf.DUMMYFUNCTION("IF(ISBLANK(J22), ""Input test step"", ARRAYFORMULA(TEXTJOIN(CHAR(10), TRUE, (""Step ""&amp; ROW(INDIRECT(""1:"" &amp; COUNTA(SPLIT(J22, CHAR(10))))) &amp; "": "" &amp; TRANSPOSE(SPLIT(J22, CHAR(10)))))))"),"Step 1: Đăng nhập vào tài  khoản
Step 2: Chọn mục cá nhân
Step 3: Chọn mục số địa chỉ
Step 4: Nhấn vào nút thêm mới địa chỉ ")</f>
        <v>Step 1: Đăng nhập vào tài  khoản
Step 2: Chọn mục cá nhân
Step 3: Chọn mục số địa chỉ
Step 4: Nhấn vào nút thêm mới địa chỉ </v>
      </c>
      <c r="L22" s="33"/>
      <c r="M22" s="52" t="s">
        <v>3620</v>
      </c>
      <c r="N22" s="73" t="s">
        <v>3620</v>
      </c>
      <c r="O22" s="12" t="s">
        <v>1</v>
      </c>
      <c r="P22" s="32"/>
    </row>
    <row r="23">
      <c r="A23" s="28"/>
      <c r="B23" s="28"/>
      <c r="C23" s="28"/>
      <c r="D23" s="28"/>
      <c r="E23" s="18"/>
      <c r="F23" s="12" t="s">
        <v>3621</v>
      </c>
      <c r="G23" s="56"/>
      <c r="H23" s="52" t="s">
        <v>3622</v>
      </c>
      <c r="I23" s="12" t="s">
        <v>3528</v>
      </c>
      <c r="J23" s="12" t="s">
        <v>3623</v>
      </c>
      <c r="K23" s="13" t="str">
        <f>IFERROR(__xludf.DUMMYFUNCTION("IF(ISBLANK(J23), ""Input test step"", ARRAYFORMULA(TEXTJOIN(CHAR(10), TRUE, (""Step ""&amp; ROW(INDIRECT(""1:"" &amp; COUNTA(SPLIT(J23, CHAR(10))))) &amp; "": "" &amp; TRANSPOSE(SPLIT(J23, CHAR(10)))))))"),"Step 1: Đăng nhập vào tài  khoản
Step 2: Chọn mục cá nhân
Step 3: Chọn mục số địa chỉ
Step 4: Nhấn vào nút quay lại ở góc trên bên trái màn hình ")</f>
        <v>Step 1: Đăng nhập vào tài  khoản
Step 2: Chọn mục cá nhân
Step 3: Chọn mục số địa chỉ
Step 4: Nhấn vào nút quay lại ở góc trên bên trái màn hình </v>
      </c>
      <c r="L23" s="34"/>
      <c r="M23" s="31" t="s">
        <v>3624</v>
      </c>
      <c r="N23" s="31" t="s">
        <v>3624</v>
      </c>
      <c r="O23" s="12" t="s">
        <v>1</v>
      </c>
      <c r="P23" s="32"/>
    </row>
    <row r="24">
      <c r="C24" s="35"/>
      <c r="D24" s="35"/>
      <c r="E24" s="18"/>
      <c r="F24" s="12" t="s">
        <v>3625</v>
      </c>
      <c r="G24" s="56"/>
      <c r="H24" s="12" t="s">
        <v>3626</v>
      </c>
      <c r="I24" s="12" t="s">
        <v>3528</v>
      </c>
      <c r="J24" s="12" t="s">
        <v>3627</v>
      </c>
      <c r="K24" s="13" t="str">
        <f>IFERROR(__xludf.DUMMYFUNCTION("IF(ISBLANK(J24), ""Input test step"", ARRAYFORMULA(TEXTJOIN(CHAR(10), TRUE, (""Step ""&amp; ROW(INDIRECT(""1:"" &amp; COUNTA(SPLIT(J24, CHAR(10))))) &amp; "": "" &amp; TRANSPOSE(SPLIT(J24, CHAR(10)))))))"),"Step 1: Đăng nhập vào tài  khoản
Step 2: Chọn mục cá nhân
Step 3: Chọn mục số địa chỉ
Step 4: Thêm mới max địa chỉ --&gt; chỉ được thêm mới tối đa 7 địa chỉ")</f>
        <v>Step 1: Đăng nhập vào tài  khoản
Step 2: Chọn mục cá nhân
Step 3: Chọn mục số địa chỉ
Step 4: Thêm mới max địa chỉ --&gt; chỉ được thêm mới tối đa 7 địa chỉ</v>
      </c>
      <c r="L24" s="34"/>
      <c r="M24" s="31" t="s">
        <v>3628</v>
      </c>
      <c r="N24" s="31" t="s">
        <v>3629</v>
      </c>
      <c r="O24" s="12" t="s">
        <v>2</v>
      </c>
      <c r="P24" s="32"/>
    </row>
    <row r="25">
      <c r="C25" s="35"/>
      <c r="D25" s="35"/>
      <c r="E25" s="18"/>
      <c r="F25" s="12" t="s">
        <v>3630</v>
      </c>
      <c r="G25" s="57"/>
      <c r="H25" s="12" t="s">
        <v>3631</v>
      </c>
      <c r="I25" s="12" t="s">
        <v>3528</v>
      </c>
      <c r="J25" s="30" t="s">
        <v>3632</v>
      </c>
      <c r="K25" s="13" t="str">
        <f>IFERROR(__xludf.DUMMYFUNCTION("IF(ISBLANK(J25), ""Input test step"", ARRAYFORMULA(TEXTJOIN(CHAR(10), TRUE, (""Step ""&amp; ROW(INDIRECT(""1:"" &amp; COUNTA(SPLIT(J25, CHAR(10))))) &amp; "": "" &amp; TRANSPOSE(SPLIT(J25, CHAR(10)))))))"),"Step 1: Điều hướng đến trang lịch sử đơn hàng
Step 2: Chọn vào tab "" Đã giao ""
Step 3: Chọn đơn hàng có địa chỉ được áp dụng sau địa chỉ gần nhất 
Step 4: Quan sát địa chỉ được áp dụng của đơn hàng đó 
Step 5: Điều hướng đến trang chủ
Step 6: Chọn sản p"&amp;"hẩm để đặt hàng
Step 7: Nhấn vào button  "" Mua ngay "" 
Step 8: Nhấn vào button "" Tiến hành đặt hàng "" 
Step 9: Chọn vào button "" Thanh Toán ""
Step 10: Nhấn vào vùng địa chỉ giao hàng 
Step 11: Chọn vào địa chỉ đang được áp dụng đơn hàng 
Step 12: Nh"&amp;"ấn vào button "" Xóa "" 
Step 13: Nhấn vào button "" Đồng ý "" để thực hiện xóa 
Step 14: Nhấn icon back để trở về trang thanh toán 
Step 15: Quan sát và kiểm tra đơn hàng có được áp dụng địa chỉ gần nhất sau đó không")</f>
        <v>Step 1: Điều hướng đến trang lịch sử đơn hàng
Step 2: Chọn vào tab " Đã giao "
Step 3: Chọn đơn hàng có địa chỉ được áp dụng sau địa chỉ gần nhất 
Step 4: Quan sát địa chỉ được áp dụng của đơn hàng đó 
Step 5: Điều hướng đến trang chủ
Step 6: Chọn sản phẩm để đặt hàng
Step 7: Nhấn vào button  " Mua ngay " 
Step 8: Nhấn vào button " Tiến hành đặt hàng " 
Step 9: Chọn vào button " Thanh Toán "
Step 10: Nhấn vào vùng địa chỉ giao hàng 
Step 11: Chọn vào địa chỉ đang được áp dụng đơn hàng 
Step 12: Nhấn vào button " Xóa " 
Step 13: Nhấn vào button " Đồng ý " để thực hiện xóa 
Step 14: Nhấn icon back để trở về trang thanh toán 
Step 15: Quan sát và kiểm tra đơn hàng có được áp dụng địa chỉ gần nhất sau đó không</v>
      </c>
      <c r="L25" s="34" t="s">
        <v>3633</v>
      </c>
      <c r="M25" s="31" t="s">
        <v>3634</v>
      </c>
      <c r="N25" s="31"/>
      <c r="O25" s="12"/>
      <c r="P25" s="32"/>
    </row>
    <row r="26">
      <c r="C26" s="35"/>
      <c r="D26" s="35"/>
      <c r="E26" s="18"/>
      <c r="F26" s="12" t="s">
        <v>3635</v>
      </c>
      <c r="G26" s="104" t="s">
        <v>3636</v>
      </c>
      <c r="H26" s="12" t="s">
        <v>3637</v>
      </c>
      <c r="I26" s="12" t="s">
        <v>3553</v>
      </c>
      <c r="J26" s="12" t="s">
        <v>3638</v>
      </c>
      <c r="K26" s="13" t="str">
        <f>IFERROR(__xludf.DUMMYFUNCTION("IF(ISBLANK(J26), ""Input test step"", ARRAYFORMULA(TEXTJOIN(CHAR(10), TRUE, (""Step ""&amp; ROW(INDIRECT(""1:"" &amp; COUNTA(SPLIT(J26, CHAR(10))))) &amp; "": "" &amp; TRANSPOSE(SPLIT(J26, CHAR(10)))))))"),"Step 1: Đăng nhập vào tài  khoản
Step 2: Chọn mục cá nhân
Step 3: Chọn mục số địa chỉ
Step 4: Nhấn xem chi tiết địa chỉ
Step 5: Nhấn nút quay về ở góc trên bên trái để quay về màn hình "" Sổ địa chỉ """)</f>
        <v>Step 1: Đăng nhập vào tài  khoản
Step 2: Chọn mục cá nhân
Step 3: Chọn mục số địa chỉ
Step 4: Nhấn xem chi tiết địa chỉ
Step 5: Nhấn nút quay về ở góc trên bên trái để quay về màn hình " Sổ địa chỉ "</v>
      </c>
      <c r="L26" s="34"/>
      <c r="M26" s="31" t="s">
        <v>3639</v>
      </c>
      <c r="N26" s="31" t="s">
        <v>3640</v>
      </c>
      <c r="O26" s="12" t="s">
        <v>2</v>
      </c>
      <c r="P26" s="32"/>
    </row>
    <row r="27">
      <c r="C27" s="35"/>
      <c r="D27" s="35"/>
      <c r="E27" s="18"/>
      <c r="F27" s="12" t="s">
        <v>3641</v>
      </c>
      <c r="G27" s="56"/>
      <c r="H27" s="12" t="s">
        <v>3642</v>
      </c>
      <c r="I27" s="12" t="s">
        <v>3553</v>
      </c>
      <c r="J27" s="12" t="s">
        <v>3643</v>
      </c>
      <c r="K27" s="13" t="str">
        <f>IFERROR(__xludf.DUMMYFUNCTION("IF(ISBLANK(J27), ""Input test step"", ARRAYFORMULA(TEXTJOIN(CHAR(10), TRUE, (""Step ""&amp; ROW(INDIRECT(""1:"" &amp; COUNTA(SPLIT(J27, CHAR(10))))) &amp; "": "" &amp; TRANSPOSE(SPLIT(J27, CHAR(10)))))))"),"Step 1: Đăng nhập vào tài  khoản
Step 2: Chọn mục cá nhân
Step 3: Chọn mục số địa chỉ
Step 4: Nhấn xem chi tiết địa chỉ
Step 5: Hiển thị màn hình chỉnh sửa địa chỉ")</f>
        <v>Step 1: Đăng nhập vào tài  khoản
Step 2: Chọn mục cá nhân
Step 3: Chọn mục số địa chỉ
Step 4: Nhấn xem chi tiết địa chỉ
Step 5: Hiển thị màn hình chỉnh sửa địa chỉ</v>
      </c>
      <c r="L27" s="34" t="s">
        <v>3644</v>
      </c>
      <c r="M27" s="31" t="s">
        <v>3645</v>
      </c>
      <c r="N27" s="31" t="s">
        <v>3646</v>
      </c>
      <c r="O27" s="12" t="s">
        <v>2</v>
      </c>
      <c r="P27" s="32"/>
    </row>
    <row r="28">
      <c r="A28" s="35"/>
      <c r="B28" s="35"/>
      <c r="C28" s="35"/>
      <c r="D28" s="35"/>
      <c r="E28" s="18"/>
      <c r="F28" s="12" t="s">
        <v>3647</v>
      </c>
      <c r="G28" s="56"/>
      <c r="H28" s="12" t="s">
        <v>3648</v>
      </c>
      <c r="I28" s="12" t="s">
        <v>3649</v>
      </c>
      <c r="J28" s="12" t="s">
        <v>3650</v>
      </c>
      <c r="K28" s="13" t="str">
        <f>IFERROR(__xludf.DUMMYFUNCTION("IF(ISBLANK(J28), ""Input test step"", ARRAYFORMULA(TEXTJOIN(CHAR(10), TRUE, (""Step ""&amp; ROW(INDIRECT(""1:"" &amp; COUNTA(SPLIT(J28, CHAR(10))))) &amp; "": "" &amp; TRANSPOSE(SPLIT(J28, CHAR(10)))))))"),"Step 1: Đăng nhập vào tài  khoản
Step 2: Chọn mục cá nhân
Step 3: Chọn mục số địa chỉ
Step 4: Nhấn xem chi tiết địa chỉ
Step 5: Hiển thị màn hình chỉnh sửa địa chỉ
Step 6: Kiểm tra chỉnh sửa họ và tên hợp lệ
Step 7: Nhấn "" Lưu thay đổi """)</f>
        <v>Step 1: Đăng nhập vào tài  khoản
Step 2: Chọn mục cá nhân
Step 3: Chọn mục số địa chỉ
Step 4: Nhấn xem chi tiết địa chỉ
Step 5: Hiển thị màn hình chỉnh sửa địa chỉ
Step 6: Kiểm tra chỉnh sửa họ và tên hợp lệ
Step 7: Nhấn " Lưu thay đổi "</v>
      </c>
      <c r="L28" s="34" t="s">
        <v>3651</v>
      </c>
      <c r="M28" s="52" t="s">
        <v>3652</v>
      </c>
      <c r="N28" s="73" t="s">
        <v>3652</v>
      </c>
      <c r="O28" s="12" t="s">
        <v>1</v>
      </c>
      <c r="P28" s="32"/>
    </row>
    <row r="29">
      <c r="A29" s="35"/>
      <c r="B29" s="35"/>
      <c r="C29" s="35"/>
      <c r="D29" s="35"/>
      <c r="E29" s="18"/>
      <c r="F29" s="12" t="s">
        <v>3653</v>
      </c>
      <c r="G29" s="56"/>
      <c r="H29" s="12" t="s">
        <v>3654</v>
      </c>
      <c r="I29" s="12" t="s">
        <v>3649</v>
      </c>
      <c r="J29" s="12" t="s">
        <v>3655</v>
      </c>
      <c r="K29" s="13" t="str">
        <f>IFERROR(__xludf.DUMMYFUNCTION("IF(ISBLANK(J29), ""Input test step"", ARRAYFORMULA(TEXTJOIN(CHAR(10), TRUE, (""Step ""&amp; ROW(INDIRECT(""1:"" &amp; COUNTA(SPLIT(J29, CHAR(10))))) &amp; "": "" &amp; TRANSPOSE(SPLIT(J29, CHAR(10)))))))"),"Step 1: Đăng nhập vào tài  khoản
Step 2: Chọn mục cá nhân
Step 3: Chọn mục số địa chỉ
Step 4: Nhấn xem chi tiết địa chỉ
Step 5: Hiển thị màn hình chỉnh sửa địa chỉ
Step 6: Kiểm tra nhập max kí tự họ và tên
Step 7: Nhấn "" Lưu thay đổi """)</f>
        <v>Step 1: Đăng nhập vào tài  khoản
Step 2: Chọn mục cá nhân
Step 3: Chọn mục số địa chỉ
Step 4: Nhấn xem chi tiết địa chỉ
Step 5: Hiển thị màn hình chỉnh sửa địa chỉ
Step 6: Kiểm tra nhập max kí tự họ và tên
Step 7: Nhấn " Lưu thay đổi "</v>
      </c>
      <c r="L29" s="34"/>
      <c r="M29" s="12" t="s">
        <v>3656</v>
      </c>
      <c r="N29" s="12" t="s">
        <v>1839</v>
      </c>
      <c r="O29" s="12" t="s">
        <v>2</v>
      </c>
      <c r="P29" s="32"/>
    </row>
    <row r="30">
      <c r="A30" s="35"/>
      <c r="B30" s="35"/>
      <c r="C30" s="35"/>
      <c r="D30" s="35"/>
      <c r="E30" s="18"/>
      <c r="F30" s="12" t="s">
        <v>3657</v>
      </c>
      <c r="G30" s="56"/>
      <c r="H30" s="12" t="s">
        <v>3658</v>
      </c>
      <c r="I30" s="12" t="s">
        <v>3649</v>
      </c>
      <c r="J30" s="12" t="s">
        <v>3659</v>
      </c>
      <c r="K30" s="13" t="str">
        <f>IFERROR(__xludf.DUMMYFUNCTION("IF(ISBLANK(J30), ""Input test step"", ARRAYFORMULA(TEXTJOIN(CHAR(10), TRUE, (""Step ""&amp; ROW(INDIRECT(""1:"" &amp; COUNTA(SPLIT(J30, CHAR(10))))) &amp; "": "" &amp; TRANSPOSE(SPLIT(J30, CHAR(10)))))))"),"Step 1: Đăng nhập vào tài  khoản
Step 2: Chọn mục cá nhân
Step 3: Chọn mục số địa chỉ
Step 4: Nhấn xem chi tiết địa chỉ
Step 5: Hiển thị màn hình chỉnh sửa địa chỉ
Step 6: Xóa hết dữ liệu Họ và tên
Step 7: Nhấn "" Lưu thay đổi """)</f>
        <v>Step 1: Đăng nhập vào tài  khoản
Step 2: Chọn mục cá nhân
Step 3: Chọn mục số địa chỉ
Step 4: Nhấn xem chi tiết địa chỉ
Step 5: Hiển thị màn hình chỉnh sửa địa chỉ
Step 6: Xóa hết dữ liệu Họ và tên
Step 7: Nhấn " Lưu thay đổi "</v>
      </c>
      <c r="L30" s="34"/>
      <c r="M30" s="12" t="s">
        <v>3660</v>
      </c>
      <c r="N30" s="12" t="s">
        <v>3660</v>
      </c>
      <c r="O30" s="12" t="s">
        <v>1</v>
      </c>
      <c r="P30" s="32"/>
    </row>
    <row r="31">
      <c r="A31" s="36"/>
      <c r="B31" s="36"/>
      <c r="C31" s="36"/>
      <c r="D31" s="36"/>
      <c r="E31" s="27"/>
      <c r="F31" s="12" t="s">
        <v>3661</v>
      </c>
      <c r="G31" s="56"/>
      <c r="H31" s="12" t="s">
        <v>3662</v>
      </c>
      <c r="I31" s="12" t="s">
        <v>3649</v>
      </c>
      <c r="J31" s="12" t="s">
        <v>3663</v>
      </c>
      <c r="K31" s="13" t="str">
        <f>IFERROR(__xludf.DUMMYFUNCTION("IF(ISBLANK(J31), ""Input test step"", ARRAYFORMULA(TEXTJOIN(CHAR(10), TRUE, (""Step ""&amp; ROW(INDIRECT(""1:"" &amp; COUNTA(SPLIT(J31, CHAR(10))))) &amp; "": "" &amp; TRANSPOSE(SPLIT(J31, CHAR(10)))))))"),"Step 1: Đăng nhập vào tài  khoản
Step 2: Chọn mục cá nhân
Step 3: Chọn mục số địa chỉ
Step 4: Nhấn xem chi tiết địa chỉ
Step 5: Hiển thị màn hình chỉnh sửa địa chỉ
Step 6: Nhập số điện thoại đúng định dạng
Step 7: Nhấn "" Lưu thay đổi """)</f>
        <v>Step 1: Đăng nhập vào tài  khoản
Step 2: Chọn mục cá nhân
Step 3: Chọn mục số địa chỉ
Step 4: Nhấn xem chi tiết địa chỉ
Step 5: Hiển thị màn hình chỉnh sửa địa chỉ
Step 6: Nhập số điện thoại đúng định dạng
Step 7: Nhấn " Lưu thay đổi "</v>
      </c>
      <c r="L31" s="14" t="s">
        <v>3664</v>
      </c>
      <c r="M31" s="12" t="s">
        <v>1870</v>
      </c>
      <c r="N31" s="12" t="s">
        <v>1870</v>
      </c>
      <c r="O31" s="12" t="s">
        <v>1</v>
      </c>
      <c r="P31" s="32"/>
    </row>
    <row r="32">
      <c r="A32" s="36"/>
      <c r="B32" s="36"/>
      <c r="C32" s="36"/>
      <c r="D32" s="36"/>
      <c r="E32" s="27"/>
      <c r="F32" s="12" t="s">
        <v>3665</v>
      </c>
      <c r="G32" s="56"/>
      <c r="H32" s="12" t="s">
        <v>3666</v>
      </c>
      <c r="I32" s="12" t="s">
        <v>3649</v>
      </c>
      <c r="J32" s="12" t="s">
        <v>3663</v>
      </c>
      <c r="K32" s="13" t="str">
        <f>IFERROR(__xludf.DUMMYFUNCTION("IF(ISBLANK(J32), ""Input test step"", ARRAYFORMULA(TEXTJOIN(CHAR(10), TRUE, (""Step ""&amp; ROW(INDIRECT(""1:"" &amp; COUNTA(SPLIT(J32, CHAR(10))))) &amp; "": "" &amp; TRANSPOSE(SPLIT(J32, CHAR(10)))))))"),"Step 1: Đăng nhập vào tài  khoản
Step 2: Chọn mục cá nhân
Step 3: Chọn mục số địa chỉ
Step 4: Nhấn xem chi tiết địa chỉ
Step 5: Hiển thị màn hình chỉnh sửa địa chỉ
Step 6: Nhập số điện thoại đúng định dạng
Step 7: Nhấn "" Lưu thay đổi """)</f>
        <v>Step 1: Đăng nhập vào tài  khoản
Step 2: Chọn mục cá nhân
Step 3: Chọn mục số địa chỉ
Step 4: Nhấn xem chi tiết địa chỉ
Step 5: Hiển thị màn hình chỉnh sửa địa chỉ
Step 6: Nhập số điện thoại đúng định dạng
Step 7: Nhấn " Lưu thay đổi "</v>
      </c>
      <c r="L32" s="14" t="s">
        <v>2062</v>
      </c>
      <c r="M32" s="12" t="s">
        <v>3667</v>
      </c>
      <c r="N32" s="12" t="s">
        <v>3668</v>
      </c>
      <c r="O32" s="12" t="s">
        <v>2</v>
      </c>
      <c r="P32" s="32"/>
    </row>
    <row r="33">
      <c r="A33" s="37"/>
      <c r="B33" s="37"/>
      <c r="C33" s="37"/>
      <c r="D33" s="37"/>
      <c r="E33" s="37"/>
      <c r="F33" s="12" t="s">
        <v>3669</v>
      </c>
      <c r="G33" s="56"/>
      <c r="H33" s="12" t="s">
        <v>3670</v>
      </c>
      <c r="I33" s="12" t="s">
        <v>3649</v>
      </c>
      <c r="J33" s="12" t="s">
        <v>3671</v>
      </c>
      <c r="K33" s="13" t="str">
        <f>IFERROR(__xludf.DUMMYFUNCTION("IF(ISBLANK(J33), ""Input test step"", ARRAYFORMULA(TEXTJOIN(CHAR(10), TRUE, (""Step ""&amp; ROW(INDIRECT(""1:"" &amp; COUNTA(SPLIT(J33, CHAR(10))))) &amp; "": "" &amp; TRANSPOSE(SPLIT(J33, CHAR(10)))))))"),"Step 1: Đăng nhập vào tài  khoản
Step 2: Chọn mục cá nhân
Step 3: Chọn mục số địa chỉ
Step 4: Nhấn xem chi tiết địa chỉ
Step 5: Hiển thị màn hình chỉnh sửa địa chỉ
Step 6: Nhập kí tự chữ vào số điện thoại
Step 7: Nhấn "" Lưu thay đổi """)</f>
        <v>Step 1: Đăng nhập vào tài  khoản
Step 2: Chọn mục cá nhân
Step 3: Chọn mục số địa chỉ
Step 4: Nhấn xem chi tiết địa chỉ
Step 5: Hiển thị màn hình chỉnh sửa địa chỉ
Step 6: Nhập kí tự chữ vào số điện thoại
Step 7: Nhấn " Lưu thay đổi "</v>
      </c>
      <c r="L33" s="14" t="s">
        <v>3672</v>
      </c>
      <c r="M33" s="12" t="s">
        <v>3673</v>
      </c>
      <c r="N33" s="12" t="s">
        <v>3674</v>
      </c>
      <c r="O33" s="12" t="s">
        <v>2</v>
      </c>
      <c r="P33" s="38"/>
    </row>
    <row r="34">
      <c r="A34" s="37"/>
      <c r="B34" s="37"/>
      <c r="C34" s="37"/>
      <c r="D34" s="37"/>
      <c r="E34" s="37"/>
      <c r="F34" s="12" t="s">
        <v>3675</v>
      </c>
      <c r="G34" s="56"/>
      <c r="H34" s="12" t="s">
        <v>3676</v>
      </c>
      <c r="I34" s="12" t="s">
        <v>3649</v>
      </c>
      <c r="J34" s="12" t="s">
        <v>3677</v>
      </c>
      <c r="K34" s="13" t="str">
        <f>IFERROR(__xludf.DUMMYFUNCTION("IF(ISBLANK(J34), ""Input test step"", ARRAYFORMULA(TEXTJOIN(CHAR(10), TRUE, (""Step ""&amp; ROW(INDIRECT(""1:"" &amp; COUNTA(SPLIT(J34, CHAR(10))))) &amp; "": "" &amp; TRANSPOSE(SPLIT(J34, CHAR(10)))))))"),"Step 1: Đăng nhập vào tài  khoản
Step 2: Chọn mục cá nhân
Step 3: Chọn mục số địa chỉ
Step 4: Nhấn xem chi tiết địa chỉ
Step 5: Hiển thị màn hình chỉnh sửa địa chỉ
Step 6: Xóa tất cả nội dung trong ô số điện thoại
Step 7: Nhấn "" Lưu thay đổi """)</f>
        <v>Step 1: Đăng nhập vào tài  khoản
Step 2: Chọn mục cá nhân
Step 3: Chọn mục số địa chỉ
Step 4: Nhấn xem chi tiết địa chỉ
Step 5: Hiển thị màn hình chỉnh sửa địa chỉ
Step 6: Xóa tất cả nội dung trong ô số điện thoại
Step 7: Nhấn " Lưu thay đổi "</v>
      </c>
      <c r="L34" s="14"/>
      <c r="M34" s="22" t="s">
        <v>3678</v>
      </c>
      <c r="N34" s="22" t="s">
        <v>3679</v>
      </c>
      <c r="O34" s="12" t="s">
        <v>2</v>
      </c>
      <c r="P34" s="38"/>
    </row>
    <row r="35">
      <c r="A35" s="37"/>
      <c r="B35" s="37"/>
      <c r="C35" s="37"/>
      <c r="D35" s="37"/>
      <c r="E35" s="37"/>
      <c r="F35" s="12" t="s">
        <v>3680</v>
      </c>
      <c r="G35" s="56"/>
      <c r="H35" s="45" t="s">
        <v>1860</v>
      </c>
      <c r="I35" s="12" t="s">
        <v>1811</v>
      </c>
      <c r="J35" s="12" t="s">
        <v>3681</v>
      </c>
      <c r="K35" s="13" t="str">
        <f>IFERROR(__xludf.DUMMYFUNCTION("IF(ISBLANK(J35), ""Input test step"", ARRAYFORMULA(TEXTJOIN(CHAR(10), TRUE, (""Step ""&amp; ROW(INDIRECT(""1:"" &amp; COUNTA(SPLIT(J35, CHAR(10))))) &amp; "": "" &amp; TRANSPOSE(SPLIT(J35, CHAR(10)))))))"),"Step 1: Đăng nhập vào tài  khoản
Step 2: Chọn mục cá nhân
Step 3: Chọn mục số địa chỉ
Step 4: Nhấn xem chi tiết địa chỉ
Step 5: Hiển thị màn hình chỉnh sửa địa chỉ
Step 6: Kiểm tra số điện thoại hiện tại ( đúng số điện thoại )
Step 7: Nhấn "" Lưu thay đổi"&amp;" """)</f>
        <v>Step 1: Đăng nhập vào tài  khoản
Step 2: Chọn mục cá nhân
Step 3: Chọn mục số địa chỉ
Step 4: Nhấn xem chi tiết địa chỉ
Step 5: Hiển thị màn hình chỉnh sửa địa chỉ
Step 6: Kiểm tra số điện thoại hiện tại ( đúng số điện thoại )
Step 7: Nhấn " Lưu thay đổi "</v>
      </c>
      <c r="L35" s="14"/>
      <c r="M35" s="45" t="s">
        <v>1862</v>
      </c>
      <c r="N35" s="73" t="s">
        <v>1862</v>
      </c>
      <c r="O35" s="12" t="s">
        <v>1</v>
      </c>
      <c r="P35" s="38"/>
    </row>
    <row r="36">
      <c r="A36" s="37"/>
      <c r="B36" s="37"/>
      <c r="C36" s="37"/>
      <c r="D36" s="37"/>
      <c r="E36" s="37"/>
      <c r="F36" s="12" t="s">
        <v>3682</v>
      </c>
      <c r="G36" s="56"/>
      <c r="H36" s="12" t="s">
        <v>3683</v>
      </c>
      <c r="I36" s="12" t="s">
        <v>1811</v>
      </c>
      <c r="J36" s="12" t="s">
        <v>3684</v>
      </c>
      <c r="K36" s="13" t="str">
        <f>IFERROR(__xludf.DUMMYFUNCTION("IF(ISBLANK(J36), ""Input test step"", ARRAYFORMULA(TEXTJOIN(CHAR(10), TRUE, (""Step ""&amp; ROW(INDIRECT(""1:"" &amp; COUNTA(SPLIT(J36, CHAR(10))))) &amp; "": "" &amp; TRANSPOSE(SPLIT(J36, CHAR(10)))))))"),"Step 1: Đăng nhập vào tài  khoản
Step 2: Chọn mục cá nhân
Step 3: Chọn mục số địa chỉ
Step 4: Nhấn xem chi tiết địa chỉ
Step 5: Hiển thị màn hình chỉnh sửa địa chỉ
Step 6: Kiểm tra max độ dài của số điện thoại
Step 7: Nhấn "" Lưu thay đổi """)</f>
        <v>Step 1: Đăng nhập vào tài  khoản
Step 2: Chọn mục cá nhân
Step 3: Chọn mục số địa chỉ
Step 4: Nhấn xem chi tiết địa chỉ
Step 5: Hiển thị màn hình chỉnh sửa địa chỉ
Step 6: Kiểm tra max độ dài của số điện thoại
Step 7: Nhấn " Lưu thay đổi "</v>
      </c>
      <c r="L36" s="14"/>
      <c r="M36" s="73" t="s">
        <v>1843</v>
      </c>
      <c r="N36" s="73" t="s">
        <v>1843</v>
      </c>
      <c r="O36" s="12" t="s">
        <v>1</v>
      </c>
      <c r="P36" s="38"/>
    </row>
    <row r="37">
      <c r="A37" s="37"/>
      <c r="B37" s="37"/>
      <c r="C37" s="37"/>
      <c r="D37" s="37"/>
      <c r="E37" s="37"/>
      <c r="F37" s="12" t="s">
        <v>3685</v>
      </c>
      <c r="G37" s="56"/>
      <c r="H37" s="83" t="s">
        <v>3686</v>
      </c>
      <c r="I37" s="12" t="s">
        <v>1811</v>
      </c>
      <c r="J37" s="12" t="s">
        <v>3687</v>
      </c>
      <c r="K37" s="13" t="str">
        <f>IFERROR(__xludf.DUMMYFUNCTION("IF(ISBLANK(J37), ""Input test step"", ARRAYFORMULA(TEXTJOIN(CHAR(10), TRUE, (""Step ""&amp; ROW(INDIRECT(""1:"" &amp; COUNTA(SPLIT(J37, CHAR(10))))) &amp; "": "" &amp; TRANSPOSE(SPLIT(J37, CHAR(10)))))))"),"Step 1: Đăng nhập vào tài  khoản
Step 2: Chọn mục cá nhân
Step 3: Chọn mục số địa chỉ
Step 4: Nhấn xem chi tiết địa chỉ
Step 5: Hiển thị màn hình chỉnh sửa địa chỉ
Step 6: Nhấn vào ô số điện thoại 
Step 7: Nhấn "" Lưu thay đổi "" mà không thay đổi gì")</f>
        <v>Step 1: Đăng nhập vào tài  khoản
Step 2: Chọn mục cá nhân
Step 3: Chọn mục số địa chỉ
Step 4: Nhấn xem chi tiết địa chỉ
Step 5: Hiển thị màn hình chỉnh sửa địa chỉ
Step 6: Nhấn vào ô số điện thoại 
Step 7: Nhấn " Lưu thay đổi " mà không thay đổi gì</v>
      </c>
      <c r="L37" s="14"/>
      <c r="M37" s="52" t="s">
        <v>3688</v>
      </c>
      <c r="N37" s="73" t="s">
        <v>3688</v>
      </c>
      <c r="O37" s="12" t="s">
        <v>1</v>
      </c>
      <c r="P37" s="38"/>
    </row>
    <row r="38">
      <c r="A38" s="37"/>
      <c r="B38" s="37"/>
      <c r="C38" s="37"/>
      <c r="D38" s="37"/>
      <c r="E38" s="37"/>
      <c r="F38" s="12" t="s">
        <v>3689</v>
      </c>
      <c r="G38" s="56"/>
      <c r="H38" s="73" t="s">
        <v>1856</v>
      </c>
      <c r="I38" s="12" t="s">
        <v>1811</v>
      </c>
      <c r="J38" s="12" t="s">
        <v>3690</v>
      </c>
      <c r="K38" s="13" t="str">
        <f>IFERROR(__xludf.DUMMYFUNCTION("IF(ISBLANK(J38), ""Input test step"", ARRAYFORMULA(TEXTJOIN(CHAR(10), TRUE, (""Step ""&amp; ROW(INDIRECT(""1:"" &amp; COUNTA(SPLIT(J38, CHAR(10))))) &amp; "": "" &amp; TRANSPOSE(SPLIT(J38, CHAR(10)))))))"),"Step 1: Đăng nhập vào tài  khoản
Step 2: Chọn mục cá nhân
Step 3: Chọn mục số địa chỉ
Step 4: Nhấn xem chi tiết địa chỉ
Step 5: Hiển thị màn hình chỉnh sửa địa chỉ
Step 6: Chỉnh sửa số điện thoại nhưng không nhấn "" Lưu thay đổi """)</f>
        <v>Step 1: Đăng nhập vào tài  khoản
Step 2: Chọn mục cá nhân
Step 3: Chọn mục số địa chỉ
Step 4: Nhấn xem chi tiết địa chỉ
Step 5: Hiển thị màn hình chỉnh sửa địa chỉ
Step 6: Chỉnh sửa số điện thoại nhưng không nhấn " Lưu thay đổi "</v>
      </c>
      <c r="L38" s="14"/>
      <c r="M38" s="73" t="s">
        <v>1873</v>
      </c>
      <c r="N38" s="73" t="s">
        <v>1873</v>
      </c>
      <c r="O38" s="12" t="s">
        <v>1</v>
      </c>
      <c r="P38" s="38"/>
    </row>
    <row r="39">
      <c r="A39" s="37"/>
      <c r="B39" s="37"/>
      <c r="C39" s="37"/>
      <c r="D39" s="37"/>
      <c r="E39" s="37"/>
      <c r="F39" s="12" t="s">
        <v>3691</v>
      </c>
      <c r="G39" s="56"/>
      <c r="H39" s="12" t="s">
        <v>3692</v>
      </c>
      <c r="I39" s="12" t="s">
        <v>3649</v>
      </c>
      <c r="J39" s="12" t="s">
        <v>3690</v>
      </c>
      <c r="K39" s="13" t="str">
        <f>IFERROR(__xludf.DUMMYFUNCTION("IF(ISBLANK(J39), ""Input test step"", ARRAYFORMULA(TEXTJOIN(CHAR(10), TRUE, (""Step ""&amp; ROW(INDIRECT(""1:"" &amp; COUNTA(SPLIT(J39, CHAR(10))))) &amp; "": "" &amp; TRANSPOSE(SPLIT(J39, CHAR(10)))))))"),"Step 1: Đăng nhập vào tài  khoản
Step 2: Chọn mục cá nhân
Step 3: Chọn mục số địa chỉ
Step 4: Nhấn xem chi tiết địa chỉ
Step 5: Hiển thị màn hình chỉnh sửa địa chỉ
Step 6: Chỉnh sửa số điện thoại nhưng không nhấn "" Lưu thay đổi """)</f>
        <v>Step 1: Đăng nhập vào tài  khoản
Step 2: Chọn mục cá nhân
Step 3: Chọn mục số địa chỉ
Step 4: Nhấn xem chi tiết địa chỉ
Step 5: Hiển thị màn hình chỉnh sửa địa chỉ
Step 6: Chỉnh sửa số điện thoại nhưng không nhấn " Lưu thay đổi "</v>
      </c>
      <c r="L39" s="14" t="s">
        <v>3693</v>
      </c>
      <c r="M39" s="22" t="s">
        <v>3694</v>
      </c>
      <c r="N39" s="12" t="s">
        <v>3695</v>
      </c>
      <c r="O39" s="12" t="s">
        <v>2</v>
      </c>
      <c r="P39" s="38"/>
    </row>
    <row r="40">
      <c r="A40" s="37"/>
      <c r="B40" s="37"/>
      <c r="C40" s="37"/>
      <c r="D40" s="37"/>
      <c r="E40" s="37"/>
      <c r="F40" s="12" t="s">
        <v>3696</v>
      </c>
      <c r="G40" s="57"/>
      <c r="H40" s="12" t="s">
        <v>3697</v>
      </c>
      <c r="I40" s="12" t="s">
        <v>3649</v>
      </c>
      <c r="J40" s="12" t="s">
        <v>3690</v>
      </c>
      <c r="K40" s="13" t="str">
        <f>IFERROR(__xludf.DUMMYFUNCTION("IF(ISBLANK(J40), ""Input test step"", ARRAYFORMULA(TEXTJOIN(CHAR(10), TRUE, (""Step ""&amp; ROW(INDIRECT(""1:"" &amp; COUNTA(SPLIT(J40, CHAR(10))))) &amp; "": "" &amp; TRANSPOSE(SPLIT(J40, CHAR(10)))))))"),"Step 1: Đăng nhập vào tài  khoản
Step 2: Chọn mục cá nhân
Step 3: Chọn mục số địa chỉ
Step 4: Nhấn xem chi tiết địa chỉ
Step 5: Hiển thị màn hình chỉnh sửa địa chỉ
Step 6: Chỉnh sửa số điện thoại nhưng không nhấn "" Lưu thay đổi """)</f>
        <v>Step 1: Đăng nhập vào tài  khoản
Step 2: Chọn mục cá nhân
Step 3: Chọn mục số địa chỉ
Step 4: Nhấn xem chi tiết địa chỉ
Step 5: Hiển thị màn hình chỉnh sửa địa chỉ
Step 6: Chỉnh sửa số điện thoại nhưng không nhấn " Lưu thay đổi "</v>
      </c>
      <c r="L40" s="14" t="s">
        <v>3698</v>
      </c>
      <c r="M40" s="12" t="s">
        <v>3699</v>
      </c>
      <c r="N40" s="12" t="s">
        <v>3700</v>
      </c>
      <c r="O40" s="12" t="s">
        <v>2</v>
      </c>
      <c r="P40" s="38"/>
    </row>
    <row r="41">
      <c r="A41" s="37"/>
      <c r="B41" s="37"/>
      <c r="C41" s="37"/>
      <c r="D41" s="37"/>
      <c r="E41" s="37"/>
      <c r="F41" s="12" t="s">
        <v>3701</v>
      </c>
      <c r="G41" s="104" t="s">
        <v>3702</v>
      </c>
      <c r="H41" s="12" t="s">
        <v>3703</v>
      </c>
      <c r="I41" s="12" t="s">
        <v>3649</v>
      </c>
      <c r="J41" s="12" t="s">
        <v>3704</v>
      </c>
      <c r="K41" s="13" t="str">
        <f>IFERROR(__xludf.DUMMYFUNCTION("IF(ISBLANK(J41), ""Input test step"", ARRAYFORMULA(TEXTJOIN(CHAR(10), TRUE, (""Step ""&amp; ROW(INDIRECT(""1:"" &amp; COUNTA(SPLIT(J41, CHAR(10))))) &amp; "": "" &amp; TRANSPOSE(SPLIT(J41,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Kiểm tra thanh "&amp;"header "" Chọn địa chỉ "" ( kiểm tra màu sắc, kích thước , cỡ chữ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Kiểm tra thanh header " Chọn địa chỉ " ( kiểm tra màu sắc, kích thước , cỡ chữ )</v>
      </c>
      <c r="L41" s="14"/>
      <c r="M41" s="12" t="s">
        <v>3705</v>
      </c>
      <c r="N41" s="12" t="s">
        <v>3705</v>
      </c>
      <c r="O41" s="12" t="s">
        <v>1</v>
      </c>
      <c r="P41" s="38"/>
    </row>
    <row r="42">
      <c r="A42" s="37"/>
      <c r="B42" s="37"/>
      <c r="C42" s="37"/>
      <c r="D42" s="37"/>
      <c r="E42" s="37"/>
      <c r="F42" s="12" t="s">
        <v>3706</v>
      </c>
      <c r="G42" s="56"/>
      <c r="H42" s="12" t="s">
        <v>1617</v>
      </c>
      <c r="I42" s="12" t="s">
        <v>3649</v>
      </c>
      <c r="J42" s="12" t="s">
        <v>3707</v>
      </c>
      <c r="K42" s="13" t="str">
        <f>IFERROR(__xludf.DUMMYFUNCTION("IF(ISBLANK(J42), ""Input test step"", ARRAYFORMULA(TEXTJOIN(CHAR(10), TRUE, (""Step ""&amp; ROW(INDIRECT(""1:"" &amp; COUNTA(SPLIT(J42, CHAR(10))))) &amp; "": "" &amp; TRANSPOSE(SPLIT(J42,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Trỏ chuột vào t"&amp;"hanh tìm kiếm")</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Trỏ chuột vào thanh tìm kiếm</v>
      </c>
      <c r="L42" s="14"/>
      <c r="M42" s="12" t="s">
        <v>3708</v>
      </c>
      <c r="N42" s="12" t="s">
        <v>3708</v>
      </c>
      <c r="O42" s="12" t="s">
        <v>1</v>
      </c>
      <c r="P42" s="38"/>
    </row>
    <row r="43">
      <c r="A43" s="37"/>
      <c r="B43" s="37"/>
      <c r="C43" s="37"/>
      <c r="D43" s="37"/>
      <c r="E43" s="37"/>
      <c r="F43" s="12" t="s">
        <v>3709</v>
      </c>
      <c r="G43" s="56"/>
      <c r="H43" s="12" t="s">
        <v>1622</v>
      </c>
      <c r="I43" s="12" t="s">
        <v>3649</v>
      </c>
      <c r="J43" s="12" t="s">
        <v>3710</v>
      </c>
      <c r="K43" s="13" t="str">
        <f>IFERROR(__xludf.DUMMYFUNCTION("IF(ISBLANK(J43), ""Input test step"", ARRAYFORMULA(TEXTJOIN(CHAR(10), TRUE, (""Step ""&amp; ROW(INDIRECT(""1:"" &amp; COUNTA(SPLIT(J43, CHAR(10))))) &amp; "": "" &amp; TRANSPOSE(SPLIT(J43,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Chuyển tab từ T"&amp;"ỉnh sang Huyện hoặc Xã")</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Chuyển tab từ Tỉnh sang Huyện hoặc Xã</v>
      </c>
      <c r="L43" s="14"/>
      <c r="M43" s="12" t="s">
        <v>3711</v>
      </c>
      <c r="N43" s="12" t="s">
        <v>3712</v>
      </c>
      <c r="O43" s="12" t="s">
        <v>2</v>
      </c>
      <c r="P43" s="38"/>
    </row>
    <row r="44">
      <c r="A44" s="37"/>
      <c r="B44" s="37"/>
      <c r="C44" s="37"/>
      <c r="D44" s="37"/>
      <c r="E44" s="37"/>
      <c r="F44" s="12" t="s">
        <v>3713</v>
      </c>
      <c r="G44" s="56"/>
      <c r="H44" s="12" t="s">
        <v>3714</v>
      </c>
      <c r="I44" s="12" t="s">
        <v>3649</v>
      </c>
      <c r="J44" s="12" t="s">
        <v>3715</v>
      </c>
      <c r="K44" s="13" t="str">
        <f>IFERROR(__xludf.DUMMYFUNCTION("IF(ISBLANK(J44), ""Input test step"", ARRAYFORMULA(TEXTJOIN(CHAR(10), TRUE, (""Step ""&amp; ROW(INDIRECT(""1:"" &amp; COUNTA(SPLIT(J44, CHAR(10))))) &amp; "": "" &amp; TRANSPOSE(SPLIT(J44,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Kiểm tra lấy da"&amp;"nh sách địa chỉ")</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Kiểm tra lấy danh sách địa chỉ</v>
      </c>
      <c r="L44" s="14"/>
      <c r="M44" s="12" t="s">
        <v>3716</v>
      </c>
      <c r="N44" s="12" t="s">
        <v>3716</v>
      </c>
      <c r="O44" s="12" t="s">
        <v>1</v>
      </c>
      <c r="P44" s="38"/>
    </row>
    <row r="45">
      <c r="A45" s="37"/>
      <c r="B45" s="37"/>
      <c r="C45" s="37"/>
      <c r="D45" s="37"/>
      <c r="E45" s="37"/>
      <c r="F45" s="12" t="s">
        <v>3717</v>
      </c>
      <c r="G45" s="57"/>
      <c r="H45" s="12" t="s">
        <v>3718</v>
      </c>
      <c r="I45" s="12" t="s">
        <v>3719</v>
      </c>
      <c r="J45" s="12" t="s">
        <v>3720</v>
      </c>
      <c r="K45" s="13" t="str">
        <f>IFERROR(__xludf.DUMMYFUNCTION("IF(ISBLANK(J45), ""Input test step"", ARRAYFORMULA(TEXTJOIN(CHAR(10), TRUE, (""Step ""&amp; ROW(INDIRECT(""1:"" &amp; COUNTA(SPLIT(J45, CHAR(10))))) &amp; "": "" &amp; TRANSPOSE(SPLIT(J45,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nút X "&amp;" để tắt chọn địa chỉ ở gốc trên bên phải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nút X  để tắt chọn địa chỉ ở gốc trên bên phải </v>
      </c>
      <c r="L45" s="14"/>
      <c r="M45" s="12" t="s">
        <v>3721</v>
      </c>
      <c r="N45" s="12" t="s">
        <v>3721</v>
      </c>
      <c r="O45" s="12" t="s">
        <v>1</v>
      </c>
      <c r="P45" s="38"/>
    </row>
    <row r="46">
      <c r="A46" s="37"/>
      <c r="B46" s="37"/>
      <c r="C46" s="37"/>
      <c r="D46" s="37"/>
      <c r="E46" s="37"/>
      <c r="F46" s="12" t="s">
        <v>3722</v>
      </c>
      <c r="G46" s="104" t="s">
        <v>3723</v>
      </c>
      <c r="H46" s="12" t="s">
        <v>3724</v>
      </c>
      <c r="I46" s="12" t="s">
        <v>3649</v>
      </c>
      <c r="J46" s="12" t="s">
        <v>3725</v>
      </c>
      <c r="K46" s="13" t="str">
        <f>IFERROR(__xludf.DUMMYFUNCTION("IF(ISBLANK(J46), ""Input test step"", ARRAYFORMULA(TEXTJOIN(CHAR(10), TRUE, (""Step ""&amp; ROW(INDIRECT(""1:"" &amp; COUNTA(SPLIT(J46, CHAR(10))))) &amp; "": "" &amp; TRANSPOSE(SPLIT(J46,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tìm kiếm bất kỳ tên Thành phố nào")</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tìm kiếm bất kỳ tên Thành phố nào</v>
      </c>
      <c r="L46" s="14" t="s">
        <v>3726</v>
      </c>
      <c r="M46" s="12" t="s">
        <v>3727</v>
      </c>
      <c r="N46" s="12" t="s">
        <v>3727</v>
      </c>
      <c r="O46" s="12" t="s">
        <v>1</v>
      </c>
      <c r="P46" s="38"/>
    </row>
    <row r="47">
      <c r="A47" s="37"/>
      <c r="B47" s="37"/>
      <c r="C47" s="37"/>
      <c r="D47" s="37"/>
      <c r="E47" s="37"/>
      <c r="F47" s="12" t="s">
        <v>3728</v>
      </c>
      <c r="G47" s="56"/>
      <c r="H47" s="12" t="s">
        <v>3729</v>
      </c>
      <c r="I47" s="12" t="s">
        <v>3649</v>
      </c>
      <c r="J47" s="12" t="s">
        <v>3730</v>
      </c>
      <c r="K47" s="13" t="str">
        <f>IFERROR(__xludf.DUMMYFUNCTION("IF(ISBLANK(J47), ""Input test step"", ARRAYFORMULA(TEXTJOIN(CHAR(10), TRUE, (""Step ""&amp; ROW(INDIRECT(""1:"" &amp; COUNTA(SPLIT(J47, CHAR(10))))) &amp; "": "" &amp; TRANSPOSE(SPLIT(J47,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tên vài chữ cái đầu tiên để có được từ khóa gần giống")</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tên vài chữ cái đầu tiên để có được từ khóa gần giống</v>
      </c>
      <c r="L47" s="14" t="s">
        <v>3731</v>
      </c>
      <c r="M47" s="12" t="s">
        <v>3732</v>
      </c>
      <c r="N47" s="12" t="s">
        <v>3732</v>
      </c>
      <c r="O47" s="12" t="s">
        <v>1</v>
      </c>
      <c r="P47" s="38"/>
    </row>
    <row r="48">
      <c r="A48" s="37"/>
      <c r="B48" s="37"/>
      <c r="C48" s="37"/>
      <c r="D48" s="37"/>
      <c r="E48" s="37"/>
      <c r="F48" s="12" t="s">
        <v>3733</v>
      </c>
      <c r="G48" s="56"/>
      <c r="H48" s="12" t="s">
        <v>3734</v>
      </c>
      <c r="I48" s="12" t="s">
        <v>3649</v>
      </c>
      <c r="J48" s="12" t="s">
        <v>3735</v>
      </c>
      <c r="K48" s="13" t="str">
        <f>IFERROR(__xludf.DUMMYFUNCTION("IF(ISBLANK(J48), ""Input test step"", ARRAYFORMULA(TEXTJOIN(CHAR(10), TRUE, (""Step ""&amp; ROW(INDIRECT(""1:"" &amp; COUNTA(SPLIT(J48, CHAR(10))))) &amp; "": "" &amp; TRANSPOSE(SPLIT(J48,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kí tự đặc biệt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kí tự đặc biệt </v>
      </c>
      <c r="L48" s="14" t="s">
        <v>2062</v>
      </c>
      <c r="M48" s="12" t="s">
        <v>3736</v>
      </c>
      <c r="N48" s="12" t="s">
        <v>3737</v>
      </c>
      <c r="O48" s="12" t="s">
        <v>2</v>
      </c>
      <c r="P48" s="38"/>
    </row>
    <row r="49">
      <c r="A49" s="37"/>
      <c r="B49" s="37"/>
      <c r="C49" s="37"/>
      <c r="D49" s="37"/>
      <c r="E49" s="37"/>
      <c r="F49" s="12" t="s">
        <v>3738</v>
      </c>
      <c r="G49" s="57"/>
      <c r="H49" s="52" t="s">
        <v>2065</v>
      </c>
      <c r="I49" s="12" t="s">
        <v>3649</v>
      </c>
      <c r="J49" s="12" t="s">
        <v>3739</v>
      </c>
      <c r="K49" s="13" t="str">
        <f>IFERROR(__xludf.DUMMYFUNCTION("IF(ISBLANK(J49), ""Input test step"", ARRAYFORMULA(TEXTJOIN(CHAR(10), TRUE, (""Step ""&amp; ROW(INDIRECT(""1:"" &amp; COUNTA(SPLIT(J49, CHAR(10))))) &amp; "": "" &amp; TRANSPOSE(SPLIT(J49,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từ khóa tìm kiếm --&gt; sau đó xóa từ khóa tìm kiếm vừa nhập")</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từ khóa tìm kiếm --&gt; sau đó xóa từ khóa tìm kiếm vừa nhập</v>
      </c>
      <c r="L49" s="14"/>
      <c r="M49" s="52" t="s">
        <v>3740</v>
      </c>
      <c r="N49" s="73" t="s">
        <v>3740</v>
      </c>
      <c r="O49" s="12" t="s">
        <v>1</v>
      </c>
      <c r="P49" s="38"/>
    </row>
    <row r="50">
      <c r="A50" s="37"/>
      <c r="B50" s="37"/>
      <c r="C50" s="37"/>
      <c r="D50" s="37"/>
      <c r="E50" s="37"/>
      <c r="F50" s="12" t="s">
        <v>3741</v>
      </c>
      <c r="G50" s="104" t="s">
        <v>3742</v>
      </c>
      <c r="H50" s="12" t="s">
        <v>3743</v>
      </c>
      <c r="I50" s="12" t="s">
        <v>3649</v>
      </c>
      <c r="J50" s="12" t="s">
        <v>3725</v>
      </c>
      <c r="K50" s="13" t="str">
        <f>IFERROR(__xludf.DUMMYFUNCTION("IF(ISBLANK(J50), ""Input test step"", ARRAYFORMULA(TEXTJOIN(CHAR(10), TRUE, (""Step ""&amp; ROW(INDIRECT(""1:"" &amp; COUNTA(SPLIT(J50, CHAR(10))))) &amp; "": "" &amp; TRANSPOSE(SPLIT(J50,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tìm kiếm bất kỳ tên Thành phố nào")</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tìm kiếm bất kỳ tên Thành phố nào</v>
      </c>
      <c r="L50" s="14" t="s">
        <v>3744</v>
      </c>
      <c r="M50" s="12" t="s">
        <v>3727</v>
      </c>
      <c r="N50" s="12" t="s">
        <v>3727</v>
      </c>
      <c r="O50" s="12" t="s">
        <v>1</v>
      </c>
      <c r="P50" s="38"/>
    </row>
    <row r="51">
      <c r="A51" s="37"/>
      <c r="B51" s="37"/>
      <c r="C51" s="37"/>
      <c r="D51" s="37"/>
      <c r="E51" s="37"/>
      <c r="F51" s="12" t="s">
        <v>3745</v>
      </c>
      <c r="G51" s="56"/>
      <c r="H51" s="12" t="s">
        <v>3729</v>
      </c>
      <c r="I51" s="12" t="s">
        <v>3649</v>
      </c>
      <c r="J51" s="12" t="s">
        <v>3730</v>
      </c>
      <c r="K51" s="13" t="str">
        <f>IFERROR(__xludf.DUMMYFUNCTION("IF(ISBLANK(J51), ""Input test step"", ARRAYFORMULA(TEXTJOIN(CHAR(10), TRUE, (""Step ""&amp; ROW(INDIRECT(""1:"" &amp; COUNTA(SPLIT(J51, CHAR(10))))) &amp; "": "" &amp; TRANSPOSE(SPLIT(J51,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tên vài chữ cái đầu tiên để có được từ khóa gần giống")</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tên vài chữ cái đầu tiên để có được từ khóa gần giống</v>
      </c>
      <c r="L51" s="14" t="s">
        <v>3746</v>
      </c>
      <c r="M51" s="12" t="s">
        <v>3732</v>
      </c>
      <c r="N51" s="12" t="s">
        <v>3732</v>
      </c>
      <c r="O51" s="12" t="s">
        <v>1</v>
      </c>
      <c r="P51" s="38"/>
    </row>
    <row r="52">
      <c r="A52" s="37"/>
      <c r="B52" s="37"/>
      <c r="C52" s="37"/>
      <c r="D52" s="37"/>
      <c r="E52" s="37"/>
      <c r="F52" s="12" t="s">
        <v>3747</v>
      </c>
      <c r="G52" s="56"/>
      <c r="H52" s="12" t="s">
        <v>3734</v>
      </c>
      <c r="I52" s="12" t="s">
        <v>3649</v>
      </c>
      <c r="J52" s="12" t="s">
        <v>3735</v>
      </c>
      <c r="K52" s="13" t="str">
        <f>IFERROR(__xludf.DUMMYFUNCTION("IF(ISBLANK(J52), ""Input test step"", ARRAYFORMULA(TEXTJOIN(CHAR(10), TRUE, (""Step ""&amp; ROW(INDIRECT(""1:"" &amp; COUNTA(SPLIT(J52, CHAR(10))))) &amp; "": "" &amp; TRANSPOSE(SPLIT(J52,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kí tự đặc biệt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kí tự đặc biệt </v>
      </c>
      <c r="L52" s="14" t="s">
        <v>2062</v>
      </c>
      <c r="M52" s="12" t="s">
        <v>3736</v>
      </c>
      <c r="N52" s="12" t="s">
        <v>3737</v>
      </c>
      <c r="O52" s="12" t="s">
        <v>2</v>
      </c>
      <c r="P52" s="38"/>
    </row>
    <row r="53">
      <c r="A53" s="37"/>
      <c r="B53" s="37"/>
      <c r="C53" s="37"/>
      <c r="D53" s="37"/>
      <c r="E53" s="37"/>
      <c r="F53" s="12" t="s">
        <v>3748</v>
      </c>
      <c r="G53" s="57"/>
      <c r="H53" s="52" t="s">
        <v>2065</v>
      </c>
      <c r="I53" s="12" t="s">
        <v>3649</v>
      </c>
      <c r="J53" s="12" t="s">
        <v>3739</v>
      </c>
      <c r="K53" s="13" t="str">
        <f>IFERROR(__xludf.DUMMYFUNCTION("IF(ISBLANK(J53), ""Input test step"", ARRAYFORMULA(TEXTJOIN(CHAR(10), TRUE, (""Step ""&amp; ROW(INDIRECT(""1:"" &amp; COUNTA(SPLIT(J53, CHAR(10))))) &amp; "": "" &amp; TRANSPOSE(SPLIT(J53,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từ khóa tìm kiếm --&gt; sau đó xóa từ khóa tìm kiếm vừa nhập")</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từ khóa tìm kiếm --&gt; sau đó xóa từ khóa tìm kiếm vừa nhập</v>
      </c>
      <c r="L53" s="14"/>
      <c r="M53" s="52" t="s">
        <v>3740</v>
      </c>
      <c r="N53" s="73" t="s">
        <v>3740</v>
      </c>
      <c r="O53" s="12" t="s">
        <v>1</v>
      </c>
      <c r="P53" s="38"/>
    </row>
    <row r="54">
      <c r="A54" s="37"/>
      <c r="B54" s="37"/>
      <c r="C54" s="37"/>
      <c r="D54" s="37"/>
      <c r="E54" s="37"/>
      <c r="F54" s="12" t="s">
        <v>3749</v>
      </c>
      <c r="G54" s="104" t="s">
        <v>3750</v>
      </c>
      <c r="H54" s="12" t="s">
        <v>3751</v>
      </c>
      <c r="I54" s="12" t="s">
        <v>3649</v>
      </c>
      <c r="J54" s="12" t="s">
        <v>3725</v>
      </c>
      <c r="K54" s="13" t="str">
        <f>IFERROR(__xludf.DUMMYFUNCTION("IF(ISBLANK(J54), ""Input test step"", ARRAYFORMULA(TEXTJOIN(CHAR(10), TRUE, (""Step ""&amp; ROW(INDIRECT(""1:"" &amp; COUNTA(SPLIT(J54, CHAR(10))))) &amp; "": "" &amp; TRANSPOSE(SPLIT(J54,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tìm kiếm bất kỳ tên Thành phố nào")</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tìm kiếm bất kỳ tên Thành phố nào</v>
      </c>
      <c r="L54" s="14" t="s">
        <v>3752</v>
      </c>
      <c r="M54" s="12" t="s">
        <v>3753</v>
      </c>
      <c r="N54" s="12" t="s">
        <v>3753</v>
      </c>
      <c r="O54" s="12" t="s">
        <v>1</v>
      </c>
      <c r="P54" s="38"/>
    </row>
    <row r="55">
      <c r="A55" s="37"/>
      <c r="B55" s="37"/>
      <c r="C55" s="37"/>
      <c r="D55" s="37"/>
      <c r="E55" s="37"/>
      <c r="F55" s="12" t="s">
        <v>3754</v>
      </c>
      <c r="G55" s="56"/>
      <c r="H55" s="12" t="s">
        <v>3729</v>
      </c>
      <c r="I55" s="12" t="s">
        <v>3649</v>
      </c>
      <c r="J55" s="12" t="s">
        <v>3730</v>
      </c>
      <c r="K55" s="13" t="str">
        <f>IFERROR(__xludf.DUMMYFUNCTION("IF(ISBLANK(J55), ""Input test step"", ARRAYFORMULA(TEXTJOIN(CHAR(10), TRUE, (""Step ""&amp; ROW(INDIRECT(""1:"" &amp; COUNTA(SPLIT(J55, CHAR(10))))) &amp; "": "" &amp; TRANSPOSE(SPLIT(J55,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tên vài chữ cái đầu tiên để có được từ khóa gần giống")</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tên vài chữ cái đầu tiên để có được từ khóa gần giống</v>
      </c>
      <c r="L55" s="14" t="s">
        <v>3746</v>
      </c>
      <c r="M55" s="12" t="s">
        <v>3732</v>
      </c>
      <c r="N55" s="12" t="s">
        <v>3732</v>
      </c>
      <c r="O55" s="12" t="s">
        <v>1</v>
      </c>
      <c r="P55" s="38"/>
    </row>
    <row r="56">
      <c r="A56" s="37"/>
      <c r="B56" s="37"/>
      <c r="C56" s="37"/>
      <c r="D56" s="37"/>
      <c r="E56" s="37"/>
      <c r="F56" s="12" t="s">
        <v>3755</v>
      </c>
      <c r="G56" s="56"/>
      <c r="H56" s="12" t="s">
        <v>3734</v>
      </c>
      <c r="I56" s="12" t="s">
        <v>3649</v>
      </c>
      <c r="J56" s="12" t="s">
        <v>3735</v>
      </c>
      <c r="K56" s="13" t="str">
        <f>IFERROR(__xludf.DUMMYFUNCTION("IF(ISBLANK(J56), ""Input test step"", ARRAYFORMULA(TEXTJOIN(CHAR(10), TRUE, (""Step ""&amp; ROW(INDIRECT(""1:"" &amp; COUNTA(SPLIT(J56, CHAR(10))))) &amp; "": "" &amp; TRANSPOSE(SPLIT(J56,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kí tự đặc biệt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kí tự đặc biệt </v>
      </c>
      <c r="L56" s="14" t="s">
        <v>2062</v>
      </c>
      <c r="M56" s="12" t="s">
        <v>3736</v>
      </c>
      <c r="N56" s="12" t="s">
        <v>3737</v>
      </c>
      <c r="O56" s="12" t="s">
        <v>2</v>
      </c>
      <c r="P56" s="38"/>
    </row>
    <row r="57">
      <c r="A57" s="37"/>
      <c r="B57" s="37"/>
      <c r="C57" s="37"/>
      <c r="D57" s="37"/>
      <c r="E57" s="37"/>
      <c r="F57" s="12" t="s">
        <v>3756</v>
      </c>
      <c r="G57" s="57"/>
      <c r="H57" s="52" t="s">
        <v>2065</v>
      </c>
      <c r="I57" s="12" t="s">
        <v>3649</v>
      </c>
      <c r="J57" s="12" t="s">
        <v>3739</v>
      </c>
      <c r="K57" s="13" t="str">
        <f>IFERROR(__xludf.DUMMYFUNCTION("IF(ISBLANK(J57), ""Input test step"", ARRAYFORMULA(TEXTJOIN(CHAR(10), TRUE, (""Step ""&amp; ROW(INDIRECT(""1:"" &amp; COUNTA(SPLIT(J57, CHAR(10))))) &amp; "": "" &amp; TRANSPOSE(SPLIT(J57,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"&amp;"tìm kiếm --&gt; Nhập từ khóa tìm kiếm --&gt; sau đó xóa từ khóa tìm kiếm vừa nhập")</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Nhấn vào thanh tìm kiếm --&gt; Nhập từ khóa tìm kiếm --&gt; sau đó xóa từ khóa tìm kiếm vừa nhập</v>
      </c>
      <c r="L57" s="14"/>
      <c r="M57" s="52" t="s">
        <v>3740</v>
      </c>
      <c r="N57" s="73" t="s">
        <v>3740</v>
      </c>
      <c r="O57" s="12" t="s">
        <v>1</v>
      </c>
      <c r="P57" s="38"/>
    </row>
    <row r="58">
      <c r="A58" s="37"/>
      <c r="B58" s="37"/>
      <c r="C58" s="37"/>
      <c r="D58" s="37"/>
      <c r="E58" s="37"/>
      <c r="F58" s="12" t="s">
        <v>3757</v>
      </c>
      <c r="G58" s="55" t="s">
        <v>3758</v>
      </c>
      <c r="H58" s="12" t="s">
        <v>3759</v>
      </c>
      <c r="I58" s="12" t="s">
        <v>3649</v>
      </c>
      <c r="J58" s="12" t="s">
        <v>3760</v>
      </c>
      <c r="K58" s="13" t="str">
        <f>IFERROR(__xludf.DUMMYFUNCTION("IF(ISBLANK(J58), ""Input test step"", ARRAYFORMULA(TEXTJOIN(CHAR(10), TRUE, (""Step ""&amp; ROW(INDIRECT(""1:"" &amp; COUNTA(SPLIT(J58, CHAR(10))))) &amp; "": "" &amp; TRANSPOSE(SPLIT(J58,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"&amp;"( Tỉnh ) / Quận ( huyện )/ Phường ( xã ) sẽ hiển thị đầu bảng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 Tỉnh ) / Quận ( huyện )/ Phường ( xã ) sẽ hiển thị đầu bảng </v>
      </c>
      <c r="L58" s="14"/>
      <c r="M58" s="12" t="s">
        <v>3761</v>
      </c>
      <c r="N58" s="12" t="s">
        <v>3762</v>
      </c>
      <c r="O58" s="12" t="s">
        <v>2</v>
      </c>
      <c r="P58" s="38"/>
    </row>
    <row r="59">
      <c r="A59" s="37"/>
      <c r="B59" s="37"/>
      <c r="C59" s="37"/>
      <c r="D59" s="37"/>
      <c r="E59" s="37"/>
      <c r="F59" s="12" t="s">
        <v>3763</v>
      </c>
      <c r="G59" s="56"/>
      <c r="H59" s="30" t="s">
        <v>3759</v>
      </c>
      <c r="I59" s="30" t="s">
        <v>3649</v>
      </c>
      <c r="J59" s="30" t="s">
        <v>3764</v>
      </c>
      <c r="K59" s="65" t="str">
        <f>IFERROR(__xludf.DUMMYFUNCTION("IF(ISBLANK(J59), ""Input test step"", ARRAYFORMULA(TEXTJOIN(CHAR(10), TRUE, (""Step ""&amp; ROW(INDIRECT(""1:"" &amp; COUNTA(SPLIT(J59, CHAR(10))))) &amp; "": "" &amp; TRANSPOSE(SPLIT(J59,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"&amp;"( Tỉnh ) / Quận ( huyện )/ Phường ( xã ) kiểm tra ( kích thước , màu sắc, cỡ chữ )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 Tỉnh ) / Quận ( huyện )/ Phường ( xã ) kiểm tra ( kích thước , màu sắc, cỡ chữ ) </v>
      </c>
      <c r="L59" s="66" t="s">
        <v>3765</v>
      </c>
      <c r="M59" s="12" t="s">
        <v>3766</v>
      </c>
      <c r="N59" s="12" t="s">
        <v>3767</v>
      </c>
      <c r="O59" s="12" t="s">
        <v>2</v>
      </c>
      <c r="P59" s="38"/>
    </row>
    <row r="60">
      <c r="A60" s="37"/>
      <c r="B60" s="37"/>
      <c r="C60" s="37"/>
      <c r="D60" s="37"/>
      <c r="E60" s="37"/>
      <c r="F60" s="12" t="s">
        <v>3768</v>
      </c>
      <c r="G60" s="57"/>
      <c r="H60" s="12" t="s">
        <v>3769</v>
      </c>
      <c r="I60" s="12" t="s">
        <v>3649</v>
      </c>
      <c r="J60" s="12" t="s">
        <v>3770</v>
      </c>
      <c r="K60" s="13" t="str">
        <f>IFERROR(__xludf.DUMMYFUNCTION("IF(ISBLANK(J60), ""Input test step"", ARRAYFORMULA(TEXTJOIN(CHAR(10), TRUE, (""Step ""&amp; ROW(INDIRECT(""1:"" &amp; COUNTA(SPLIT(J60, CHAR(10))))) &amp; "": "" &amp; TRANSPOSE(SPLIT(J60,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"&amp;"( Tỉnh ) / Quận ( huyện ) --&gt; Kiểm tra khi nhấn chọn Phường ( xã) xong sẽ quay về màn hình "" Thêm địa chỉ""")</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 Tỉnh ) / Quận ( huyện ) --&gt; Kiểm tra khi nhấn chọn Phường ( xã) xong sẽ quay về màn hình " Thêm địa chỉ"</v>
      </c>
      <c r="L60" s="14"/>
      <c r="M60" s="12" t="s">
        <v>3771</v>
      </c>
      <c r="N60" s="12" t="s">
        <v>3771</v>
      </c>
      <c r="O60" s="12" t="s">
        <v>1</v>
      </c>
      <c r="P60" s="38"/>
    </row>
    <row r="61">
      <c r="A61" s="37"/>
      <c r="B61" s="37"/>
      <c r="C61" s="37"/>
      <c r="D61" s="37"/>
      <c r="E61" s="37"/>
      <c r="F61" s="12" t="s">
        <v>3772</v>
      </c>
      <c r="G61" s="55" t="s">
        <v>3773</v>
      </c>
      <c r="H61" s="12" t="s">
        <v>3774</v>
      </c>
      <c r="I61" s="12" t="s">
        <v>3649</v>
      </c>
      <c r="J61" s="12" t="s">
        <v>3775</v>
      </c>
      <c r="K61" s="13" t="str">
        <f>IFERROR(__xludf.DUMMYFUNCTION("IF(ISBLANK(J61), ""Input test step"", ARRAYFORMULA(TEXTJOIN(CHAR(10), TRUE, (""Step ""&amp; ROW(INDIRECT(""1:"" &amp; COUNTA(SPLIT(J61, CHAR(10))))) &amp; "": "" &amp; TRANSPOSE(SPLIT(J61,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Khi chọn Thành "&amp;"phố ( Tỉnh ) / Quận ( huyện )/ Phường ( xã ) --&gt; địa chỉ sẽ được tô màu cam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Khi chọn Thành phố ( Tỉnh ) / Quận ( huyện )/ Phường ( xã ) --&gt; địa chỉ sẽ được tô màu cam </v>
      </c>
      <c r="L61" s="14"/>
      <c r="M61" s="12" t="s">
        <v>3776</v>
      </c>
      <c r="N61" s="12" t="s">
        <v>3777</v>
      </c>
      <c r="O61" s="12" t="s">
        <v>2</v>
      </c>
      <c r="P61" s="38"/>
    </row>
    <row r="62">
      <c r="A62" s="37"/>
      <c r="B62" s="37"/>
      <c r="C62" s="37"/>
      <c r="D62" s="37"/>
      <c r="E62" s="37"/>
      <c r="F62" s="12" t="s">
        <v>3778</v>
      </c>
      <c r="G62" s="56"/>
      <c r="H62" s="12" t="s">
        <v>3609</v>
      </c>
      <c r="I62" s="12" t="s">
        <v>3649</v>
      </c>
      <c r="J62" s="12" t="s">
        <v>3779</v>
      </c>
      <c r="K62" s="13" t="str">
        <f>IFERROR(__xludf.DUMMYFUNCTION("IF(ISBLANK(J62), ""Input test step"", ARRAYFORMULA(TEXTJOIN(CHAR(10), TRUE, (""Step ""&amp; ROW(INDIRECT(""1:"" &amp; COUNTA(SPLIT(J62, CHAR(10))))) &amp; "": "" &amp; TRANSPOSE(SPLIT(J62,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Vuốt màn hình l"&amp;"ên xuống để kiểm tra danh sách địa chỉ")</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Vuốt màn hình lên xuống để kiểm tra danh sách địa chỉ</v>
      </c>
      <c r="L62" s="14"/>
      <c r="M62" s="12" t="s">
        <v>3780</v>
      </c>
      <c r="N62" s="12" t="s">
        <v>3780</v>
      </c>
      <c r="O62" s="12" t="s">
        <v>1</v>
      </c>
      <c r="P62" s="38"/>
    </row>
    <row r="63">
      <c r="A63" s="37"/>
      <c r="B63" s="37"/>
      <c r="C63" s="37"/>
      <c r="D63" s="37"/>
      <c r="E63" s="37"/>
      <c r="F63" s="12" t="s">
        <v>3781</v>
      </c>
      <c r="G63" s="57"/>
      <c r="H63" s="12" t="s">
        <v>3782</v>
      </c>
      <c r="I63" s="12" t="s">
        <v>3649</v>
      </c>
      <c r="J63" s="12" t="s">
        <v>3783</v>
      </c>
      <c r="K63" s="13" t="str">
        <f>IFERROR(__xludf.DUMMYFUNCTION("IF(ISBLANK(J63), ""Input test step"", ARRAYFORMULA(TEXTJOIN(CHAR(10), TRUE, (""Step ""&amp; ROW(INDIRECT(""1:"" &amp; COUNTA(SPLIT(J63, CHAR(10))))) &amp; "": "" &amp; TRANSPOSE(SPLIT(J63,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phố("&amp;" tỉnh ) --&gt; chọn Quận ( huyện ) --&gt; chọn Phường ( xã )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tỉnh ) --&gt; chọn Quận ( huyện ) --&gt; chọn Phường ( xã ) </v>
      </c>
      <c r="L63" s="14"/>
      <c r="M63" s="12" t="s">
        <v>3784</v>
      </c>
      <c r="N63" s="12" t="s">
        <v>3785</v>
      </c>
      <c r="O63" s="12" t="s">
        <v>2</v>
      </c>
      <c r="P63" s="38"/>
    </row>
    <row r="64">
      <c r="A64" s="37"/>
      <c r="B64" s="37"/>
      <c r="C64" s="37"/>
      <c r="D64" s="37"/>
      <c r="E64" s="37"/>
      <c r="F64" s="12" t="s">
        <v>3786</v>
      </c>
      <c r="G64" s="104" t="s">
        <v>3787</v>
      </c>
      <c r="H64" s="12" t="s">
        <v>3788</v>
      </c>
      <c r="I64" s="12" t="s">
        <v>3649</v>
      </c>
      <c r="J64" s="12" t="s">
        <v>3789</v>
      </c>
      <c r="K64" s="13" t="str">
        <f>IFERROR(__xludf.DUMMYFUNCTION("IF(ISBLANK(J64), ""Input test step"", ARRAYFORMULA(TEXTJOIN(CHAR(10), TRUE, (""Step ""&amp; ROW(INDIRECT(""1:"" &amp; COUNTA(SPLIT(J64, CHAR(10))))) &amp; "": "" &amp; TRANSPOSE(SPLIT(J64, CHAR(10)))))))"),"Step 1: Đăng nhập vào tài  khoản
Step 2: Chọn mục cá nhân
Step 3: Chọn mục số địa chỉ
Step 4: Nhấn xem chi tiết địa chỉ
Step 5: Hiển thị màn hình chỉnh sửa địa chỉ
Step 6: Nhập max kí tự")</f>
        <v>Step 1: Đăng nhập vào tài  khoản
Step 2: Chọn mục cá nhân
Step 3: Chọn mục số địa chỉ
Step 4: Nhấn xem chi tiết địa chỉ
Step 5: Hiển thị màn hình chỉnh sửa địa chỉ
Step 6: Nhập max kí tự</v>
      </c>
      <c r="L64" s="14"/>
      <c r="M64" s="12" t="s">
        <v>3790</v>
      </c>
      <c r="N64" s="12" t="s">
        <v>1839</v>
      </c>
      <c r="O64" s="12" t="s">
        <v>2</v>
      </c>
      <c r="P64" s="38"/>
    </row>
    <row r="65">
      <c r="A65" s="37"/>
      <c r="B65" s="37"/>
      <c r="C65" s="37"/>
      <c r="D65" s="37"/>
      <c r="E65" s="37"/>
      <c r="F65" s="12" t="s">
        <v>3791</v>
      </c>
      <c r="G65" s="56"/>
      <c r="H65" s="12" t="s">
        <v>3792</v>
      </c>
      <c r="I65" s="12" t="s">
        <v>3649</v>
      </c>
      <c r="J65" s="12" t="s">
        <v>3793</v>
      </c>
      <c r="K65" s="13" t="str">
        <f>IFERROR(__xludf.DUMMYFUNCTION("IF(ISBLANK(J65), ""Input test step"", ARRAYFORMULA(TEXTJOIN(CHAR(10), TRUE, (""Step ""&amp; ROW(INDIRECT(""1:"" &amp; COUNTA(SPLIT(J65, CHAR(10))))) &amp; "": "" &amp; TRANSPOSE(SPLIT(J65, CHAR(10)))))))"),"Step 1: Đăng nhập vào tài  khoản
Step 2: Chọn mục cá nhân
Step 3: Chọn mục số địa chỉ
Step 4: Nhấn xem chi tiết địa chỉ
Step 5: Hiển thị màn hình chỉnh sửa địa chỉ
Step 6: Bỏ trống Địa chỉ cụ thể 
Step 7: Nhấn "" Lưu thay đổi """)</f>
        <v>Step 1: Đăng nhập vào tài  khoản
Step 2: Chọn mục cá nhân
Step 3: Chọn mục số địa chỉ
Step 4: Nhấn xem chi tiết địa chỉ
Step 5: Hiển thị màn hình chỉnh sửa địa chỉ
Step 6: Bỏ trống Địa chỉ cụ thể 
Step 7: Nhấn " Lưu thay đổi "</v>
      </c>
      <c r="L65" s="14"/>
      <c r="M65" s="12" t="s">
        <v>3794</v>
      </c>
      <c r="N65" s="12" t="s">
        <v>3794</v>
      </c>
      <c r="O65" s="12" t="s">
        <v>1</v>
      </c>
      <c r="P65" s="38"/>
    </row>
    <row r="66">
      <c r="A66" s="37"/>
      <c r="B66" s="37"/>
      <c r="C66" s="37"/>
      <c r="D66" s="37"/>
      <c r="E66" s="37"/>
      <c r="F66" s="12" t="s">
        <v>3795</v>
      </c>
      <c r="G66" s="57"/>
      <c r="H66" s="43" t="s">
        <v>3796</v>
      </c>
      <c r="I66" s="63" t="s">
        <v>3649</v>
      </c>
      <c r="J66" s="12" t="s">
        <v>3797</v>
      </c>
      <c r="K66" s="89" t="str">
        <f>IFERROR(__xludf.DUMMYFUNCTION("IF(ISBLANK(J66), ""Input test step"", ARRAYFORMULA(TEXTJOIN(CHAR(10), TRUE, (""Step ""&amp; ROW(INDIRECT(""1:"" &amp; COUNTA(SPLIT(J66, CHAR(10))))) &amp; "": "" &amp; TRANSPOSE(SPLIT(J66, CHAR(10)))))))"),"Step 1: Đăng nhập vào tài  khoản
Step 2: Chọn mục cá nhân
Step 3: Chọn mục số địa chỉ
Step 4: Nhấn xem chi tiết địa chỉ
Step 5: Hiển thị màn hình chỉnh sửa địa chỉ
Step 6: Nhập dữ liệu vào thì dòng chữ "" Nhập địa chỉ cụ thể sẽ mất và ngược lại")</f>
        <v>Step 1: Đăng nhập vào tài  khoản
Step 2: Chọn mục cá nhân
Step 3: Chọn mục số địa chỉ
Step 4: Nhấn xem chi tiết địa chỉ
Step 5: Hiển thị màn hình chỉnh sửa địa chỉ
Step 6: Nhập dữ liệu vào thì dòng chữ " Nhập địa chỉ cụ thể sẽ mất và ngược lại</v>
      </c>
      <c r="L66" s="108"/>
      <c r="M66" s="43" t="s">
        <v>3798</v>
      </c>
      <c r="N66" s="43" t="s">
        <v>3798</v>
      </c>
      <c r="O66" s="12" t="s">
        <v>1</v>
      </c>
      <c r="P66" s="38"/>
    </row>
    <row r="67">
      <c r="A67" s="37"/>
      <c r="B67" s="37"/>
      <c r="C67" s="37"/>
      <c r="D67" s="37"/>
      <c r="E67" s="37"/>
      <c r="F67" s="12" t="s">
        <v>3799</v>
      </c>
      <c r="G67" s="55" t="s">
        <v>3800</v>
      </c>
      <c r="H67" s="12" t="s">
        <v>3801</v>
      </c>
      <c r="I67" s="12" t="s">
        <v>3802</v>
      </c>
      <c r="J67" s="12" t="s">
        <v>3803</v>
      </c>
      <c r="K67" s="13" t="str">
        <f>IFERROR(__xludf.DUMMYFUNCTION("IF(ISBLANK(J67), ""Input test step"", ARRAYFORMULA(TEXTJOIN(CHAR(10), TRUE, (""Step ""&amp; ROW(INDIRECT(""1:"" &amp; COUNTA(SPLIT(J67, CHAR(10))))) &amp; "": "" &amp; TRANSPOSE(SPLIT(J67, CHAR(10)))))))"),"Step 1: Đăng nhập vào tài  khoản
Step 2: Chọn mục cá nhân
Step 3: Chọn mục số địa chỉ
Step 4: Nhấn xem chi tiết địa chỉ
Step 5: Hiển thị màn hình chỉnh sửa địa chỉ
Step 6: Nhấn bật/tắt  button để làm địa chỉ mặc định
Step 7: Nhấn "" Lưu thay đổi """)</f>
        <v>Step 1: Đăng nhập vào tài  khoản
Step 2: Chọn mục cá nhân
Step 3: Chọn mục số địa chỉ
Step 4: Nhấn xem chi tiết địa chỉ
Step 5: Hiển thị màn hình chỉnh sửa địa chỉ
Step 6: Nhấn bật/tắt  button để làm địa chỉ mặc định
Step 7: Nhấn " Lưu thay đổi "</v>
      </c>
      <c r="L67" s="14"/>
      <c r="M67" s="12" t="s">
        <v>3804</v>
      </c>
      <c r="N67" s="12" t="s">
        <v>3804</v>
      </c>
      <c r="O67" s="12" t="s">
        <v>1</v>
      </c>
      <c r="P67" s="38"/>
    </row>
    <row r="68">
      <c r="A68" s="37"/>
      <c r="B68" s="37"/>
      <c r="C68" s="37"/>
      <c r="D68" s="37"/>
      <c r="E68" s="37"/>
      <c r="F68" s="12" t="s">
        <v>3805</v>
      </c>
      <c r="G68" s="56"/>
      <c r="H68" s="12" t="s">
        <v>3806</v>
      </c>
      <c r="I68" s="12"/>
      <c r="J68" s="12" t="s">
        <v>3807</v>
      </c>
      <c r="K68" s="13" t="str">
        <f>IFERROR(__xludf.DUMMYFUNCTION("IF(ISBLANK(J68), ""Input test step"", ARRAYFORMULA(TEXTJOIN(CHAR(10), TRUE, (""Step ""&amp; ROW(INDIRECT(""1:"" &amp; COUNTA(SPLIT(J68, CHAR(10))))) &amp; "": "" &amp; TRANSPOSE(SPLIT(J68, CHAR(10)))))))"),"Step 1: Đăng nhập vào tài  khoản
Step 2: Chọn mục cá nhân
Step 3: Chọn mục số địa chỉ
Step 4: Nhấn xem chi tiết địa chỉ
Step 5: Hiển thị màn hình chỉnh sửa địa chỉ
Step 6: Kiểm tra kích thước, màu sắc, cỡ chữ")</f>
        <v>Step 1: Đăng nhập vào tài  khoản
Step 2: Chọn mục cá nhân
Step 3: Chọn mục số địa chỉ
Step 4: Nhấn xem chi tiết địa chỉ
Step 5: Hiển thị màn hình chỉnh sửa địa chỉ
Step 6: Kiểm tra kích thước, màu sắc, cỡ chữ</v>
      </c>
      <c r="L68" s="14"/>
      <c r="M68" s="12" t="s">
        <v>2024</v>
      </c>
      <c r="N68" s="12" t="s">
        <v>2024</v>
      </c>
      <c r="O68" s="12" t="s">
        <v>1</v>
      </c>
      <c r="P68" s="38"/>
    </row>
    <row r="69">
      <c r="A69" s="37"/>
      <c r="B69" s="37"/>
      <c r="C69" s="37"/>
      <c r="D69" s="37"/>
      <c r="E69" s="37"/>
      <c r="F69" s="12" t="s">
        <v>3808</v>
      </c>
      <c r="G69" s="56"/>
      <c r="H69" s="12" t="s">
        <v>3809</v>
      </c>
      <c r="I69" s="12" t="s">
        <v>3802</v>
      </c>
      <c r="J69" s="12" t="s">
        <v>3810</v>
      </c>
      <c r="K69" s="13" t="str">
        <f>IFERROR(__xludf.DUMMYFUNCTION("IF(ISBLANK(J69), ""Input test step"", ARRAYFORMULA(TEXTJOIN(CHAR(10), TRUE, (""Step ""&amp; ROW(INDIRECT(""1:"" &amp; COUNTA(SPLIT(J69, CHAR(10))))) &amp; "": "" &amp; TRANSPOSE(SPLIT(J69, CHAR(10)))))))"),"Step 1: Đăng nhập vào tài  khoản
Step 2: Chọn mục cá nhân
Step 3: Chọn mục số địa chỉ
Step 4: Nhấn xem chi tiết địa chỉ
Step 5: Hiển thị màn hình chỉnh sửa địa chỉ
Step 6: Nhấn bật button để làm địa chỉ mặc định và được hiển thị ở mà hình "" Số địa chỉ """&amp;"
Step 7: Nhấn "" Lưu thay đổi """)</f>
        <v>Step 1: Đăng nhập vào tài  khoản
Step 2: Chọn mục cá nhân
Step 3: Chọn mục số địa chỉ
Step 4: Nhấn xem chi tiết địa chỉ
Step 5: Hiển thị màn hình chỉnh sửa địa chỉ
Step 6: Nhấn bật button để làm địa chỉ mặc định và được hiển thị ở mà hình " Số địa chỉ "
Step 7: Nhấn " Lưu thay đổi "</v>
      </c>
      <c r="L69" s="14"/>
      <c r="M69" s="12" t="s">
        <v>3811</v>
      </c>
      <c r="N69" s="12" t="s">
        <v>3811</v>
      </c>
      <c r="O69" s="12" t="s">
        <v>1</v>
      </c>
      <c r="P69" s="38"/>
    </row>
    <row r="70">
      <c r="A70" s="37"/>
      <c r="B70" s="37"/>
      <c r="C70" s="37"/>
      <c r="D70" s="37"/>
      <c r="E70" s="37"/>
      <c r="F70" s="12" t="s">
        <v>3812</v>
      </c>
      <c r="G70" s="56"/>
      <c r="H70" s="12" t="s">
        <v>3813</v>
      </c>
      <c r="I70" s="12" t="s">
        <v>3802</v>
      </c>
      <c r="J70" s="12" t="s">
        <v>3814</v>
      </c>
      <c r="K70" s="13" t="str">
        <f>IFERROR(__xludf.DUMMYFUNCTION("IF(ISBLANK(J70), ""Input test step"", ARRAYFORMULA(TEXTJOIN(CHAR(10), TRUE, (""Step ""&amp; ROW(INDIRECT(""1:"" &amp; COUNTA(SPLIT(J70, CHAR(10))))) &amp; "": "" &amp; TRANSPOSE(SPLIT(J70, CHAR(10)))))))"),"Step 1: Đăng nhập vào tài  khoản
Step 2: Chọn mục cá nhân
Step 3: Chọn mục số địa chỉ
Step 4: Nhấn xem chi tiết địa chỉ
Step 5: Hiển thị màn hình chỉnh sửa địa chỉ
Step 6: Nhấn tắt button để làm địa chỉ mặc định và được hiển thị ở mà hình "" Số địa chỉ """&amp;"
Step 7: Nhấn "" Lưu thay đổi """)</f>
        <v>Step 1: Đăng nhập vào tài  khoản
Step 2: Chọn mục cá nhân
Step 3: Chọn mục số địa chỉ
Step 4: Nhấn xem chi tiết địa chỉ
Step 5: Hiển thị màn hình chỉnh sửa địa chỉ
Step 6: Nhấn tắt button để làm địa chỉ mặc định và được hiển thị ở mà hình " Số địa chỉ "
Step 7: Nhấn " Lưu thay đổi "</v>
      </c>
      <c r="L70" s="14"/>
      <c r="M70" s="12" t="s">
        <v>3815</v>
      </c>
      <c r="N70" s="12" t="s">
        <v>3815</v>
      </c>
      <c r="O70" s="12" t="s">
        <v>1</v>
      </c>
      <c r="P70" s="38"/>
    </row>
    <row r="71">
      <c r="A71" s="37"/>
      <c r="B71" s="37"/>
      <c r="C71" s="37"/>
      <c r="D71" s="37"/>
      <c r="E71" s="37"/>
      <c r="F71" s="12" t="s">
        <v>3816</v>
      </c>
      <c r="G71" s="57"/>
      <c r="H71" s="12" t="s">
        <v>3817</v>
      </c>
      <c r="I71" s="12" t="s">
        <v>3802</v>
      </c>
      <c r="J71" s="12" t="s">
        <v>3818</v>
      </c>
      <c r="K71" s="13" t="str">
        <f>IFERROR(__xludf.DUMMYFUNCTION("IF(ISBLANK(J71), ""Input test step"", ARRAYFORMULA(TEXTJOIN(CHAR(10), TRUE, (""Step ""&amp; ROW(INDIRECT(""1:"" &amp; COUNTA(SPLIT(J71, CHAR(10))))) &amp; "": "" &amp; TRANSPOSE(SPLIT(J71, CHAR(10)))))))"),"Step 1: Đăng nhập vào tài  khoản
Step 2: Chọn mục cá nhân
Step 3: Chọn mục số địa chỉ
Step 4: Nhấn xem chi tiết địa chỉ
Step 5: Hiển thị màn hình chỉnh sửa địa chỉ
Step 6: Nhấn bật/tắt button nhưng không nhấn  "" Lưu thay đổi """)</f>
        <v>Step 1: Đăng nhập vào tài  khoản
Step 2: Chọn mục cá nhân
Step 3: Chọn mục số địa chỉ
Step 4: Nhấn xem chi tiết địa chỉ
Step 5: Hiển thị màn hình chỉnh sửa địa chỉ
Step 6: Nhấn bật/tắt button nhưng không nhấn  " Lưu thay đổi "</v>
      </c>
      <c r="L71" s="14"/>
      <c r="M71" s="12" t="s">
        <v>3819</v>
      </c>
      <c r="N71" s="12" t="s">
        <v>3819</v>
      </c>
      <c r="O71" s="12" t="s">
        <v>1</v>
      </c>
      <c r="P71" s="38"/>
    </row>
    <row r="72">
      <c r="A72" s="37"/>
      <c r="B72" s="37"/>
      <c r="C72" s="37"/>
      <c r="D72" s="37"/>
      <c r="E72" s="37"/>
      <c r="F72" s="12" t="s">
        <v>3820</v>
      </c>
      <c r="G72" s="55" t="s">
        <v>3821</v>
      </c>
      <c r="H72" s="12" t="s">
        <v>3822</v>
      </c>
      <c r="I72" s="12" t="s">
        <v>3553</v>
      </c>
      <c r="J72" s="12" t="s">
        <v>3823</v>
      </c>
      <c r="K72" s="12" t="s">
        <v>3824</v>
      </c>
      <c r="L72" s="14"/>
      <c r="M72" s="12" t="s">
        <v>2636</v>
      </c>
      <c r="N72" s="12" t="s">
        <v>3825</v>
      </c>
      <c r="O72" s="12" t="s">
        <v>2</v>
      </c>
      <c r="P72" s="38"/>
    </row>
    <row r="73">
      <c r="A73" s="37"/>
      <c r="B73" s="37"/>
      <c r="C73" s="37"/>
      <c r="D73" s="37"/>
      <c r="E73" s="37"/>
      <c r="F73" s="12" t="s">
        <v>3826</v>
      </c>
      <c r="G73" s="56"/>
      <c r="H73" s="12" t="s">
        <v>3827</v>
      </c>
      <c r="I73" s="12" t="s">
        <v>3553</v>
      </c>
      <c r="J73" s="12" t="s">
        <v>3828</v>
      </c>
      <c r="K73" s="13" t="str">
        <f>IFERROR(__xludf.DUMMYFUNCTION("IF(ISBLANK(J73), ""Input test step"", ARRAYFORMULA(TEXTJOIN(CHAR(10), TRUE, (""Step ""&amp; ROW(INDIRECT(""1:"" &amp; COUNTA(SPLIT(J73, CHAR(10))))) &amp; "": "" &amp; TRANSPOSE(SPLIT(J73, CHAR(10)))))))"),"Step 1: Đăng nhập vào tài  khoản
Step 2: Chọn mục cá nhân
Step 3: Chọn mục số địa chỉ
Step 4: Nhấn xem chi tiết địa chỉ
Step 5: Hiển thị màn hình chỉnh sửa địa chỉ
Step 6: Nhấn xóa --&gt; hiển thị màn hình xác nhận --&gt; nhấn đồng ý xóa")</f>
        <v>Step 1: Đăng nhập vào tài  khoản
Step 2: Chọn mục cá nhân
Step 3: Chọn mục số địa chỉ
Step 4: Nhấn xem chi tiết địa chỉ
Step 5: Hiển thị màn hình chỉnh sửa địa chỉ
Step 6: Nhấn xóa --&gt; hiển thị màn hình xác nhận --&gt; nhấn đồng ý xóa</v>
      </c>
      <c r="L73" s="14"/>
      <c r="M73" s="12" t="s">
        <v>3829</v>
      </c>
      <c r="N73" s="12" t="s">
        <v>3830</v>
      </c>
      <c r="O73" s="12" t="s">
        <v>2</v>
      </c>
      <c r="P73" s="38"/>
    </row>
    <row r="74">
      <c r="A74" s="37"/>
      <c r="B74" s="37"/>
      <c r="C74" s="37"/>
      <c r="D74" s="37"/>
      <c r="E74" s="37"/>
      <c r="F74" s="12" t="s">
        <v>3831</v>
      </c>
      <c r="G74" s="56"/>
      <c r="H74" s="12" t="s">
        <v>3832</v>
      </c>
      <c r="I74" s="12" t="s">
        <v>3553</v>
      </c>
      <c r="J74" s="12" t="s">
        <v>3833</v>
      </c>
      <c r="K74" s="13" t="str">
        <f>IFERROR(__xludf.DUMMYFUNCTION("IF(ISBLANK(J74), ""Input test step"", ARRAYFORMULA(TEXTJOIN(CHAR(10), TRUE, (""Step ""&amp; ROW(INDIRECT(""1:"" &amp; COUNTA(SPLIT(J74, CHAR(10))))) &amp; "": "" &amp; TRANSPOSE(SPLIT(J74, CHAR(10)))))))"),"Step 1: Đăng nhập vào tài  khoản
Step 2: Chọn mục cá nhân
Step 3: Chọn mục số địa chỉ
Step 4: Nhấn xem chi tiết địa chỉ
Step 5: Hiển thị màn hình chỉnh sửa địa chỉ
Step 6: Nhấn xóa --&gt; hiển thị màn hình xác nhận --&gt; nhấn "" Không"" ")</f>
        <v>Step 1: Đăng nhập vào tài  khoản
Step 2: Chọn mục cá nhân
Step 3: Chọn mục số địa chỉ
Step 4: Nhấn xem chi tiết địa chỉ
Step 5: Hiển thị màn hình chỉnh sửa địa chỉ
Step 6: Nhấn xóa --&gt; hiển thị màn hình xác nhận --&gt; nhấn " Không" </v>
      </c>
      <c r="L74" s="14"/>
      <c r="M74" s="12" t="s">
        <v>3834</v>
      </c>
      <c r="N74" s="12" t="s">
        <v>3830</v>
      </c>
      <c r="O74" s="12" t="s">
        <v>2</v>
      </c>
      <c r="P74" s="38"/>
    </row>
    <row r="75">
      <c r="A75" s="37"/>
      <c r="B75" s="37"/>
      <c r="C75" s="37"/>
      <c r="D75" s="37"/>
      <c r="E75" s="37"/>
      <c r="F75" s="12" t="s">
        <v>3835</v>
      </c>
      <c r="G75" s="56"/>
      <c r="H75" s="12" t="s">
        <v>3836</v>
      </c>
      <c r="I75" s="12" t="s">
        <v>3553</v>
      </c>
      <c r="J75" s="12" t="s">
        <v>3837</v>
      </c>
      <c r="K75" s="13" t="str">
        <f>IFERROR(__xludf.DUMMYFUNCTION("IF(ISBLANK(J75), ""Input test step"", ARRAYFORMULA(TEXTJOIN(CHAR(10), TRUE, (""Step ""&amp; ROW(INDIRECT(""1:"" &amp; COUNTA(SPLIT(J75, CHAR(10))))) &amp; "": "" &amp; TRANSPOSE(SPLIT(J75, CHAR(10)))))))"),"Step 1: Đăng nhập vào tài  khoản
Step 2: Chọn mục cá nhân
Step 3: Chọn mục số địa chỉ
Step 4: Nhấn xem chi tiết địa chỉ
Step 5: Hiển thị màn hình chỉnh sửa địa chỉ
Step 6: Nhấn xóa --&gt; hiển thị màn hình xác nhận --&gt; kiểm tra màu sắc, kích thước, cỡ chữ củ"&amp;"a button "" Đồng ý """)</f>
        <v>Step 1: Đăng nhập vào tài  khoản
Step 2: Chọn mục cá nhân
Step 3: Chọn mục số địa chỉ
Step 4: Nhấn xem chi tiết địa chỉ
Step 5: Hiển thị màn hình chỉnh sửa địa chỉ
Step 6: Nhấn xóa --&gt; hiển thị màn hình xác nhận --&gt; kiểm tra màu sắc, kích thước, cỡ chữ của button " Đồng ý "</v>
      </c>
      <c r="L75" s="14"/>
      <c r="M75" s="12" t="s">
        <v>3838</v>
      </c>
      <c r="N75" s="12" t="s">
        <v>3830</v>
      </c>
      <c r="O75" s="12" t="s">
        <v>2</v>
      </c>
      <c r="P75" s="38"/>
    </row>
    <row r="76">
      <c r="A76" s="37"/>
      <c r="B76" s="37"/>
      <c r="C76" s="37"/>
      <c r="D76" s="37"/>
      <c r="E76" s="37"/>
      <c r="F76" s="12" t="s">
        <v>3839</v>
      </c>
      <c r="G76" s="57"/>
      <c r="H76" s="12" t="s">
        <v>3840</v>
      </c>
      <c r="I76" s="12" t="s">
        <v>3553</v>
      </c>
      <c r="J76" s="12" t="s">
        <v>3841</v>
      </c>
      <c r="K76" s="13" t="str">
        <f>IFERROR(__xludf.DUMMYFUNCTION("IF(ISBLANK(J76), ""Input test step"", ARRAYFORMULA(TEXTJOIN(CHAR(10), TRUE, (""Step ""&amp; ROW(INDIRECT(""1:"" &amp; COUNTA(SPLIT(J76, CHAR(10))))) &amp; "": "" &amp; TRANSPOSE(SPLIT(J76, CHAR(10)))))))"),"Step 1: Đăng nhập vào tài  khoản
Step 2: Chọn mục cá nhân
Step 3: Chọn mục số địa chỉ
Step 4: Nhấn xem chi tiết địa chỉ
Step 5: Hiển thị màn hình chỉnh sửa địa chỉ
Step 6: Nhấn xóa --&gt; hiển thị màn hình xác nhận --&gt; kiểm tra màu sắc, kích thước, cỡ chữ củ"&amp;"a button "" Không """)</f>
        <v>Step 1: Đăng nhập vào tài  khoản
Step 2: Chọn mục cá nhân
Step 3: Chọn mục số địa chỉ
Step 4: Nhấn xem chi tiết địa chỉ
Step 5: Hiển thị màn hình chỉnh sửa địa chỉ
Step 6: Nhấn xóa --&gt; hiển thị màn hình xác nhận --&gt; kiểm tra màu sắc, kích thước, cỡ chữ của button " Không "</v>
      </c>
      <c r="L76" s="14"/>
      <c r="M76" s="12" t="s">
        <v>3842</v>
      </c>
      <c r="N76" s="12" t="s">
        <v>3830</v>
      </c>
      <c r="O76" s="12" t="s">
        <v>2</v>
      </c>
      <c r="P76" s="38"/>
    </row>
    <row r="77">
      <c r="A77" s="37"/>
      <c r="B77" s="37"/>
      <c r="C77" s="37"/>
      <c r="D77" s="37"/>
      <c r="E77" s="37"/>
      <c r="F77" s="12" t="s">
        <v>3843</v>
      </c>
      <c r="G77" s="55" t="s">
        <v>3844</v>
      </c>
      <c r="H77" s="12" t="s">
        <v>3845</v>
      </c>
      <c r="I77" s="12" t="s">
        <v>3553</v>
      </c>
      <c r="J77" s="12" t="s">
        <v>3846</v>
      </c>
      <c r="K77" s="13" t="str">
        <f>IFERROR(__xludf.DUMMYFUNCTION("IF(ISBLANK(J77), ""Input test step"", ARRAYFORMULA(TEXTJOIN(CHAR(10), TRUE, (""Step ""&amp; ROW(INDIRECT(""1:"" &amp; COUNTA(SPLIT(J77, CHAR(10))))) &amp; "": "" &amp; TRANSPOSE(SPLIT(J77, CHAR(10)))))))"),"Step 1: Đăng nhập vào tài  khoản
Step 2: Chọn mục cá nhân
Step 3: Chọn mục số địa chỉ
Step 4: Nhấn xem chi tiết địa chỉ
Step 5: Hiển thị màn hình chỉnh sửa địa chỉ
Step 6: Kiểm tra màu sắc, kích thước, cỡ chữ của nút "" Lưu thay đổi """)</f>
        <v>Step 1: Đăng nhập vào tài  khoản
Step 2: Chọn mục cá nhân
Step 3: Chọn mục số địa chỉ
Step 4: Nhấn xem chi tiết địa chỉ
Step 5: Hiển thị màn hình chỉnh sửa địa chỉ
Step 6: Kiểm tra màu sắc, kích thước, cỡ chữ của nút " Lưu thay đổi "</v>
      </c>
      <c r="L77" s="14"/>
      <c r="M77" s="12" t="s">
        <v>3847</v>
      </c>
      <c r="N77" s="12" t="s">
        <v>3848</v>
      </c>
      <c r="O77" s="12" t="s">
        <v>2</v>
      </c>
      <c r="P77" s="38"/>
    </row>
    <row r="78">
      <c r="A78" s="37"/>
      <c r="B78" s="37"/>
      <c r="C78" s="37"/>
      <c r="D78" s="37"/>
      <c r="E78" s="37"/>
      <c r="F78" s="12" t="s">
        <v>3849</v>
      </c>
      <c r="G78" s="56"/>
      <c r="H78" s="12" t="s">
        <v>3850</v>
      </c>
      <c r="I78" s="12" t="s">
        <v>3553</v>
      </c>
      <c r="J78" s="12" t="s">
        <v>3851</v>
      </c>
      <c r="K78" s="13" t="str">
        <f>IFERROR(__xludf.DUMMYFUNCTION("IF(ISBLANK(J78), ""Input test step"", ARRAYFORMULA(TEXTJOIN(CHAR(10), TRUE, (""Step ""&amp; ROW(INDIRECT(""1:"" &amp; COUNTA(SPLIT(J78, CHAR(10))))) &amp; "": "" &amp; TRANSPOSE(SPLIT(J78, CHAR(10)))))))"),"Step 1: Đăng nhập vào tài  khoản
Step 2: Chọn mục cá nhân
Step 3: Chọn mục số địa chỉ
Step 4: Nhấn xem chi tiết địa chỉ
Step 5: Hiển thị màn hình chỉnh sửa địa chỉ
Step 6: Nhập đầy đủ thông tin mà nhấn "" Lưu thay đổi """)</f>
        <v>Step 1: Đăng nhập vào tài  khoản
Step 2: Chọn mục cá nhân
Step 3: Chọn mục số địa chỉ
Step 4: Nhấn xem chi tiết địa chỉ
Step 5: Hiển thị màn hình chỉnh sửa địa chỉ
Step 6: Nhập đầy đủ thông tin mà nhấn " Lưu thay đổi "</v>
      </c>
      <c r="L78" s="14"/>
      <c r="M78" s="12" t="s">
        <v>1925</v>
      </c>
      <c r="N78" s="12" t="s">
        <v>3852</v>
      </c>
      <c r="O78" s="12" t="s">
        <v>2</v>
      </c>
      <c r="P78" s="38"/>
    </row>
    <row r="79">
      <c r="A79" s="37"/>
      <c r="B79" s="37"/>
      <c r="C79" s="37"/>
      <c r="D79" s="37"/>
      <c r="E79" s="37"/>
      <c r="F79" s="12" t="s">
        <v>3853</v>
      </c>
      <c r="G79" s="56"/>
      <c r="H79" s="12" t="s">
        <v>3854</v>
      </c>
      <c r="I79" s="12" t="s">
        <v>3553</v>
      </c>
      <c r="J79" s="12" t="s">
        <v>3855</v>
      </c>
      <c r="K79" s="13" t="str">
        <f>IFERROR(__xludf.DUMMYFUNCTION("IF(ISBLANK(J79), ""Input test step"", ARRAYFORMULA(TEXTJOIN(CHAR(10), TRUE, (""Step ""&amp; ROW(INDIRECT(""1:"" &amp; COUNTA(SPLIT(J79, CHAR(10))))) &amp; "": "" &amp; TRANSPOSE(SPLIT(J79, CHAR(10)))))))"),"Step 1: Đăng nhập vào tài  khoản
Step 2: Chọn mục cá nhân
Step 3: Chọn mục số địa chỉ
Step 4: Nhấn xem chi tiết địa chỉ
Step 5: Hiển thị màn hình chỉnh sửa địa chỉ
Step 6: Nhấn "" Lưu thay đổi "" nhiều lần liên tiếp")</f>
        <v>Step 1: Đăng nhập vào tài  khoản
Step 2: Chọn mục cá nhân
Step 3: Chọn mục số địa chỉ
Step 4: Nhấn xem chi tiết địa chỉ
Step 5: Hiển thị màn hình chỉnh sửa địa chỉ
Step 6: Nhấn " Lưu thay đổi " nhiều lần liên tiếp</v>
      </c>
      <c r="L79" s="14"/>
      <c r="M79" s="12" t="s">
        <v>3856</v>
      </c>
      <c r="N79" s="12" t="s">
        <v>3857</v>
      </c>
      <c r="O79" s="12" t="s">
        <v>2</v>
      </c>
      <c r="P79" s="38"/>
    </row>
    <row r="80">
      <c r="A80" s="37"/>
      <c r="B80" s="37"/>
      <c r="C80" s="37"/>
      <c r="D80" s="37"/>
      <c r="E80" s="37"/>
      <c r="F80" s="12" t="s">
        <v>3858</v>
      </c>
      <c r="G80" s="57"/>
      <c r="H80" s="12" t="s">
        <v>3859</v>
      </c>
      <c r="I80" s="12" t="s">
        <v>3553</v>
      </c>
      <c r="J80" s="12" t="s">
        <v>3860</v>
      </c>
      <c r="K80" s="13" t="str">
        <f>IFERROR(__xludf.DUMMYFUNCTION("IF(ISBLANK(J80), ""Input test step"", ARRAYFORMULA(TEXTJOIN(CHAR(10), TRUE, (""Step ""&amp; ROW(INDIRECT(""1:"" &amp; COUNTA(SPLIT(J80, CHAR(10))))) &amp; "": "" &amp; TRANSPOSE(SPLIT(J80, CHAR(10)))))))"),"Step 1: Đăng nhập vào tài  khoản
Step 2: Chọn mục cá nhân
Step 3: Chọn mục số địa chỉ
Step 4: Nhấn xem chi tiết địa chỉ
Step 5: Hiển thị màn hình chỉnh sửa địa chỉ
Step 6: Nhập đầy đủ địa chỉ
Step 7: Nhấn "" Lưu thay đổi "" kiềm tra tốc độ lưu")</f>
        <v>Step 1: Đăng nhập vào tài  khoản
Step 2: Chọn mục cá nhân
Step 3: Chọn mục số địa chỉ
Step 4: Nhấn xem chi tiết địa chỉ
Step 5: Hiển thị màn hình chỉnh sửa địa chỉ
Step 6: Nhập đầy đủ địa chỉ
Step 7: Nhấn " Lưu thay đổi " kiềm tra tốc độ lưu</v>
      </c>
      <c r="L80" s="14"/>
      <c r="M80" s="12" t="s">
        <v>3861</v>
      </c>
      <c r="N80" s="12" t="s">
        <v>3861</v>
      </c>
      <c r="O80" s="12" t="s">
        <v>1</v>
      </c>
      <c r="P80" s="38"/>
    </row>
    <row r="81">
      <c r="A81" s="37"/>
      <c r="B81" s="37"/>
      <c r="C81" s="37"/>
      <c r="D81" s="37"/>
      <c r="E81" s="37"/>
      <c r="F81" s="12" t="s">
        <v>3862</v>
      </c>
      <c r="G81" s="55" t="s">
        <v>3863</v>
      </c>
      <c r="H81" s="12" t="s">
        <v>3642</v>
      </c>
      <c r="I81" s="12" t="s">
        <v>3864</v>
      </c>
      <c r="J81" s="12" t="s">
        <v>3865</v>
      </c>
      <c r="K81" s="13" t="str">
        <f>IFERROR(__xludf.DUMMYFUNCTION("IF(ISBLANK(J81), ""Input test step"", ARRAYFORMULA(TEXTJOIN(CHAR(10), TRUE, (""Step ""&amp; ROW(INDIRECT(""1:"" &amp; COUNTA(SPLIT(J81, CHAR(10))))) &amp; "": "" &amp; TRANSPOSE(SPLIT(J81, CHAR(10)))))))"),"Step 1: Đăng nhập vào tài  khoản
Step 2: Chọn mục cá nhân
Step 3: Chọn mục số địa chỉ 
Step 4: Chọn "" Thêm mới địa chỉ --&gt; hiển thị màn hình "" Thêm địa chỉ "" kiểm tra màu sắc, kích thước,cỡ chữ")</f>
        <v>Step 1: Đăng nhập vào tài  khoản
Step 2: Chọn mục cá nhân
Step 3: Chọn mục số địa chỉ 
Step 4: Chọn " Thêm mới địa chỉ --&gt; hiển thị màn hình " Thêm địa chỉ " kiểm tra màu sắc, kích thước,cỡ chữ</v>
      </c>
      <c r="L81" s="14"/>
      <c r="M81" s="12" t="s">
        <v>3866</v>
      </c>
      <c r="N81" s="12" t="s">
        <v>3867</v>
      </c>
      <c r="O81" s="12" t="s">
        <v>2</v>
      </c>
      <c r="P81" s="38"/>
    </row>
    <row r="82">
      <c r="A82" s="37"/>
      <c r="B82" s="37"/>
      <c r="C82" s="37"/>
      <c r="D82" s="37"/>
      <c r="E82" s="37"/>
      <c r="F82" s="12" t="s">
        <v>3868</v>
      </c>
      <c r="G82" s="56"/>
      <c r="H82" s="12" t="s">
        <v>3869</v>
      </c>
      <c r="I82" s="12" t="s">
        <v>3864</v>
      </c>
      <c r="J82" s="12" t="s">
        <v>3870</v>
      </c>
      <c r="K82" s="13" t="str">
        <f>IFERROR(__xludf.DUMMYFUNCTION("IF(ISBLANK(J82), ""Input test step"", ARRAYFORMULA(TEXTJOIN(CHAR(10), TRUE, (""Step ""&amp; ROW(INDIRECT(""1:"" &amp; COUNTA(SPLIT(J82, CHAR(10))))) &amp; "": "" &amp; TRANSPOSE(SPLIT(J82, CHAR(10)))))))"),"Step 1: Đăng nhập vào tài  khoản
Step 2: Chọn mục cá nhân
Step 3: Chọn mục số địa chỉ 
Step 4: Chọn "" Thêm mới địa chỉ --&gt; hiển thị màn hình "" Thêm địa chỉ "" kiểm tra trường "" Họ và tên "" về màu sắc, kích thước,cỡ chữ, có dấu * ")</f>
        <v>Step 1: Đăng nhập vào tài  khoản
Step 2: Chọn mục cá nhân
Step 3: Chọn mục số địa chỉ 
Step 4: Chọn " Thêm mới địa chỉ --&gt; hiển thị màn hình " Thêm địa chỉ " kiểm tra trường " Họ và tên " về màu sắc, kích thước,cỡ chữ, có dấu * </v>
      </c>
      <c r="L82" s="14"/>
      <c r="M82" s="12" t="s">
        <v>3871</v>
      </c>
      <c r="N82" s="12" t="s">
        <v>3872</v>
      </c>
      <c r="O82" s="12" t="s">
        <v>1</v>
      </c>
      <c r="P82" s="38"/>
    </row>
    <row r="83">
      <c r="A83" s="37"/>
      <c r="B83" s="37"/>
      <c r="C83" s="37"/>
      <c r="D83" s="37"/>
      <c r="E83" s="37"/>
      <c r="F83" s="12" t="s">
        <v>3873</v>
      </c>
      <c r="G83" s="56"/>
      <c r="H83" s="12" t="s">
        <v>3874</v>
      </c>
      <c r="I83" s="12" t="s">
        <v>3864</v>
      </c>
      <c r="J83" s="12" t="s">
        <v>3875</v>
      </c>
      <c r="K83" s="13" t="str">
        <f>IFERROR(__xludf.DUMMYFUNCTION("IF(ISBLANK(J83), ""Input test step"", ARRAYFORMULA(TEXTJOIN(CHAR(10), TRUE, (""Step ""&amp; ROW(INDIRECT(""1:"" &amp; COUNTA(SPLIT(J83, CHAR(10))))) &amp; "": "" &amp; TRANSPOSE(SPLIT(J83, CHAR(10)))))))"),"Step 1: Đăng nhập vào tài  khoản
Step 2: Chọn mục cá nhân
Step 3: Chọn mục số địa chỉ 
Step 4: Chọn "" Thêm mới địa chỉ --&gt; hiển thị màn hình "" Thêm địa chỉ "" kiểm tra trường "" Họ và tên "" về màu sắc, kích thước,cỡ chữ, có dấu * ")</f>
        <v>Step 1: Đăng nhập vào tài  khoản
Step 2: Chọn mục cá nhân
Step 3: Chọn mục số địa chỉ 
Step 4: Chọn " Thêm mới địa chỉ --&gt; hiển thị màn hình " Thêm địa chỉ " kiểm tra trường " Họ và tên " về màu sắc, kích thước,cỡ chữ, có dấu * </v>
      </c>
      <c r="L83" s="14"/>
      <c r="M83" s="12" t="s">
        <v>3876</v>
      </c>
      <c r="N83" s="12" t="s">
        <v>3877</v>
      </c>
      <c r="O83" s="12" t="s">
        <v>1</v>
      </c>
      <c r="P83" s="38"/>
    </row>
    <row r="84">
      <c r="A84" s="37"/>
      <c r="B84" s="37"/>
      <c r="C84" s="37"/>
      <c r="D84" s="37"/>
      <c r="E84" s="37"/>
      <c r="F84" s="12" t="s">
        <v>3878</v>
      </c>
      <c r="G84" s="56"/>
      <c r="H84" s="12" t="s">
        <v>3879</v>
      </c>
      <c r="I84" s="12" t="s">
        <v>3864</v>
      </c>
      <c r="J84" s="12" t="s">
        <v>3880</v>
      </c>
      <c r="K84" s="13" t="str">
        <f>IFERROR(__xludf.DUMMYFUNCTION("IF(ISBLANK(J84), ""Input test step"", ARRAYFORMULA(TEXTJOIN(CHAR(10), TRUE, (""Step ""&amp; ROW(INDIRECT(""1:"" &amp; COUNTA(SPLIT(J84, CHAR(10))))) &amp; "": "" &amp; TRANSPOSE(SPLIT(J84, CHAR(10)))))))"),"Step 1: Đăng nhập vào tài  khoản
Step 2: Chọn mục cá nhân
Step 3: Chọn mục số địa chỉ 
Step 4: Chọn "" Thêm mới địa chỉ --&gt; hiển thị màn hình "" Thêm địa chỉ "" kiểm tra trường "" Thành phố/quận/phường "" về màu sắc, kích thước,cỡ chữ, có dấu * ")</f>
        <v>Step 1: Đăng nhập vào tài  khoản
Step 2: Chọn mục cá nhân
Step 3: Chọn mục số địa chỉ 
Step 4: Chọn " Thêm mới địa chỉ --&gt; hiển thị màn hình " Thêm địa chỉ " kiểm tra trường " Thành phố/quận/phường " về màu sắc, kích thước,cỡ chữ, có dấu * </v>
      </c>
      <c r="L84" s="14"/>
      <c r="M84" s="12" t="s">
        <v>3881</v>
      </c>
      <c r="N84" s="12" t="s">
        <v>3882</v>
      </c>
      <c r="O84" s="12" t="s">
        <v>1</v>
      </c>
      <c r="P84" s="38"/>
    </row>
    <row r="85">
      <c r="A85" s="37"/>
      <c r="B85" s="37"/>
      <c r="C85" s="37"/>
      <c r="D85" s="37"/>
      <c r="E85" s="37"/>
      <c r="F85" s="12" t="s">
        <v>3883</v>
      </c>
      <c r="G85" s="56"/>
      <c r="H85" s="12" t="s">
        <v>3884</v>
      </c>
      <c r="I85" s="12" t="s">
        <v>3864</v>
      </c>
      <c r="J85" s="12" t="s">
        <v>3885</v>
      </c>
      <c r="K85" s="13" t="str">
        <f>IFERROR(__xludf.DUMMYFUNCTION("IF(ISBLANK(J85), ""Input test step"", ARRAYFORMULA(TEXTJOIN(CHAR(10), TRUE, (""Step ""&amp; ROW(INDIRECT(""1:"" &amp; COUNTA(SPLIT(J85, CHAR(10))))) &amp; "": "" &amp; TRANSPOSE(SPLIT(J85, CHAR(10)))))))"),"Step 1: Đăng nhập vào tài  khoản
Step 2: Chọn mục cá nhân
Step 3: Chọn mục số địa chỉ 
Step 4: Chọn "" Thêm mới địa chỉ --&gt; hiển thị màn hình "" Thêm địa chỉ "" kiểm tra trường "" Địa chỉ cụ thể "" về màu sắc, kích thước,cỡ chữ, có dấu * ")</f>
        <v>Step 1: Đăng nhập vào tài  khoản
Step 2: Chọn mục cá nhân
Step 3: Chọn mục số địa chỉ 
Step 4: Chọn " Thêm mới địa chỉ --&gt; hiển thị màn hình " Thêm địa chỉ " kiểm tra trường " Địa chỉ cụ thể " về màu sắc, kích thước,cỡ chữ, có dấu * </v>
      </c>
      <c r="L85" s="14"/>
      <c r="M85" s="12" t="s">
        <v>3886</v>
      </c>
      <c r="N85" s="12" t="s">
        <v>3887</v>
      </c>
      <c r="O85" s="12" t="s">
        <v>2</v>
      </c>
      <c r="P85" s="38"/>
    </row>
    <row r="86">
      <c r="A86" s="37"/>
      <c r="B86" s="37"/>
      <c r="C86" s="37"/>
      <c r="D86" s="37"/>
      <c r="E86" s="37"/>
      <c r="F86" s="12" t="s">
        <v>3888</v>
      </c>
      <c r="G86" s="56"/>
      <c r="H86" s="12" t="s">
        <v>3889</v>
      </c>
      <c r="I86" s="12" t="s">
        <v>3864</v>
      </c>
      <c r="J86" s="12" t="s">
        <v>3890</v>
      </c>
      <c r="K86" s="13" t="str">
        <f>IFERROR(__xludf.DUMMYFUNCTION("IF(ISBLANK(J86), ""Input test step"", ARRAYFORMULA(TEXTJOIN(CHAR(10), TRUE, (""Step ""&amp; ROW(INDIRECT(""1:"" &amp; COUNTA(SPLIT(J86, CHAR(10))))) &amp; "": "" &amp; TRANSPOSE(SPLIT(J86, CHAR(10)))))))"),"Step 1: Đăng nhập vào tài  khoản
Step 2: Chọn mục cá nhân
Step 3: Chọn mục số địa chỉ 
Step 4: Chọn "" Thêm mới địa chỉ --&gt; hiển thị màn hình "" Thêm địa chỉ "" kiểm tra khoảng các các trường với nhau")</f>
        <v>Step 1: Đăng nhập vào tài  khoản
Step 2: Chọn mục cá nhân
Step 3: Chọn mục số địa chỉ 
Step 4: Chọn " Thêm mới địa chỉ --&gt; hiển thị màn hình " Thêm địa chỉ " kiểm tra khoảng các các trường với nhau</v>
      </c>
      <c r="L86" s="14" t="s">
        <v>3891</v>
      </c>
      <c r="M86" s="12" t="s">
        <v>3892</v>
      </c>
      <c r="N86" s="12" t="s">
        <v>3893</v>
      </c>
      <c r="O86" s="12" t="s">
        <v>2</v>
      </c>
      <c r="P86" s="38"/>
    </row>
    <row r="87">
      <c r="A87" s="37"/>
      <c r="B87" s="37"/>
      <c r="C87" s="37"/>
      <c r="D87" s="37"/>
      <c r="E87" s="37"/>
      <c r="F87" s="12" t="s">
        <v>3894</v>
      </c>
      <c r="G87" s="56"/>
      <c r="H87" s="12" t="s">
        <v>3895</v>
      </c>
      <c r="I87" s="12" t="s">
        <v>3864</v>
      </c>
      <c r="J87" s="12" t="s">
        <v>3896</v>
      </c>
      <c r="K87" s="13" t="str">
        <f>IFERROR(__xludf.DUMMYFUNCTION("IF(ISBLANK(J87), ""Input test step"", ARRAYFORMULA(TEXTJOIN(CHAR(10), TRUE, (""Step ""&amp; ROW(INDIRECT(""1:"" &amp; COUNTA(SPLIT(J87, CHAR(10))))) &amp; "": "" &amp; TRANSPOSE(SPLIT(J87, CHAR(10)))))))"),"Step 1: Đăng nhập vào tài  khoản
Step 2: Chọn mục cá nhân
Step 3: Chọn mục số địa chỉ 
Step 4: Chọn "" Thêm mới địa chỉ --&gt; hiển thị màn hình "" Thêm địa chỉ "" kiểm tra trường "" Đặt làm địa chỉ mặc định "" về màu sắc, kích thước,cỡ chữ, nút button ")</f>
        <v>Step 1: Đăng nhập vào tài  khoản
Step 2: Chọn mục cá nhân
Step 3: Chọn mục số địa chỉ 
Step 4: Chọn " Thêm mới địa chỉ --&gt; hiển thị màn hình " Thêm địa chỉ " kiểm tra trường " Đặt làm địa chỉ mặc định " về màu sắc, kích thước,cỡ chữ, nút button </v>
      </c>
      <c r="L87" s="14"/>
      <c r="M87" s="12" t="s">
        <v>3897</v>
      </c>
      <c r="N87" s="12" t="s">
        <v>3897</v>
      </c>
      <c r="O87" s="12" t="s">
        <v>1</v>
      </c>
      <c r="P87" s="38"/>
    </row>
    <row r="88">
      <c r="A88" s="37"/>
      <c r="B88" s="37"/>
      <c r="C88" s="37"/>
      <c r="D88" s="37"/>
      <c r="E88" s="37"/>
      <c r="F88" s="12" t="s">
        <v>3898</v>
      </c>
      <c r="G88" s="57"/>
      <c r="H88" s="12" t="s">
        <v>3899</v>
      </c>
      <c r="I88" s="12" t="s">
        <v>3864</v>
      </c>
      <c r="J88" s="12" t="s">
        <v>3900</v>
      </c>
      <c r="K88" s="13" t="str">
        <f>IFERROR(__xludf.DUMMYFUNCTION("IF(ISBLANK(J88), ""Input test step"", ARRAYFORMULA(TEXTJOIN(CHAR(10), TRUE, (""Step ""&amp; ROW(INDIRECT(""1:"" &amp; COUNTA(SPLIT(J88, CHAR(10))))) &amp; "": "" &amp; TRANSPOSE(SPLIT(J88, CHAR(10)))))))"),"Step 1: Đăng nhập vào tài  khoản
Step 2: Chọn mục cá nhân
Step 3: Chọn mục số địa chỉ 
Step 4: Chọn "" Thêm mới địa chỉ --&gt; hiển thị màn hình "" Thêm địa chỉ "" kiểm tra button "" Thêm mới "" về màu sắc, kích thước,cỡ chữ ")</f>
        <v>Step 1: Đăng nhập vào tài  khoản
Step 2: Chọn mục cá nhân
Step 3: Chọn mục số địa chỉ 
Step 4: Chọn " Thêm mới địa chỉ --&gt; hiển thị màn hình " Thêm địa chỉ " kiểm tra button " Thêm mới " về màu sắc, kích thước,cỡ chữ </v>
      </c>
      <c r="L88" s="14"/>
      <c r="M88" s="12" t="s">
        <v>3901</v>
      </c>
      <c r="N88" s="12" t="s">
        <v>3902</v>
      </c>
      <c r="O88" s="12" t="s">
        <v>2</v>
      </c>
      <c r="P88" s="38"/>
    </row>
    <row r="89">
      <c r="A89" s="37"/>
      <c r="B89" s="37"/>
      <c r="C89" s="37"/>
      <c r="D89" s="37"/>
      <c r="E89" s="37"/>
      <c r="F89" s="12" t="s">
        <v>3903</v>
      </c>
      <c r="G89" s="55" t="s">
        <v>3904</v>
      </c>
      <c r="H89" s="12" t="s">
        <v>3648</v>
      </c>
      <c r="I89" s="12" t="s">
        <v>3649</v>
      </c>
      <c r="J89" s="12" t="s">
        <v>3905</v>
      </c>
      <c r="K89" s="13" t="str">
        <f>IFERROR(__xludf.DUMMYFUNCTION("IF(ISBLANK(J89), ""Input test step"", ARRAYFORMULA(TEXTJOIN(CHAR(10), TRUE, (""Step ""&amp; ROW(INDIRECT(""1:"" &amp; COUNTA(SPLIT(J89, CHAR(10))))) &amp; "": "" &amp; TRANSPOSE(SPLIT(J89, CHAR(10)))))))"),"Step 1: Đăng nhập vào tài  khoản
Step 2: Chọn mục cá nhân
Step 3: Chọn mục số địa chỉ
Step 4: Nhấn thêm mới địa chỉ --&gt; hiển thị màn hình thêm địa chỉ
Step 5: Kiểm tra chỉnh sửa họ và tên hợp lệ
Step 6: Nhấn "" Lưu thay đổi """)</f>
        <v>Step 1: Đăng nhập vào tài  khoản
Step 2: Chọn mục cá nhân
Step 3: Chọn mục số địa chỉ
Step 4: Nhấn thêm mới địa chỉ --&gt; hiển thị màn hình thêm địa chỉ
Step 5: Kiểm tra chỉnh sửa họ và tên hợp lệ
Step 6: Nhấn " Lưu thay đổi "</v>
      </c>
      <c r="L89" s="34" t="s">
        <v>3651</v>
      </c>
      <c r="M89" s="73" t="s">
        <v>3652</v>
      </c>
      <c r="N89" s="52" t="s">
        <v>3652</v>
      </c>
      <c r="O89" s="12" t="s">
        <v>1</v>
      </c>
      <c r="P89" s="38"/>
    </row>
    <row r="90">
      <c r="A90" s="37"/>
      <c r="B90" s="37"/>
      <c r="C90" s="37"/>
      <c r="D90" s="37"/>
      <c r="E90" s="37"/>
      <c r="F90" s="12" t="s">
        <v>3906</v>
      </c>
      <c r="G90" s="56"/>
      <c r="H90" s="12" t="s">
        <v>3654</v>
      </c>
      <c r="I90" s="12" t="s">
        <v>3649</v>
      </c>
      <c r="J90" s="12" t="s">
        <v>3907</v>
      </c>
      <c r="K90" s="13" t="str">
        <f>IFERROR(__xludf.DUMMYFUNCTION("IF(ISBLANK(J90), ""Input test step"", ARRAYFORMULA(TEXTJOIN(CHAR(10), TRUE, (""Step ""&amp; ROW(INDIRECT(""1:"" &amp; COUNTA(SPLIT(J90, CHAR(10))))) &amp; "": "" &amp; TRANSPOSE(SPLIT(J90, CHAR(10)))))))"),"Step 1: Đăng nhập vào tài  khoản
Step 2: Chọn mục cá nhân
Step 3: Chọn mục số địa chỉ
Step 4: Nhấn thêm mới địa chỉ - hiển thị màn hình thêm địa chỉ
Step 5: Kiểm tra nhập max kí tự họ và tên
Step 6: Nhấn "" Lưu thay đổi """)</f>
        <v>Step 1: Đăng nhập vào tài  khoản
Step 2: Chọn mục cá nhân
Step 3: Chọn mục số địa chỉ
Step 4: Nhấn thêm mới địa chỉ - hiển thị màn hình thêm địa chỉ
Step 5: Kiểm tra nhập max kí tự họ và tên
Step 6: Nhấn " Lưu thay đổi "</v>
      </c>
      <c r="L90" s="34"/>
      <c r="M90" s="12" t="s">
        <v>3908</v>
      </c>
      <c r="N90" s="12" t="s">
        <v>1839</v>
      </c>
      <c r="O90" s="12" t="s">
        <v>2</v>
      </c>
      <c r="P90" s="38"/>
    </row>
    <row r="91">
      <c r="A91" s="37"/>
      <c r="B91" s="37"/>
      <c r="C91" s="37"/>
      <c r="D91" s="37"/>
      <c r="E91" s="37"/>
      <c r="F91" s="12" t="s">
        <v>3909</v>
      </c>
      <c r="G91" s="56"/>
      <c r="H91" s="12" t="s">
        <v>3658</v>
      </c>
      <c r="I91" s="12" t="s">
        <v>3649</v>
      </c>
      <c r="J91" s="12" t="s">
        <v>3910</v>
      </c>
      <c r="K91" s="13" t="str">
        <f>IFERROR(__xludf.DUMMYFUNCTION("IF(ISBLANK(J91), ""Input test step"", ARRAYFORMULA(TEXTJOIN(CHAR(10), TRUE, (""Step ""&amp; ROW(INDIRECT(""1:"" &amp; COUNTA(SPLIT(J91, CHAR(10))))) &amp; "": "" &amp; TRANSPOSE(SPLIT(J91, CHAR(10)))))))"),"Step 1: Đăng nhập vào tài  khoản
Step 2: Chọn mục cá nhân
Step 3: Chọn mục số địa chỉ
Step 4: Nhấn thêm mới địa chỉ --&gt; hiển thị màn hình thêm địa chỉ
Step 5: Xóa hết dữ liệu Họ và tên
Step 6: Nhấn "" Lưu thay đổi """)</f>
        <v>Step 1: Đăng nhập vào tài  khoản
Step 2: Chọn mục cá nhân
Step 3: Chọn mục số địa chỉ
Step 4: Nhấn thêm mới địa chỉ --&gt; hiển thị màn hình thêm địa chỉ
Step 5: Xóa hết dữ liệu Họ và tên
Step 6: Nhấn " Lưu thay đổi "</v>
      </c>
      <c r="L91" s="34"/>
      <c r="M91" s="12" t="s">
        <v>3911</v>
      </c>
      <c r="N91" s="12" t="s">
        <v>3911</v>
      </c>
      <c r="O91" s="12" t="s">
        <v>1</v>
      </c>
      <c r="P91" s="38"/>
    </row>
    <row r="92">
      <c r="A92" s="37"/>
      <c r="B92" s="37"/>
      <c r="C92" s="37"/>
      <c r="D92" s="37"/>
      <c r="E92" s="37"/>
      <c r="F92" s="12" t="s">
        <v>3912</v>
      </c>
      <c r="G92" s="56"/>
      <c r="H92" s="12" t="s">
        <v>3913</v>
      </c>
      <c r="I92" s="12" t="s">
        <v>3649</v>
      </c>
      <c r="J92" s="12" t="s">
        <v>3914</v>
      </c>
      <c r="K92" s="13" t="str">
        <f>IFERROR(__xludf.DUMMYFUNCTION("IF(ISBLANK(J92), ""Input test step"", ARRAYFORMULA(TEXTJOIN(CHAR(10), TRUE, (""Step ""&amp; ROW(INDIRECT(""1:"" &amp; COUNTA(SPLIT(J92, CHAR(10))))) &amp; "": "" &amp; TRANSPOSE(SPLIT(J92, CHAR(10)))))))"),"Step 1: Đăng nhập vào tài  khoản
Step 2: Chọn mục cá nhân
Step 3: Chọn mục số địa chỉ
Step 4: Nhấn Thêm mới địa chỉ --&gt; hiển thị màn hình thêm mới địa chỉ
Step 5: Trỏ chuột vào thanh Họ và tên --&gt; Kiểm tra thanh hover")</f>
        <v>Step 1: Đăng nhập vào tài  khoản
Step 2: Chọn mục cá nhân
Step 3: Chọn mục số địa chỉ
Step 4: Nhấn Thêm mới địa chỉ --&gt; hiển thị màn hình thêm mới địa chỉ
Step 5: Trỏ chuột vào thanh Họ và tên --&gt; Kiểm tra thanh hover</v>
      </c>
      <c r="L92" s="14"/>
      <c r="M92" s="12" t="s">
        <v>3915</v>
      </c>
      <c r="N92" s="12" t="s">
        <v>3915</v>
      </c>
      <c r="O92" s="12" t="s">
        <v>1</v>
      </c>
      <c r="P92" s="38"/>
    </row>
    <row r="93">
      <c r="A93" s="37"/>
      <c r="B93" s="37"/>
      <c r="C93" s="37"/>
      <c r="D93" s="37"/>
      <c r="E93" s="37"/>
      <c r="F93" s="12" t="s">
        <v>3916</v>
      </c>
      <c r="G93" s="55" t="s">
        <v>3917</v>
      </c>
      <c r="H93" s="12" t="s">
        <v>3662</v>
      </c>
      <c r="I93" s="12" t="s">
        <v>3649</v>
      </c>
      <c r="J93" s="12" t="s">
        <v>3918</v>
      </c>
      <c r="K93" s="13" t="str">
        <f>IFERROR(__xludf.DUMMYFUNCTION("IF(ISBLANK(J93), ""Input test step"", ARRAYFORMULA(TEXTJOIN(CHAR(10), TRUE, (""Step ""&amp; ROW(INDIRECT(""1:"" &amp; COUNTA(SPLIT(J93, CHAR(10))))) &amp; "": "" &amp; TRANSPOSE(SPLIT(J93, CHAR(10)))))))"),"Step 1: Đăng nhập vào tài  khoản
Step 2: Chọn mục cá nhân
Step 3: Chọn mục số địa chỉ
Step 4: Nhấn thêm mới  địa chỉ --&gt; hiển thị màn hình thêm địa chỉ
Step 5: Nhập số điện thoại đúng định dạng
Step 6: Nhấn "" Lưu thay đổi """)</f>
        <v>Step 1: Đăng nhập vào tài  khoản
Step 2: Chọn mục cá nhân
Step 3: Chọn mục số địa chỉ
Step 4: Nhấn thêm mới  địa chỉ --&gt; hiển thị màn hình thêm địa chỉ
Step 5: Nhập số điện thoại đúng định dạng
Step 6: Nhấn " Lưu thay đổi "</v>
      </c>
      <c r="L93" s="14" t="s">
        <v>3664</v>
      </c>
      <c r="M93" s="12" t="s">
        <v>1870</v>
      </c>
      <c r="N93" s="12" t="s">
        <v>1870</v>
      </c>
      <c r="O93" s="12" t="s">
        <v>1</v>
      </c>
      <c r="P93" s="38"/>
    </row>
    <row r="94">
      <c r="A94" s="37"/>
      <c r="B94" s="37"/>
      <c r="C94" s="37"/>
      <c r="D94" s="37"/>
      <c r="E94" s="37"/>
      <c r="F94" s="12" t="s">
        <v>3919</v>
      </c>
      <c r="G94" s="56"/>
      <c r="H94" s="12" t="s">
        <v>3920</v>
      </c>
      <c r="I94" s="12" t="s">
        <v>3649</v>
      </c>
      <c r="J94" s="12" t="s">
        <v>3918</v>
      </c>
      <c r="K94" s="13" t="str">
        <f>IFERROR(__xludf.DUMMYFUNCTION("IF(ISBLANK(J94), ""Input test step"", ARRAYFORMULA(TEXTJOIN(CHAR(10), TRUE, (""Step ""&amp; ROW(INDIRECT(""1:"" &amp; COUNTA(SPLIT(J94, CHAR(10))))) &amp; "": "" &amp; TRANSPOSE(SPLIT(J94, CHAR(10)))))))"),"Step 1: Đăng nhập vào tài  khoản
Step 2: Chọn mục cá nhân
Step 3: Chọn mục số địa chỉ
Step 4: Nhấn thêm mới  địa chỉ --&gt; hiển thị màn hình thêm địa chỉ
Step 5: Nhập số điện thoại đúng định dạng
Step 6: Nhấn "" Lưu thay đổi """)</f>
        <v>Step 1: Đăng nhập vào tài  khoản
Step 2: Chọn mục cá nhân
Step 3: Chọn mục số địa chỉ
Step 4: Nhấn thêm mới  địa chỉ --&gt; hiển thị màn hình thêm địa chỉ
Step 5: Nhập số điện thoại đúng định dạng
Step 6: Nhấn " Lưu thay đổi "</v>
      </c>
      <c r="L94" s="14" t="s">
        <v>2062</v>
      </c>
      <c r="M94" s="12" t="s">
        <v>3921</v>
      </c>
      <c r="N94" s="12" t="s">
        <v>3922</v>
      </c>
      <c r="O94" s="12" t="s">
        <v>2</v>
      </c>
      <c r="P94" s="38"/>
    </row>
    <row r="95">
      <c r="A95" s="37"/>
      <c r="B95" s="37"/>
      <c r="C95" s="37"/>
      <c r="D95" s="37"/>
      <c r="E95" s="37"/>
      <c r="F95" s="12" t="s">
        <v>3923</v>
      </c>
      <c r="G95" s="56"/>
      <c r="H95" s="12" t="s">
        <v>3670</v>
      </c>
      <c r="I95" s="12" t="s">
        <v>3649</v>
      </c>
      <c r="J95" s="12" t="s">
        <v>3924</v>
      </c>
      <c r="K95" s="13" t="str">
        <f>IFERROR(__xludf.DUMMYFUNCTION("IF(ISBLANK(J95), ""Input test step"", ARRAYFORMULA(TEXTJOIN(CHAR(10), TRUE, (""Step ""&amp; ROW(INDIRECT(""1:"" &amp; COUNTA(SPLIT(J95, CHAR(10))))) &amp; "": "" &amp; TRANSPOSE(SPLIT(J95, CHAR(10)))))))"),"Step 1: Đăng nhập vào tài  khoản
Step 2: Chọn mục cá nhân
Step 3: Chọn mục số địa chỉ
Step 4: Nhấn thêm mới địa chỉ --&gt; hiển thị màn hình thêm địa chỉ
Step 5: Nhập kí tự chữ vào số điện thoại
Step 6: Nhấn "" Lưu thay đổi """)</f>
        <v>Step 1: Đăng nhập vào tài  khoản
Step 2: Chọn mục cá nhân
Step 3: Chọn mục số địa chỉ
Step 4: Nhấn thêm mới địa chỉ --&gt; hiển thị màn hình thêm địa chỉ
Step 5: Nhập kí tự chữ vào số điện thoại
Step 6: Nhấn " Lưu thay đổi "</v>
      </c>
      <c r="L95" s="14" t="s">
        <v>3672</v>
      </c>
      <c r="M95" s="12" t="s">
        <v>3673</v>
      </c>
      <c r="N95" s="12" t="s">
        <v>3925</v>
      </c>
      <c r="O95" s="12" t="s">
        <v>2</v>
      </c>
      <c r="P95" s="38"/>
    </row>
    <row r="96">
      <c r="A96" s="37"/>
      <c r="B96" s="37"/>
      <c r="C96" s="37"/>
      <c r="D96" s="37"/>
      <c r="E96" s="37"/>
      <c r="F96" s="12" t="s">
        <v>3926</v>
      </c>
      <c r="G96" s="56"/>
      <c r="H96" s="12" t="s">
        <v>3676</v>
      </c>
      <c r="I96" s="12" t="s">
        <v>3649</v>
      </c>
      <c r="J96" s="12" t="s">
        <v>3927</v>
      </c>
      <c r="K96" s="13" t="str">
        <f>IFERROR(__xludf.DUMMYFUNCTION("IF(ISBLANK(J96), ""Input test step"", ARRAYFORMULA(TEXTJOIN(CHAR(10), TRUE, (""Step ""&amp; ROW(INDIRECT(""1:"" &amp; COUNTA(SPLIT(J96, CHAR(10))))) &amp; "": "" &amp; TRANSPOSE(SPLIT(J96, CHAR(10)))))))"),"Step 1: Đăng nhập vào tài  khoản
Step 2: Chọn mục cá nhân
Step 3: Chọn mục số địa chỉ
Step 4: Nhấn thêm mới  địa chỉ --&gt; hiển thị màn hình thêm địa chỉ
Step 5: Xóa tất cả nội dung trong ô số điện thoại
Step 6: Nhấn "" Lưu thay đổi """)</f>
        <v>Step 1: Đăng nhập vào tài  khoản
Step 2: Chọn mục cá nhân
Step 3: Chọn mục số địa chỉ
Step 4: Nhấn thêm mới  địa chỉ --&gt; hiển thị màn hình thêm địa chỉ
Step 5: Xóa tất cả nội dung trong ô số điện thoại
Step 6: Nhấn " Lưu thay đổi "</v>
      </c>
      <c r="L96" s="14"/>
      <c r="M96" s="22" t="s">
        <v>3928</v>
      </c>
      <c r="N96" s="12" t="s">
        <v>3929</v>
      </c>
      <c r="O96" s="12" t="s">
        <v>2</v>
      </c>
      <c r="P96" s="38"/>
    </row>
    <row r="97">
      <c r="A97" s="37"/>
      <c r="B97" s="37"/>
      <c r="C97" s="37"/>
      <c r="D97" s="37"/>
      <c r="E97" s="37"/>
      <c r="F97" s="12" t="s">
        <v>3930</v>
      </c>
      <c r="G97" s="56"/>
      <c r="H97" s="45" t="s">
        <v>1860</v>
      </c>
      <c r="I97" s="12" t="s">
        <v>1811</v>
      </c>
      <c r="J97" s="12" t="s">
        <v>3931</v>
      </c>
      <c r="K97" s="13" t="str">
        <f>IFERROR(__xludf.DUMMYFUNCTION("IF(ISBLANK(J97), ""Input test step"", ARRAYFORMULA(TEXTJOIN(CHAR(10), TRUE, (""Step ""&amp; ROW(INDIRECT(""1:"" &amp; COUNTA(SPLIT(J97, CHAR(10))))) &amp; "": "" &amp; TRANSPOSE(SPLIT(J97, CHAR(10)))))))"),"Step 1: Đăng nhập vào tài  khoản
Step 2: Chọn mục cá nhân
Step 3: Chọn mục số địa chỉ
Step 4: Nhấn thêm mới  địa chỉ --&gt; hiển thị màn hình thêm địa chỉ
Step 5: Kiểm tra số điện thoại hiện tại ( đúng số điện thoại )
Step 6: Nhấn "" Lưu thay đổi """)</f>
        <v>Step 1: Đăng nhập vào tài  khoản
Step 2: Chọn mục cá nhân
Step 3: Chọn mục số địa chỉ
Step 4: Nhấn thêm mới  địa chỉ --&gt; hiển thị màn hình thêm địa chỉ
Step 5: Kiểm tra số điện thoại hiện tại ( đúng số điện thoại )
Step 6: Nhấn " Lưu thay đổi "</v>
      </c>
      <c r="L97" s="14"/>
      <c r="M97" s="45" t="s">
        <v>1862</v>
      </c>
      <c r="N97" s="73" t="s">
        <v>1862</v>
      </c>
      <c r="O97" s="12" t="s">
        <v>1</v>
      </c>
      <c r="P97" s="38"/>
    </row>
    <row r="98">
      <c r="A98" s="37"/>
      <c r="B98" s="37"/>
      <c r="C98" s="37"/>
      <c r="D98" s="37"/>
      <c r="E98" s="37"/>
      <c r="F98" s="12" t="s">
        <v>3932</v>
      </c>
      <c r="G98" s="56"/>
      <c r="H98" s="12" t="s">
        <v>3683</v>
      </c>
      <c r="I98" s="12" t="s">
        <v>1811</v>
      </c>
      <c r="J98" s="12" t="s">
        <v>3933</v>
      </c>
      <c r="K98" s="13" t="str">
        <f>IFERROR(__xludf.DUMMYFUNCTION("IF(ISBLANK(J98), ""Input test step"", ARRAYFORMULA(TEXTJOIN(CHAR(10), TRUE, (""Step ""&amp; ROW(INDIRECT(""1:"" &amp; COUNTA(SPLIT(J98, CHAR(10))))) &amp; "": "" &amp; TRANSPOSE(SPLIT(J98, CHAR(10)))))))"),"Step 1: Đăng nhập vào tài  khoản
Step 2: Chọn mục cá nhân
Step 3: Chọn mục số địa chỉ
Step 4: Nhấn thêm mới địa chỉ--&gt; hiển thị màn hình thêm địa chỉ
Step 5: Kiểm tra max độ dài của số điện thoại
Step 6: Nhấn "" Lưu thay đổi """)</f>
        <v>Step 1: Đăng nhập vào tài  khoản
Step 2: Chọn mục cá nhân
Step 3: Chọn mục số địa chỉ
Step 4: Nhấn thêm mới địa chỉ--&gt; hiển thị màn hình thêm địa chỉ
Step 5: Kiểm tra max độ dài của số điện thoại
Step 6: Nhấn " Lưu thay đổi "</v>
      </c>
      <c r="L98" s="14"/>
      <c r="M98" s="73" t="s">
        <v>1843</v>
      </c>
      <c r="N98" s="73" t="s">
        <v>1843</v>
      </c>
      <c r="O98" s="12" t="s">
        <v>1</v>
      </c>
      <c r="P98" s="38"/>
    </row>
    <row r="99">
      <c r="A99" s="37"/>
      <c r="B99" s="37"/>
      <c r="C99" s="37"/>
      <c r="D99" s="37"/>
      <c r="E99" s="37"/>
      <c r="F99" s="12" t="s">
        <v>3934</v>
      </c>
      <c r="G99" s="56"/>
      <c r="H99" s="83" t="s">
        <v>3686</v>
      </c>
      <c r="I99" s="12" t="s">
        <v>1811</v>
      </c>
      <c r="J99" s="12" t="s">
        <v>3935</v>
      </c>
      <c r="K99" s="13" t="str">
        <f>IFERROR(__xludf.DUMMYFUNCTION("IF(ISBLANK(J99), ""Input test step"", ARRAYFORMULA(TEXTJOIN(CHAR(10), TRUE, (""Step ""&amp; ROW(INDIRECT(""1:"" &amp; COUNTA(SPLIT(J99, CHAR(10))))) &amp; "": "" &amp; TRANSPOSE(SPLIT(J99, CHAR(10)))))))"),"Step 1: Đăng nhập vào tài  khoản
Step 2: Chọn mục cá nhân
Step 3: Chọn mục số địa chỉ
Step 4: Nhấn thêm mới địa chỉ--&gt; hiển thị màn hình thêm địa chỉ
Step 5: Nhấn vào ô số điện thoại 
Step 6: Nhấn "" Lưu thay đổi "" mà không thay đổi gì")</f>
        <v>Step 1: Đăng nhập vào tài  khoản
Step 2: Chọn mục cá nhân
Step 3: Chọn mục số địa chỉ
Step 4: Nhấn thêm mới địa chỉ--&gt; hiển thị màn hình thêm địa chỉ
Step 5: Nhấn vào ô số điện thoại 
Step 6: Nhấn " Lưu thay đổi " mà không thay đổi gì</v>
      </c>
      <c r="L99" s="14"/>
      <c r="M99" s="52" t="s">
        <v>3688</v>
      </c>
      <c r="N99" s="73" t="s">
        <v>3688</v>
      </c>
      <c r="O99" s="12" t="s">
        <v>1</v>
      </c>
      <c r="P99" s="38"/>
    </row>
    <row r="100">
      <c r="A100" s="37"/>
      <c r="B100" s="37"/>
      <c r="C100" s="37"/>
      <c r="D100" s="37"/>
      <c r="E100" s="37"/>
      <c r="F100" s="12" t="s">
        <v>3936</v>
      </c>
      <c r="G100" s="56"/>
      <c r="H100" s="73" t="s">
        <v>1856</v>
      </c>
      <c r="I100" s="12" t="s">
        <v>1811</v>
      </c>
      <c r="J100" s="12" t="s">
        <v>3937</v>
      </c>
      <c r="K100" s="13" t="str">
        <f>IFERROR(__xludf.DUMMYFUNCTION("IF(ISBLANK(J100), ""Input test step"", ARRAYFORMULA(TEXTJOIN(CHAR(10), TRUE, (""Step ""&amp; ROW(INDIRECT(""1:"" &amp; COUNTA(SPLIT(J100, CHAR(10))))) &amp; "": "" &amp; TRANSPOSE(SPLIT(J100, CHAR(10)))))))"),"Step 1: Đăng nhập vào tài  khoản
Step 2: Chọn mục cá nhân
Step 3: Chọn mục số địa chỉ
Step 4: Nhấn thêm mới địa chỉ--&gt; hiển thị màn hình thêm địa chỉ
Step 5: Chỉnh sửa số điện thoại nhưng không nhấn "" Lưu thay đổi """)</f>
        <v>Step 1: Đăng nhập vào tài  khoản
Step 2: Chọn mục cá nhân
Step 3: Chọn mục số địa chỉ
Step 4: Nhấn thêm mới địa chỉ--&gt; hiển thị màn hình thêm địa chỉ
Step 5: Chỉnh sửa số điện thoại nhưng không nhấn " Lưu thay đổi "</v>
      </c>
      <c r="L100" s="14"/>
      <c r="M100" s="73" t="s">
        <v>1873</v>
      </c>
      <c r="N100" s="73" t="s">
        <v>1873</v>
      </c>
      <c r="O100" s="12" t="s">
        <v>1</v>
      </c>
      <c r="P100" s="38"/>
    </row>
    <row r="101">
      <c r="A101" s="37"/>
      <c r="B101" s="37"/>
      <c r="C101" s="37"/>
      <c r="D101" s="37"/>
      <c r="E101" s="37"/>
      <c r="F101" s="12" t="s">
        <v>3938</v>
      </c>
      <c r="G101" s="56"/>
      <c r="H101" s="12" t="s">
        <v>3692</v>
      </c>
      <c r="I101" s="12" t="s">
        <v>3649</v>
      </c>
      <c r="J101" s="12" t="s">
        <v>3939</v>
      </c>
      <c r="K101" s="13" t="str">
        <f>IFERROR(__xludf.DUMMYFUNCTION("IF(ISBLANK(J101), ""Input test step"", ARRAYFORMULA(TEXTJOIN(CHAR(10), TRUE, (""Step ""&amp; ROW(INDIRECT(""1:"" &amp; COUNTA(SPLIT(J101, CHAR(10))))) &amp; "": "" &amp; TRANSPOSE(SPLIT(J101, CHAR(10)))))))"),"Step 1: Đăng nhập vào tài  khoản
Step 2: Chọn mục cá nhân
Step 3: Chọn thêm mới  địa chỉ--&gt; hiển thị màn hình thêm địa chỉ
Step 4: Chỉnh sửa số điện thoại nhưng không nhấn "" Lưu thay đổi """)</f>
        <v>Step 1: Đăng nhập vào tài  khoản
Step 2: Chọn mục cá nhân
Step 3: Chọn thêm mới  địa chỉ--&gt; hiển thị màn hình thêm địa chỉ
Step 4: Chỉnh sửa số điện thoại nhưng không nhấn " Lưu thay đổi "</v>
      </c>
      <c r="L101" s="14" t="s">
        <v>3693</v>
      </c>
      <c r="M101" s="22" t="s">
        <v>3694</v>
      </c>
      <c r="N101" s="12" t="s">
        <v>3695</v>
      </c>
      <c r="O101" s="12" t="s">
        <v>2</v>
      </c>
      <c r="P101" s="38"/>
    </row>
    <row r="102">
      <c r="A102" s="37"/>
      <c r="B102" s="37"/>
      <c r="C102" s="37"/>
      <c r="D102" s="37"/>
      <c r="E102" s="37"/>
      <c r="F102" s="12" t="s">
        <v>3940</v>
      </c>
      <c r="G102" s="56"/>
      <c r="H102" s="12" t="s">
        <v>3697</v>
      </c>
      <c r="I102" s="12" t="s">
        <v>3649</v>
      </c>
      <c r="J102" s="12" t="s">
        <v>3941</v>
      </c>
      <c r="K102" s="13" t="str">
        <f>IFERROR(__xludf.DUMMYFUNCTION("IF(ISBLANK(J102), ""Input test step"", ARRAYFORMULA(TEXTJOIN(CHAR(10), TRUE, (""Step ""&amp; ROW(INDIRECT(""1:"" &amp; COUNTA(SPLIT(J102, CHAR(10))))) &amp; "": "" &amp; TRANSPOSE(SPLIT(J102, CHAR(10)))))))"),"Step 1: Đăng nhập vào tài  khoản
Step 2: Chọn mục cá nhân
Step 3: Chọn mục số địa chỉ
Step 4: Nhấn thêm mới địa chỉ --&gt; Hiển thị màn hình thêm địa chỉ
Step 5: Chỉnh sửa số điện thoại nhưng không nhấn "" Lưu thay đổi """)</f>
        <v>Step 1: Đăng nhập vào tài  khoản
Step 2: Chọn mục cá nhân
Step 3: Chọn mục số địa chỉ
Step 4: Nhấn thêm mới địa chỉ --&gt; Hiển thị màn hình thêm địa chỉ
Step 5: Chỉnh sửa số điện thoại nhưng không nhấn " Lưu thay đổi "</v>
      </c>
      <c r="L102" s="14" t="s">
        <v>3698</v>
      </c>
      <c r="M102" s="12" t="s">
        <v>3699</v>
      </c>
      <c r="N102" s="12" t="s">
        <v>3700</v>
      </c>
      <c r="O102" s="12" t="s">
        <v>2</v>
      </c>
      <c r="P102" s="38"/>
    </row>
    <row r="103">
      <c r="A103" s="37"/>
      <c r="B103" s="37"/>
      <c r="C103" s="37"/>
      <c r="D103" s="37"/>
      <c r="E103" s="37"/>
      <c r="F103" s="12" t="s">
        <v>3942</v>
      </c>
      <c r="G103" s="57"/>
      <c r="H103" s="12" t="s">
        <v>3943</v>
      </c>
      <c r="I103" s="12" t="s">
        <v>3649</v>
      </c>
      <c r="J103" s="12" t="s">
        <v>3944</v>
      </c>
      <c r="K103" s="13" t="str">
        <f>IFERROR(__xludf.DUMMYFUNCTION("IF(ISBLANK(J103), ""Input test step"", ARRAYFORMULA(TEXTJOIN(CHAR(10), TRUE, (""Step ""&amp; ROW(INDIRECT(""1:"" &amp; COUNTA(SPLIT(J103, CHAR(10))))) &amp; "": "" &amp; TRANSPOSE(SPLIT(J103, CHAR(10)))))))"),"Step 1: Đăng nhập vào tài  khoản
Step 2: Chọn mục cá nhân
Step 3: Chọn mục số địa chỉ
Step 4: Nhấn Thêm mới địa chỉ --&gt; hiển thị màn hình thêm mới địa chỉ
Step 5: Trỏ chuột vào thanh Số điện thoại --&gt; Kiểm tra thanh hover")</f>
        <v>Step 1: Đăng nhập vào tài  khoản
Step 2: Chọn mục cá nhân
Step 3: Chọn mục số địa chỉ
Step 4: Nhấn Thêm mới địa chỉ --&gt; hiển thị màn hình thêm mới địa chỉ
Step 5: Trỏ chuột vào thanh Số điện thoại --&gt; Kiểm tra thanh hover</v>
      </c>
      <c r="L103" s="14"/>
      <c r="M103" s="12" t="s">
        <v>3915</v>
      </c>
      <c r="N103" s="12" t="s">
        <v>3915</v>
      </c>
      <c r="O103" s="12" t="s">
        <v>1</v>
      </c>
      <c r="P103" s="38"/>
    </row>
    <row r="104">
      <c r="A104" s="37"/>
      <c r="B104" s="37"/>
      <c r="C104" s="37"/>
      <c r="D104" s="37"/>
      <c r="E104" s="37"/>
      <c r="F104" s="12" t="s">
        <v>3945</v>
      </c>
      <c r="G104" s="104" t="s">
        <v>3702</v>
      </c>
      <c r="H104" s="12" t="s">
        <v>3703</v>
      </c>
      <c r="I104" s="12" t="s">
        <v>3649</v>
      </c>
      <c r="J104" s="12" t="s">
        <v>3946</v>
      </c>
      <c r="K104" s="13" t="str">
        <f>IFERROR(__xludf.DUMMYFUNCTION("IF(ISBLANK(J104), ""Input test step"", ARRAYFORMULA(TEXTJOIN(CHAR(10), TRUE, (""Step ""&amp; ROW(INDIRECT(""1:"" &amp; COUNTA(SPLIT(J104, CHAR(10))))) &amp; "": "" &amp; TRANSPOSE(SPLIT(J104, CHAR(10)))))))"),"Step 1: Đăng nhập vào tài  khoản
Step 2: Chọn mục cá nhân
Step 3: Chọn mục số địa chỉ
Step 4: Nhấn thêm mới địa chỉ---&gt; hiển thị màn hình thêm địa chỉ
Step 5: Nhấn vào địa chỉ hiện tại --&gt;hiển thị màn hình chọn địa chỉ
Step 6: Kiểm tra thanh header "" Chọ"&amp;"n địa chỉ "" ( kiểm tra màu sắc, kích thước , cỡ chữ )")</f>
        <v>Step 1: Đăng nhập vào tài  khoản
Step 2: Chọn mục cá nhân
Step 3: Chọn mục số địa chỉ
Step 4: Nhấn thêm mới địa chỉ---&gt; hiển thị màn hình thêm địa chỉ
Step 5: Nhấn vào địa chỉ hiện tại --&gt;hiển thị màn hình chọn địa chỉ
Step 6: Kiểm tra thanh header " Chọn địa chỉ " ( kiểm tra màu sắc, kích thước , cỡ chữ )</v>
      </c>
      <c r="L104" s="14"/>
      <c r="M104" s="12" t="s">
        <v>3705</v>
      </c>
      <c r="N104" s="12" t="s">
        <v>3705</v>
      </c>
      <c r="O104" s="12" t="s">
        <v>1</v>
      </c>
      <c r="P104" s="38"/>
    </row>
    <row r="105">
      <c r="A105" s="37"/>
      <c r="B105" s="37"/>
      <c r="C105" s="37"/>
      <c r="D105" s="37"/>
      <c r="E105" s="37"/>
      <c r="F105" s="12" t="s">
        <v>3947</v>
      </c>
      <c r="G105" s="56"/>
      <c r="H105" s="12" t="s">
        <v>1617</v>
      </c>
      <c r="I105" s="12" t="s">
        <v>3649</v>
      </c>
      <c r="J105" s="12" t="s">
        <v>3948</v>
      </c>
      <c r="K105" s="13" t="str">
        <f>IFERROR(__xludf.DUMMYFUNCTION("IF(ISBLANK(J105), ""Input test step"", ARRAYFORMULA(TEXTJOIN(CHAR(10), TRUE, (""Step ""&amp; ROW(INDIRECT(""1:"" &amp; COUNTA(SPLIT(J105, CHAR(10))))) &amp; "": "" &amp; TRANSPOSE(SPLIT(J105, CHAR(10)))))))"),"Step 1: Đăng nhập vào tài  khoản
Step 2: Chọn mục cá nhân
Step 3: Chọn mục số địa chỉ
Step 4: Nhấn thêm mới địa chỉ --&gt; hiển thị màn hình chỉnh thêm địa chỉ
Step 5: Nhấn vào địa chỉ hiện tại --&gt;hiển thị màn hình chọn địa chỉ
Step 6: Trỏ chuột vào thanh tì"&amp;"m kiếm")</f>
        <v>Step 1: Đăng nhập vào tài  khoản
Step 2: Chọn mục cá nhân
Step 3: Chọn mục số địa chỉ
Step 4: Nhấn thêm mới địa chỉ --&gt; hiển thị màn hình chỉnh thêm địa chỉ
Step 5: Nhấn vào địa chỉ hiện tại --&gt;hiển thị màn hình chọn địa chỉ
Step 6: Trỏ chuột vào thanh tìm kiếm</v>
      </c>
      <c r="L105" s="14"/>
      <c r="M105" s="12" t="s">
        <v>3708</v>
      </c>
      <c r="N105" s="12" t="s">
        <v>3708</v>
      </c>
      <c r="O105" s="12" t="s">
        <v>1</v>
      </c>
      <c r="P105" s="38"/>
    </row>
    <row r="106">
      <c r="A106" s="37"/>
      <c r="B106" s="37"/>
      <c r="C106" s="37"/>
      <c r="D106" s="37"/>
      <c r="E106" s="37"/>
      <c r="F106" s="12" t="s">
        <v>3949</v>
      </c>
      <c r="G106" s="56"/>
      <c r="H106" s="12" t="s">
        <v>1622</v>
      </c>
      <c r="I106" s="12" t="s">
        <v>3649</v>
      </c>
      <c r="J106" s="12" t="s">
        <v>3950</v>
      </c>
      <c r="K106" s="13" t="str">
        <f>IFERROR(__xludf.DUMMYFUNCTION("IF(ISBLANK(J106), ""Input test step"", ARRAYFORMULA(TEXTJOIN(CHAR(10), TRUE, (""Step ""&amp; ROW(INDIRECT(""1:"" &amp; COUNTA(SPLIT(J106, CHAR(10))))) &amp; "": "" &amp; TRANSPOSE(SPLIT(J106,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Chuyển tab từ Tỉnh sang Huy"&amp;"ện hoặc Xã")</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Chuyển tab từ Tỉnh sang Huyện hoặc Xã</v>
      </c>
      <c r="L106" s="14"/>
      <c r="M106" s="12" t="s">
        <v>3951</v>
      </c>
      <c r="N106" s="12" t="s">
        <v>3951</v>
      </c>
      <c r="O106" s="12" t="s">
        <v>1</v>
      </c>
      <c r="P106" s="38"/>
    </row>
    <row r="107">
      <c r="A107" s="37"/>
      <c r="B107" s="37"/>
      <c r="C107" s="37"/>
      <c r="D107" s="37"/>
      <c r="E107" s="37"/>
      <c r="F107" s="12" t="s">
        <v>3952</v>
      </c>
      <c r="G107" s="56"/>
      <c r="H107" s="12" t="s">
        <v>3714</v>
      </c>
      <c r="I107" s="12" t="s">
        <v>3649</v>
      </c>
      <c r="J107" s="12" t="s">
        <v>3953</v>
      </c>
      <c r="K107" s="13" t="str">
        <f>IFERROR(__xludf.DUMMYFUNCTION("IF(ISBLANK(J107), ""Input test step"", ARRAYFORMULA(TEXTJOIN(CHAR(10), TRUE, (""Step ""&amp; ROW(INDIRECT(""1:"" &amp; COUNTA(SPLIT(J107, CHAR(10))))) &amp; "": "" &amp; TRANSPOSE(SPLIT(J107, CHAR(10)))))))"),"Step 1: Đăng nhập vào tài  khoản
Step 2: Chọn mục cá nhân
Step 3: Chọn mục số địa chỉ
Step 4: Nhấn thêm địa chỉ --&gt; hiển thị màn hình thêm địa chỉ
Step 5: Nhấn vào địa chỉ hiện tại --&gt;hiển thị màn hình chọn địa chỉ
Step 6: Kiểm tra lấy danh sách địa chỉ")</f>
        <v>Step 1: Đăng nhập vào tài  khoản
Step 2: Chọn mục cá nhân
Step 3: Chọn mục số địa chỉ
Step 4: Nhấn thêm địa chỉ --&gt; hiển thị màn hình thêm địa chỉ
Step 5: Nhấn vào địa chỉ hiện tại --&gt;hiển thị màn hình chọn địa chỉ
Step 6: Kiểm tra lấy danh sách địa chỉ</v>
      </c>
      <c r="L107" s="14"/>
      <c r="M107" s="12" t="s">
        <v>3716</v>
      </c>
      <c r="N107" s="12" t="s">
        <v>3716</v>
      </c>
      <c r="O107" s="12" t="s">
        <v>1</v>
      </c>
      <c r="P107" s="38"/>
    </row>
    <row r="108">
      <c r="A108" s="37"/>
      <c r="B108" s="37"/>
      <c r="C108" s="37"/>
      <c r="D108" s="37"/>
      <c r="E108" s="37"/>
      <c r="F108" s="12" t="s">
        <v>3954</v>
      </c>
      <c r="G108" s="57"/>
      <c r="H108" s="12" t="s">
        <v>3718</v>
      </c>
      <c r="I108" s="12"/>
      <c r="J108" s="12" t="s">
        <v>3955</v>
      </c>
      <c r="K108" s="13" t="str">
        <f>IFERROR(__xludf.DUMMYFUNCTION("IF(ISBLANK(J108), ""Input test step"", ARRAYFORMULA(TEXTJOIN(CHAR(10), TRUE, (""Step ""&amp; ROW(INDIRECT(""1:"" &amp; COUNTA(SPLIT(J108, CHAR(10))))) &amp; "": "" &amp; TRANSPOSE(SPLIT(J108,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nút X  để tắt chọn "&amp;"địa chỉ ở gốc trên bên phải ")</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nút X  để tắt chọn địa chỉ ở gốc trên bên phải </v>
      </c>
      <c r="L108" s="14"/>
      <c r="M108" s="12" t="s">
        <v>3721</v>
      </c>
      <c r="N108" s="12" t="s">
        <v>3721</v>
      </c>
      <c r="O108" s="12" t="s">
        <v>1</v>
      </c>
      <c r="P108" s="38"/>
    </row>
    <row r="109">
      <c r="A109" s="37"/>
      <c r="B109" s="37"/>
      <c r="C109" s="37"/>
      <c r="D109" s="37"/>
      <c r="E109" s="37"/>
      <c r="F109" s="12" t="s">
        <v>3956</v>
      </c>
      <c r="G109" s="112" t="s">
        <v>3957</v>
      </c>
      <c r="H109" s="113" t="s">
        <v>3724</v>
      </c>
      <c r="I109" s="113" t="s">
        <v>3649</v>
      </c>
      <c r="J109" s="114" t="s">
        <v>3958</v>
      </c>
      <c r="K109" s="115" t="str">
        <f>IFERROR(__xludf.DUMMYFUNCTION("IF(ISBLANK(J109), ""Input test step"", ARRAYFORMULA(TEXTJOIN(CHAR(10), TRUE, (""Step ""&amp; ROW(INDIRECT(""1:"" &amp; COUNTA(SPLIT(J109, CHAR(10))))) &amp; "": "" &amp; TRANSPOSE(SPLIT(J109,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"&amp;"tìm kiếm bất kỳ tên Thành phố nào")</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tìm kiếm bất kỳ tên Thành phố nào</v>
      </c>
      <c r="L109" s="116" t="s">
        <v>3726</v>
      </c>
      <c r="M109" s="113" t="s">
        <v>3727</v>
      </c>
      <c r="N109" s="113" t="s">
        <v>3727</v>
      </c>
      <c r="O109" s="12" t="s">
        <v>1</v>
      </c>
      <c r="P109" s="38"/>
    </row>
    <row r="110">
      <c r="A110" s="37"/>
      <c r="B110" s="37"/>
      <c r="C110" s="37"/>
      <c r="D110" s="37"/>
      <c r="E110" s="37"/>
      <c r="F110" s="12" t="s">
        <v>3959</v>
      </c>
      <c r="G110" s="56"/>
      <c r="H110" s="113" t="s">
        <v>3729</v>
      </c>
      <c r="I110" s="113" t="s">
        <v>3649</v>
      </c>
      <c r="J110" s="114" t="s">
        <v>3960</v>
      </c>
      <c r="K110" s="115" t="str">
        <f>IFERROR(__xludf.DUMMYFUNCTION("IF(ISBLANK(J110), ""Input test step"", ARRAYFORMULA(TEXTJOIN(CHAR(10), TRUE, (""Step ""&amp; ROW(INDIRECT(""1:"" &amp; COUNTA(SPLIT(J110, CHAR(10))))) &amp; "": "" &amp; TRANSPOSE(SPLIT(J110,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"&amp;"nhập  tên vài chữ cái đầu tiên để có được từ khóa gần giống")</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nhập  tên vài chữ cái đầu tiên để có được từ khóa gần giống</v>
      </c>
      <c r="L110" s="116" t="s">
        <v>3731</v>
      </c>
      <c r="M110" s="113" t="s">
        <v>3732</v>
      </c>
      <c r="N110" s="113" t="s">
        <v>3732</v>
      </c>
      <c r="O110" s="12" t="s">
        <v>1</v>
      </c>
      <c r="P110" s="38"/>
    </row>
    <row r="111">
      <c r="A111" s="37"/>
      <c r="B111" s="37"/>
      <c r="C111" s="37"/>
      <c r="D111" s="37"/>
      <c r="E111" s="37"/>
      <c r="F111" s="12" t="s">
        <v>3961</v>
      </c>
      <c r="G111" s="56"/>
      <c r="H111" s="113" t="s">
        <v>3734</v>
      </c>
      <c r="I111" s="113" t="s">
        <v>3649</v>
      </c>
      <c r="J111" s="114" t="s">
        <v>3962</v>
      </c>
      <c r="K111" s="115" t="str">
        <f>IFERROR(__xludf.DUMMYFUNCTION("IF(ISBLANK(J111), ""Input test step"", ARRAYFORMULA(TEXTJOIN(CHAR(10), TRUE, (""Step ""&amp; ROW(INDIRECT(""1:"" &amp; COUNTA(SPLIT(J111, CHAR(10))))) &amp; "": "" &amp; TRANSPOSE(SPLIT(J111,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"&amp;"nhập kí tự đặc biệt ")</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nhập kí tự đặc biệt </v>
      </c>
      <c r="L111" s="116" t="s">
        <v>2062</v>
      </c>
      <c r="M111" s="113" t="s">
        <v>3736</v>
      </c>
      <c r="N111" s="12" t="s">
        <v>3737</v>
      </c>
      <c r="O111" s="12" t="s">
        <v>2</v>
      </c>
      <c r="P111" s="38"/>
    </row>
    <row r="112">
      <c r="A112" s="37"/>
      <c r="B112" s="37"/>
      <c r="C112" s="37"/>
      <c r="D112" s="37"/>
      <c r="E112" s="37"/>
      <c r="F112" s="12" t="s">
        <v>3963</v>
      </c>
      <c r="G112" s="56"/>
      <c r="H112" s="117" t="s">
        <v>2065</v>
      </c>
      <c r="I112" s="113" t="s">
        <v>3649</v>
      </c>
      <c r="J112" s="114" t="s">
        <v>3964</v>
      </c>
      <c r="K112" s="115" t="str">
        <f>IFERROR(__xludf.DUMMYFUNCTION("IF(ISBLANK(J112), ""Input test step"", ARRAYFORMULA(TEXTJOIN(CHAR(10), TRUE, (""Step ""&amp; ROW(INDIRECT(""1:"" &amp; COUNTA(SPLIT(J112, CHAR(10))))) &amp; "": "" &amp; TRANSPOSE(SPLIT(J112,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"&amp;"Nhập từ khóa tìm kiếm --&gt; sau đó xóa từ khóa tìm kiếm vừa nhập")</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Nhập từ khóa tìm kiếm --&gt; sau đó xóa từ khóa tìm kiếm vừa nhập</v>
      </c>
      <c r="L112" s="118"/>
      <c r="M112" s="115" t="s">
        <v>3740</v>
      </c>
      <c r="N112" s="117" t="s">
        <v>3740</v>
      </c>
      <c r="O112" s="12" t="s">
        <v>1</v>
      </c>
      <c r="P112" s="38"/>
    </row>
    <row r="113">
      <c r="A113" s="37"/>
      <c r="B113" s="37"/>
      <c r="C113" s="37"/>
      <c r="D113" s="37"/>
      <c r="E113" s="37"/>
      <c r="F113" s="12" t="s">
        <v>3965</v>
      </c>
      <c r="G113" s="112" t="s">
        <v>3966</v>
      </c>
      <c r="H113" s="113" t="s">
        <v>3743</v>
      </c>
      <c r="I113" s="113" t="s">
        <v>3649</v>
      </c>
      <c r="J113" s="114" t="s">
        <v>3958</v>
      </c>
      <c r="K113" s="115" t="str">
        <f>IFERROR(__xludf.DUMMYFUNCTION("IF(ISBLANK(J113), ""Input test step"", ARRAYFORMULA(TEXTJOIN(CHAR(10), TRUE, (""Step ""&amp; ROW(INDIRECT(""1:"" &amp; COUNTA(SPLIT(J113, CHAR(10))))) &amp; "": "" &amp; TRANSPOSE(SPLIT(J113,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"&amp;"tìm kiếm bất kỳ tên Thành phố nào")</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tìm kiếm bất kỳ tên Thành phố nào</v>
      </c>
      <c r="L113" s="116" t="s">
        <v>3744</v>
      </c>
      <c r="M113" s="114" t="s">
        <v>3967</v>
      </c>
      <c r="N113" s="114" t="s">
        <v>3967</v>
      </c>
      <c r="O113" s="12" t="s">
        <v>1</v>
      </c>
      <c r="P113" s="38"/>
    </row>
    <row r="114">
      <c r="A114" s="37"/>
      <c r="B114" s="37"/>
      <c r="C114" s="37"/>
      <c r="D114" s="37"/>
      <c r="E114" s="37"/>
      <c r="F114" s="12" t="s">
        <v>3968</v>
      </c>
      <c r="G114" s="56"/>
      <c r="H114" s="113" t="s">
        <v>3729</v>
      </c>
      <c r="I114" s="113" t="s">
        <v>3649</v>
      </c>
      <c r="J114" s="114" t="s">
        <v>3969</v>
      </c>
      <c r="K114" s="115" t="str">
        <f>IFERROR(__xludf.DUMMYFUNCTION("IF(ISBLANK(J114), ""Input test step"", ARRAYFORMULA(TEXTJOIN(CHAR(10), TRUE, (""Step ""&amp; ROW(INDIRECT(""1:"" &amp; COUNTA(SPLIT(J114, CHAR(10))))) &amp; "": "" &amp; TRANSPOSE(SPLIT(J114, CHAR(10)))))))"),"Step 1: Đăng nhập vào tài  khoản
Step 2: Chọn mục cá nhân
Step 3: Chọn mục số địa chỉ
Step 4: Nhấn thêm mới địa chỉ --&gt; hiển thị màn hình chỉnh sửa địa chỉ
Step 5: Nhấn vào địa chỉ hiện tại --&gt;hiển thị màn hình chọn địa chỉ
Step 6: Nhấn vào thanh tìm kiếm"&amp;" --&gt; nhập  tên vài chữ cái đầu tiên để có được từ khóa gần giống")</f>
        <v>Step 1: Đăng nhập vào tài  khoản
Step 2: Chọn mục cá nhân
Step 3: Chọn mục số địa chỉ
Step 4: Nhấn thêm mới địa chỉ --&gt; hiển thị màn hình chỉnh sửa địa chỉ
Step 5: Nhấn vào địa chỉ hiện tại --&gt;hiển thị màn hình chọn địa chỉ
Step 6: Nhấn vào thanh tìm kiếm --&gt; nhập  tên vài chữ cái đầu tiên để có được từ khóa gần giống</v>
      </c>
      <c r="L114" s="116" t="s">
        <v>3746</v>
      </c>
      <c r="M114" s="113" t="s">
        <v>3732</v>
      </c>
      <c r="N114" s="113" t="s">
        <v>3732</v>
      </c>
      <c r="O114" s="12" t="s">
        <v>1</v>
      </c>
      <c r="P114" s="38"/>
    </row>
    <row r="115">
      <c r="A115" s="37"/>
      <c r="B115" s="37"/>
      <c r="C115" s="37"/>
      <c r="D115" s="37"/>
      <c r="E115" s="37"/>
      <c r="F115" s="12" t="s">
        <v>3970</v>
      </c>
      <c r="G115" s="56"/>
      <c r="H115" s="113" t="s">
        <v>3734</v>
      </c>
      <c r="I115" s="113" t="s">
        <v>3649</v>
      </c>
      <c r="J115" s="114" t="s">
        <v>3971</v>
      </c>
      <c r="K115" s="115" t="str">
        <f>IFERROR(__xludf.DUMMYFUNCTION("IF(ISBLANK(J115), ""Input test step"", ARRAYFORMULA(TEXTJOIN(CHAR(10), TRUE, (""Step ""&amp; ROW(INDIRECT(""1:"" &amp; COUNTA(SPLIT(J115, CHAR(10))))) &amp; "": "" &amp; TRANSPOSE(SPLIT(J115, CHAR(10)))))))"),"Step 1: Đăng nhập vào tài  khoản
Step 2: Chọn mục cá nhân
Step 3: Chọn mục số địa chỉ
Step 4: Nhấn thêm mới địa chỉ --&gt; hiển thị màn hình chỉnh sửa địa chỉ
Step 5: Nhấn vào địa chỉ hiện tại --&gt;hiển thị màn hình chọn địa chỉ
Step 6: Nhấn vào thanh tìm kiếm"&amp;" --&gt; nhập tên bằng kí tự đặc biệt")</f>
        <v>Step 1: Đăng nhập vào tài  khoản
Step 2: Chọn mục cá nhân
Step 3: Chọn mục số địa chỉ
Step 4: Nhấn thêm mới địa chỉ --&gt; hiển thị màn hình chỉnh sửa địa chỉ
Step 5: Nhấn vào địa chỉ hiện tại --&gt;hiển thị màn hình chọn địa chỉ
Step 6: Nhấn vào thanh tìm kiếm --&gt; nhập tên bằng kí tự đặc biệt</v>
      </c>
      <c r="L115" s="116" t="s">
        <v>2062</v>
      </c>
      <c r="M115" s="113" t="s">
        <v>3736</v>
      </c>
      <c r="N115" s="12" t="s">
        <v>3737</v>
      </c>
      <c r="O115" s="12" t="s">
        <v>2</v>
      </c>
      <c r="P115" s="38"/>
    </row>
    <row r="116">
      <c r="A116" s="37"/>
      <c r="B116" s="37"/>
      <c r="C116" s="37"/>
      <c r="D116" s="37"/>
      <c r="E116" s="37"/>
      <c r="F116" s="12" t="s">
        <v>3972</v>
      </c>
      <c r="G116" s="57"/>
      <c r="H116" s="117" t="s">
        <v>2065</v>
      </c>
      <c r="I116" s="113" t="s">
        <v>3649</v>
      </c>
      <c r="J116" s="114" t="s">
        <v>3964</v>
      </c>
      <c r="K116" s="115" t="str">
        <f>IFERROR(__xludf.DUMMYFUNCTION("IF(ISBLANK(J116), ""Input test step"", ARRAYFORMULA(TEXTJOIN(CHAR(10), TRUE, (""Step ""&amp; ROW(INDIRECT(""1:"" &amp; COUNTA(SPLIT(J116, CHAR(10))))) &amp; "": "" &amp; TRANSPOSE(SPLIT(J116,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"&amp;"Nhập từ khóa tìm kiếm --&gt; sau đó xóa từ khóa tìm kiếm vừa nhập")</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Nhập từ khóa tìm kiếm --&gt; sau đó xóa từ khóa tìm kiếm vừa nhập</v>
      </c>
      <c r="L116" s="118"/>
      <c r="M116" s="115" t="s">
        <v>3740</v>
      </c>
      <c r="N116" s="117" t="s">
        <v>3740</v>
      </c>
      <c r="O116" s="12" t="s">
        <v>1</v>
      </c>
      <c r="P116" s="38"/>
    </row>
    <row r="117">
      <c r="A117" s="37"/>
      <c r="B117" s="37"/>
      <c r="C117" s="37"/>
      <c r="D117" s="37"/>
      <c r="E117" s="37"/>
      <c r="F117" s="12" t="s">
        <v>3973</v>
      </c>
      <c r="G117" s="112" t="s">
        <v>3974</v>
      </c>
      <c r="H117" s="113" t="s">
        <v>3751</v>
      </c>
      <c r="I117" s="113" t="s">
        <v>3649</v>
      </c>
      <c r="J117" s="114" t="s">
        <v>3975</v>
      </c>
      <c r="K117" s="115" t="str">
        <f>IFERROR(__xludf.DUMMYFUNCTION("IF(ISBLANK(J117), ""Input test step"", ARRAYFORMULA(TEXTJOIN(CHAR(10), TRUE, (""Step ""&amp; ROW(INDIRECT(""1:"" &amp; COUNTA(SPLIT(J117, CHAR(10))))) &amp; "": "" &amp; TRANSPOSE(SPLIT(J117, CHAR(10)))))))"),"Step 1: Đăng nhập vào tài  khoản
Step 2: Chọn mục cá nhân
Step 3: Chọn mục số địa chỉ
Step 4: Nhấn thêm mới địa chỉ --&gt; Hiển thị màn hình thêm địa chỉ
Step 5: Nhấn vào địa chỉ hiện tại --hiển thị màn hình chọn địa chỉ
Step 6: Nhấn vào thanh tìm kiếm --&gt; t"&amp;"ìm kiếm bất kỳ tên Thành phố nào")</f>
        <v>Step 1: Đăng nhập vào tài  khoản
Step 2: Chọn mục cá nhân
Step 3: Chọn mục số địa chỉ
Step 4: Nhấn thêm mới địa chỉ --&gt; Hiển thị màn hình thêm địa chỉ
Step 5: Nhấn vào địa chỉ hiện tại --hiển thị màn hình chọn địa chỉ
Step 6: Nhấn vào thanh tìm kiếm --&gt; tìm kiếm bất kỳ tên Thành phố nào</v>
      </c>
      <c r="L117" s="116" t="s">
        <v>3752</v>
      </c>
      <c r="M117" s="114" t="s">
        <v>3976</v>
      </c>
      <c r="N117" s="114" t="s">
        <v>3976</v>
      </c>
      <c r="O117" s="12" t="s">
        <v>1</v>
      </c>
      <c r="P117" s="38"/>
    </row>
    <row r="118">
      <c r="A118" s="37"/>
      <c r="B118" s="37"/>
      <c r="C118" s="37"/>
      <c r="D118" s="37"/>
      <c r="E118" s="37"/>
      <c r="F118" s="12" t="s">
        <v>3977</v>
      </c>
      <c r="G118" s="56"/>
      <c r="H118" s="113" t="s">
        <v>3729</v>
      </c>
      <c r="I118" s="113" t="s">
        <v>3649</v>
      </c>
      <c r="J118" s="114" t="s">
        <v>3960</v>
      </c>
      <c r="K118" s="115" t="str">
        <f>IFERROR(__xludf.DUMMYFUNCTION("IF(ISBLANK(J118), ""Input test step"", ARRAYFORMULA(TEXTJOIN(CHAR(10), TRUE, (""Step ""&amp; ROW(INDIRECT(""1:"" &amp; COUNTA(SPLIT(J118, CHAR(10))))) &amp; "": "" &amp; TRANSPOSE(SPLIT(J118,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"&amp;"nhập  tên vài chữ cái đầu tiên để có được từ khóa gần giống")</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nhập  tên vài chữ cái đầu tiên để có được từ khóa gần giống</v>
      </c>
      <c r="L118" s="116" t="s">
        <v>3746</v>
      </c>
      <c r="M118" s="113" t="s">
        <v>3732</v>
      </c>
      <c r="N118" s="113" t="s">
        <v>3732</v>
      </c>
      <c r="O118" s="12" t="s">
        <v>1</v>
      </c>
      <c r="P118" s="38"/>
    </row>
    <row r="119">
      <c r="A119" s="37"/>
      <c r="B119" s="37"/>
      <c r="C119" s="37"/>
      <c r="D119" s="37"/>
      <c r="E119" s="37"/>
      <c r="F119" s="12" t="s">
        <v>3978</v>
      </c>
      <c r="G119" s="56"/>
      <c r="H119" s="113" t="s">
        <v>3734</v>
      </c>
      <c r="I119" s="113" t="s">
        <v>3649</v>
      </c>
      <c r="J119" s="114" t="s">
        <v>3979</v>
      </c>
      <c r="K119" s="115" t="str">
        <f>IFERROR(__xludf.DUMMYFUNCTION("IF(ISBLANK(J119), ""Input test step"", ARRAYFORMULA(TEXTJOIN(CHAR(10), TRUE, (""Step ""&amp; ROW(INDIRECT(""1:"" &amp; COUNTA(SPLIT(J119, CHAR(10))))) &amp; "": "" &amp; TRANSPOSE(SPLIT(J119,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--"&amp;"&gt; nhập kí tự đặc biệt ")</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nhập kí tự đặc biệt </v>
      </c>
      <c r="L119" s="116" t="s">
        <v>2062</v>
      </c>
      <c r="M119" s="113" t="s">
        <v>3736</v>
      </c>
      <c r="N119" s="12" t="s">
        <v>3737</v>
      </c>
      <c r="O119" s="12" t="s">
        <v>2</v>
      </c>
      <c r="P119" s="38"/>
    </row>
    <row r="120">
      <c r="A120" s="37"/>
      <c r="B120" s="37"/>
      <c r="C120" s="37"/>
      <c r="D120" s="37"/>
      <c r="E120" s="37"/>
      <c r="F120" s="12" t="s">
        <v>3980</v>
      </c>
      <c r="G120" s="57"/>
      <c r="H120" s="117" t="s">
        <v>2065</v>
      </c>
      <c r="I120" s="113" t="s">
        <v>3649</v>
      </c>
      <c r="J120" s="114" t="s">
        <v>3981</v>
      </c>
      <c r="K120" s="115" t="str">
        <f>IFERROR(__xludf.DUMMYFUNCTION("IF(ISBLANK(J120), ""Input test step"", ARRAYFORMULA(TEXTJOIN(CHAR(10), TRUE, (""Step ""&amp; ROW(INDIRECT(""1:"" &amp; COUNTA(SPLIT(J120, CHAR(10))))) &amp; "": "" &amp; TRANSPOSE(SPLIT(J120, CHAR(10)))))))"),"Step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--&gt;"&amp;" Nhập từ khóa tìm kiếm --&gt; sau đó xóa từ khóa tìm kiếm vừa nhập")</f>
        <v>Step 1: Đăng nhập vào tài  khoản
Step 2: Chọn mục cá nhân
Step 3: Chọn mục số địa chỉ
Step 4: Nhấn thêm mới địa chỉ --&gt; hiển thị màn hình  thêm địa chỉ
Step 5: Nhấn vào địa chỉ hiện tại --&gt;hiển thị màn hình chọn địa chỉ
Step 6: Nhấn vào thanh tìm kiếm --&gt; Nhập từ khóa tìm kiếm --&gt; sau đó xóa từ khóa tìm kiếm vừa nhập</v>
      </c>
      <c r="L120" s="118"/>
      <c r="M120" s="115" t="s">
        <v>3740</v>
      </c>
      <c r="N120" s="117" t="s">
        <v>3740</v>
      </c>
      <c r="O120" s="12" t="s">
        <v>1</v>
      </c>
      <c r="P120" s="38"/>
    </row>
    <row r="121">
      <c r="A121" s="37"/>
      <c r="B121" s="37"/>
      <c r="C121" s="37"/>
      <c r="D121" s="37"/>
      <c r="E121" s="37"/>
      <c r="F121" s="12" t="s">
        <v>3982</v>
      </c>
      <c r="G121" s="55" t="s">
        <v>3758</v>
      </c>
      <c r="H121" s="12" t="s">
        <v>3759</v>
      </c>
      <c r="I121" s="12" t="s">
        <v>3649</v>
      </c>
      <c r="J121" s="12" t="s">
        <v>3760</v>
      </c>
      <c r="K121" s="13" t="str">
        <f>IFERROR(__xludf.DUMMYFUNCTION("IF(ISBLANK(J121), ""Input test step"", ARRAYFORMULA(TEXTJOIN(CHAR(10), TRUE, (""Step ""&amp; ROW(INDIRECT(""1:"" &amp; COUNTA(SPLIT(J121, CHAR(10))))) &amp; "": "" &amp; TRANSPOSE(SPLIT(J121,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"&amp;"( Tỉnh ) / Quận ( huyện )/ Phường ( xã ) sẽ hiển thị đầu bảng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 Tỉnh ) / Quận ( huyện )/ Phường ( xã ) sẽ hiển thị đầu bảng </v>
      </c>
      <c r="L121" s="14"/>
      <c r="M121" s="12" t="s">
        <v>3761</v>
      </c>
      <c r="N121" s="12" t="s">
        <v>3762</v>
      </c>
      <c r="O121" s="12" t="s">
        <v>2</v>
      </c>
      <c r="P121" s="38"/>
    </row>
    <row r="122">
      <c r="A122" s="37"/>
      <c r="B122" s="37"/>
      <c r="C122" s="37"/>
      <c r="D122" s="37"/>
      <c r="E122" s="37"/>
      <c r="F122" s="12" t="s">
        <v>3983</v>
      </c>
      <c r="G122" s="56"/>
      <c r="H122" s="12" t="s">
        <v>3759</v>
      </c>
      <c r="I122" s="12" t="s">
        <v>3649</v>
      </c>
      <c r="J122" s="12" t="s">
        <v>3764</v>
      </c>
      <c r="K122" s="13" t="str">
        <f>IFERROR(__xludf.DUMMYFUNCTION("IF(ISBLANK(J122), ""Input test step"", ARRAYFORMULA(TEXTJOIN(CHAR(10), TRUE, (""Step ""&amp; ROW(INDIRECT(""1:"" &amp; COUNTA(SPLIT(J122, CHAR(10))))) &amp; "": "" &amp; TRANSPOSE(SPLIT(J122,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"&amp;"( Tỉnh ) / Quận ( huyện )/ Phường ( xã ) kiểm tra ( kích thước , màu sắc, cỡ chữ )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 Tỉnh ) / Quận ( huyện )/ Phường ( xã ) kiểm tra ( kích thước , màu sắc, cỡ chữ ) </v>
      </c>
      <c r="L122" s="14" t="s">
        <v>3765</v>
      </c>
      <c r="M122" s="12" t="s">
        <v>3766</v>
      </c>
      <c r="N122" s="12" t="s">
        <v>3767</v>
      </c>
      <c r="O122" s="12" t="s">
        <v>2</v>
      </c>
      <c r="P122" s="38"/>
    </row>
    <row r="123">
      <c r="A123" s="37"/>
      <c r="B123" s="37"/>
      <c r="C123" s="37"/>
      <c r="D123" s="37"/>
      <c r="E123" s="37"/>
      <c r="F123" s="12" t="s">
        <v>3984</v>
      </c>
      <c r="G123" s="57"/>
      <c r="H123" s="12" t="s">
        <v>3769</v>
      </c>
      <c r="I123" s="12" t="s">
        <v>3649</v>
      </c>
      <c r="J123" s="12" t="s">
        <v>3770</v>
      </c>
      <c r="K123" s="13" t="str">
        <f>IFERROR(__xludf.DUMMYFUNCTION("IF(ISBLANK(J123), ""Input test step"", ARRAYFORMULA(TEXTJOIN(CHAR(10), TRUE, (""Step ""&amp; ROW(INDIRECT(""1:"" &amp; COUNTA(SPLIT(J123, CHAR(10))))) &amp; "": "" &amp; TRANSPOSE(SPLIT(J123,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"&amp;"( Tỉnh ) / Quận ( huyện ) --&gt; Kiểm tra khi nhấn chọn Phường ( xã) xong sẽ quay về màn hình "" Thêm địa chỉ""")</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 Tỉnh ) / Quận ( huyện ) --&gt; Kiểm tra khi nhấn chọn Phường ( xã) xong sẽ quay về màn hình " Thêm địa chỉ"</v>
      </c>
      <c r="L123" s="14"/>
      <c r="M123" s="12" t="s">
        <v>3771</v>
      </c>
      <c r="N123" s="12" t="s">
        <v>3771</v>
      </c>
      <c r="O123" s="12" t="s">
        <v>1</v>
      </c>
      <c r="P123" s="38"/>
    </row>
    <row r="124">
      <c r="A124" s="37"/>
      <c r="B124" s="37"/>
      <c r="C124" s="37"/>
      <c r="D124" s="37"/>
      <c r="E124" s="37"/>
      <c r="F124" s="12" t="s">
        <v>3985</v>
      </c>
      <c r="G124" s="55" t="s">
        <v>3773</v>
      </c>
      <c r="H124" s="12" t="s">
        <v>3774</v>
      </c>
      <c r="I124" s="12" t="s">
        <v>3649</v>
      </c>
      <c r="J124" s="12" t="s">
        <v>3775</v>
      </c>
      <c r="K124" s="13" t="str">
        <f>IFERROR(__xludf.DUMMYFUNCTION("IF(ISBLANK(J124), ""Input test step"", ARRAYFORMULA(TEXTJOIN(CHAR(10), TRUE, (""Step ""&amp; ROW(INDIRECT(""1:"" &amp; COUNTA(SPLIT(J124, CHAR(10))))) &amp; "": "" &amp; TRANSPOSE(SPLIT(J124,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Khi chọn Thành "&amp;"phố ( Tỉnh ) / Quận ( huyện )/ Phường ( xã ) --&gt; địa chỉ sẽ được tô màu cam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Khi chọn Thành phố ( Tỉnh ) / Quận ( huyện )/ Phường ( xã ) --&gt; địa chỉ sẽ được tô màu cam </v>
      </c>
      <c r="L124" s="14"/>
      <c r="M124" s="12" t="s">
        <v>3776</v>
      </c>
      <c r="N124" s="12" t="s">
        <v>3777</v>
      </c>
      <c r="O124" s="12" t="s">
        <v>2</v>
      </c>
      <c r="P124" s="38"/>
    </row>
    <row r="125">
      <c r="A125" s="37"/>
      <c r="B125" s="37"/>
      <c r="C125" s="37"/>
      <c r="D125" s="37"/>
      <c r="E125" s="37"/>
      <c r="F125" s="12" t="s">
        <v>3986</v>
      </c>
      <c r="G125" s="56"/>
      <c r="H125" s="12" t="s">
        <v>3609</v>
      </c>
      <c r="I125" s="12" t="s">
        <v>3649</v>
      </c>
      <c r="J125" s="12" t="s">
        <v>3779</v>
      </c>
      <c r="K125" s="13" t="str">
        <f>IFERROR(__xludf.DUMMYFUNCTION("IF(ISBLANK(J125), ""Input test step"", ARRAYFORMULA(TEXTJOIN(CHAR(10), TRUE, (""Step ""&amp; ROW(INDIRECT(""1:"" &amp; COUNTA(SPLIT(J125, CHAR(10))))) &amp; "": "" &amp; TRANSPOSE(SPLIT(J125,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Vuốt màn hình l"&amp;"ên xuống để kiểm tra danh sách địa chỉ")</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Vuốt màn hình lên xuống để kiểm tra danh sách địa chỉ</v>
      </c>
      <c r="L125" s="14"/>
      <c r="M125" s="12" t="s">
        <v>3780</v>
      </c>
      <c r="N125" s="12" t="s">
        <v>3780</v>
      </c>
      <c r="O125" s="12" t="s">
        <v>1</v>
      </c>
      <c r="P125" s="38"/>
    </row>
    <row r="126">
      <c r="A126" s="37"/>
      <c r="B126" s="37"/>
      <c r="C126" s="37"/>
      <c r="D126" s="37"/>
      <c r="E126" s="37"/>
      <c r="F126" s="12" t="s">
        <v>3987</v>
      </c>
      <c r="G126" s="57"/>
      <c r="H126" s="12" t="s">
        <v>3782</v>
      </c>
      <c r="I126" s="12" t="s">
        <v>3649</v>
      </c>
      <c r="J126" s="12" t="s">
        <v>3783</v>
      </c>
      <c r="K126" s="13" t="str">
        <f>IFERROR(__xludf.DUMMYFUNCTION("IF(ISBLANK(J126), ""Input test step"", ARRAYFORMULA(TEXTJOIN(CHAR(10), TRUE, (""Step ""&amp; ROW(INDIRECT(""1:"" &amp; COUNTA(SPLIT(J126, CHAR(10))))) &amp; "": "" &amp; TRANSPOSE(SPLIT(J126, CHAR(10)))))))"),"Step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phố("&amp;" tỉnh ) --&gt; chọn Quận ( huyện ) --&gt; chọn Phường ( xã ) ")</f>
        <v>Step 1: Đăng nhập vào tài  khoản
Step 2: Chọn mục cá nhân
Step 3: Chọn mục số địa chỉ
Step 4: Nhấn xem chi tiết địa chỉ
Step 5: Hiển thị màn hình chỉnh sửa địa chỉ
Step 6: Nhấn vào địa chỉ hiện tại --&gt;hiển thị màn hình chọn địa chỉ
Step 7: Chọn Thành phố( tỉnh ) --&gt; chọn Quận ( huyện ) --&gt; chọn Phường ( xã ) </v>
      </c>
      <c r="L126" s="14"/>
      <c r="M126" s="12" t="s">
        <v>3784</v>
      </c>
      <c r="N126" s="12" t="s">
        <v>3785</v>
      </c>
      <c r="O126" s="12" t="s">
        <v>2</v>
      </c>
      <c r="P126" s="38"/>
    </row>
    <row r="127">
      <c r="A127" s="37"/>
      <c r="B127" s="37"/>
      <c r="C127" s="37"/>
      <c r="D127" s="37"/>
      <c r="E127" s="37"/>
      <c r="F127" s="12" t="s">
        <v>3988</v>
      </c>
      <c r="G127" s="112" t="s">
        <v>3989</v>
      </c>
      <c r="H127" s="63" t="s">
        <v>3788</v>
      </c>
      <c r="I127" s="63" t="s">
        <v>3649</v>
      </c>
      <c r="J127" s="63" t="s">
        <v>3789</v>
      </c>
      <c r="K127" s="89" t="str">
        <f>IFERROR(__xludf.DUMMYFUNCTION("IF(ISBLANK(J127), ""Input test step"", ARRAYFORMULA(TEXTJOIN(CHAR(10), TRUE, (""Step ""&amp; ROW(INDIRECT(""1:"" &amp; COUNTA(SPLIT(J127, CHAR(10))))) &amp; "": "" &amp; TRANSPOSE(SPLIT(J127, CHAR(10)))))))"),"Step 1: Đăng nhập vào tài  khoản
Step 2: Chọn mục cá nhân
Step 3: Chọn mục số địa chỉ
Step 4: Nhấn xem chi tiết địa chỉ
Step 5: Hiển thị màn hình chỉnh sửa địa chỉ
Step 6: Nhập max kí tự")</f>
        <v>Step 1: Đăng nhập vào tài  khoản
Step 2: Chọn mục cá nhân
Step 3: Chọn mục số địa chỉ
Step 4: Nhấn xem chi tiết địa chỉ
Step 5: Hiển thị màn hình chỉnh sửa địa chỉ
Step 6: Nhập max kí tự</v>
      </c>
      <c r="L127" s="108"/>
      <c r="M127" s="43" t="s">
        <v>3790</v>
      </c>
      <c r="N127" s="12" t="s">
        <v>1839</v>
      </c>
      <c r="O127" s="12" t="s">
        <v>2</v>
      </c>
      <c r="P127" s="38"/>
    </row>
    <row r="128">
      <c r="A128" s="37"/>
      <c r="B128" s="37"/>
      <c r="C128" s="37"/>
      <c r="D128" s="37"/>
      <c r="E128" s="37"/>
      <c r="F128" s="12" t="s">
        <v>3990</v>
      </c>
      <c r="G128" s="56"/>
      <c r="H128" s="43" t="s">
        <v>3991</v>
      </c>
      <c r="I128" s="63" t="s">
        <v>3649</v>
      </c>
      <c r="J128" s="63" t="s">
        <v>3793</v>
      </c>
      <c r="K128" s="89" t="str">
        <f>IFERROR(__xludf.DUMMYFUNCTION("IF(ISBLANK(J128), ""Input test step"", ARRAYFORMULA(TEXTJOIN(CHAR(10), TRUE, (""Step ""&amp; ROW(INDIRECT(""1:"" &amp; COUNTA(SPLIT(J128, CHAR(10))))) &amp; "": "" &amp; TRANSPOSE(SPLIT(J128, CHAR(10)))))))"),"Step 1: Đăng nhập vào tài  khoản
Step 2: Chọn mục cá nhân
Step 3: Chọn mục số địa chỉ
Step 4: Nhấn xem chi tiết địa chỉ
Step 5: Hiển thị màn hình chỉnh sửa địa chỉ
Step 6: Bỏ trống Địa chỉ cụ thể 
Step 7: Nhấn "" Lưu thay đổi """)</f>
        <v>Step 1: Đăng nhập vào tài  khoản
Step 2: Chọn mục cá nhân
Step 3: Chọn mục số địa chỉ
Step 4: Nhấn xem chi tiết địa chỉ
Step 5: Hiển thị màn hình chỉnh sửa địa chỉ
Step 6: Bỏ trống Địa chỉ cụ thể 
Step 7: Nhấn " Lưu thay đổi "</v>
      </c>
      <c r="L128" s="108"/>
      <c r="M128" s="43" t="s">
        <v>3992</v>
      </c>
      <c r="N128" s="43" t="s">
        <v>3992</v>
      </c>
      <c r="O128" s="12" t="s">
        <v>1</v>
      </c>
      <c r="P128" s="38"/>
    </row>
    <row r="129">
      <c r="A129" s="37"/>
      <c r="B129" s="37"/>
      <c r="C129" s="37"/>
      <c r="D129" s="37"/>
      <c r="E129" s="37"/>
      <c r="F129" s="12" t="s">
        <v>3993</v>
      </c>
      <c r="G129" s="56"/>
      <c r="H129" s="43" t="s">
        <v>3796</v>
      </c>
      <c r="I129" s="63" t="s">
        <v>3649</v>
      </c>
      <c r="J129" s="43" t="s">
        <v>3994</v>
      </c>
      <c r="K129" s="89" t="str">
        <f>IFERROR(__xludf.DUMMYFUNCTION("IF(ISBLANK(J129), ""Input test step"", ARRAYFORMULA(TEXTJOIN(CHAR(10), TRUE, (""Step ""&amp; ROW(INDIRECT(""1:"" &amp; COUNTA(SPLIT(J129, CHAR(10))))) &amp; "": "" &amp; TRANSPOSE(SPLIT(J129, CHAR(10)))))))"),"Step 1: Đăng nhập vào tài  khoản
Step 2: Chọn mục cá nhân
Step 3: Chọn mục số địa chỉ
Step 4: Nhấn thêm mới địa chỉ --&gt; Hiển thị màn hình thêm địa chỉ
Step 5: Nhập dữ liệu địa chỉ --&gt; kiểm tra mất dòng chữ "" Nhập địa chỉ cụ thể và khi xóa dữ liệu sẽ xuất"&amp;" hiện lại dòng chữ đó")</f>
        <v>Step 1: Đăng nhập vào tài  khoản
Step 2: Chọn mục cá nhân
Step 3: Chọn mục số địa chỉ
Step 4: Nhấn thêm mới địa chỉ --&gt; Hiển thị màn hình thêm địa chỉ
Step 5: Nhập dữ liệu địa chỉ --&gt; kiểm tra mất dòng chữ " Nhập địa chỉ cụ thể và khi xóa dữ liệu sẽ xuất hiện lại dòng chữ đó</v>
      </c>
      <c r="L129" s="108"/>
      <c r="M129" s="43" t="s">
        <v>3798</v>
      </c>
      <c r="N129" s="43" t="s">
        <v>3798</v>
      </c>
      <c r="O129" s="12" t="s">
        <v>1</v>
      </c>
      <c r="P129" s="38"/>
    </row>
    <row r="130">
      <c r="A130" s="37"/>
      <c r="B130" s="37"/>
      <c r="C130" s="37"/>
      <c r="D130" s="37"/>
      <c r="E130" s="37"/>
      <c r="F130" s="12" t="s">
        <v>3995</v>
      </c>
      <c r="G130" s="57"/>
      <c r="H130" s="12" t="s">
        <v>3996</v>
      </c>
      <c r="I130" s="63" t="s">
        <v>3649</v>
      </c>
      <c r="J130" s="43" t="s">
        <v>3997</v>
      </c>
      <c r="K130" s="13" t="str">
        <f>IFERROR(__xludf.DUMMYFUNCTION("IF(ISBLANK(J130), ""Input test step"", ARRAYFORMULA(TEXTJOIN(CHAR(10), TRUE, (""Step ""&amp; ROW(INDIRECT(""1:"" &amp; COUNTA(SPLIT(J130, CHAR(10))))) &amp; "": "" &amp; TRANSPOSE(SPLIT(J130, CHAR(10)))))))"),"Step 1: Đăng nhập vào tài  khoản
Step 2: Chọn mục cá nhân
Step 3: Chọn mục số địa chỉ
Step 4: Nhấn thêm mới địa chỉ --&gt; Hiển thị màn hình thêm địa chỉ
Step 5: Trỏ chuột vào ô "" Địa chỉ cụ thể "" để kiểm tra thanh hover")</f>
        <v>Step 1: Đăng nhập vào tài  khoản
Step 2: Chọn mục cá nhân
Step 3: Chọn mục số địa chỉ
Step 4: Nhấn thêm mới địa chỉ --&gt; Hiển thị màn hình thêm địa chỉ
Step 5: Trỏ chuột vào ô " Địa chỉ cụ thể " để kiểm tra thanh hover</v>
      </c>
      <c r="L130" s="14"/>
      <c r="M130" s="12" t="s">
        <v>3998</v>
      </c>
      <c r="N130" s="12" t="s">
        <v>3998</v>
      </c>
      <c r="O130" s="12" t="s">
        <v>1</v>
      </c>
      <c r="P130" s="38"/>
    </row>
    <row r="131">
      <c r="A131" s="37"/>
      <c r="B131" s="37"/>
      <c r="C131" s="37"/>
      <c r="D131" s="37"/>
      <c r="E131" s="37"/>
      <c r="F131" s="12" t="s">
        <v>3999</v>
      </c>
      <c r="G131" s="55" t="s">
        <v>4000</v>
      </c>
      <c r="H131" s="12" t="s">
        <v>3801</v>
      </c>
      <c r="I131" s="12" t="s">
        <v>3802</v>
      </c>
      <c r="J131" s="12" t="s">
        <v>4001</v>
      </c>
      <c r="K131" s="13" t="str">
        <f>IFERROR(__xludf.DUMMYFUNCTION("IF(ISBLANK(J131), ""Input test step"", ARRAYFORMULA(TEXTJOIN(CHAR(10), TRUE, (""Step ""&amp; ROW(INDIRECT(""1:"" &amp; COUNTA(SPLIT(J131, CHAR(10))))) &amp; "": "" &amp; TRANSPOSE(SPLIT(J131, CHAR(10)))))))"),"Step 1: Đăng nhập vào tài  khoản
Step 2: Chọn mục cá nhân
Step 3: Chọn mục số địa chỉ
Step 4: Nhấn thêm mới địa chỉ --&gt; Hiển thị màn hình thêm địa chỉ
Step 5: Nhấn bật/tắt  button để làm địa chỉ mặc định
Step 6: Nhấn "" Lưu thay đổi """)</f>
        <v>Step 1: Đăng nhập vào tài  khoản
Step 2: Chọn mục cá nhân
Step 3: Chọn mục số địa chỉ
Step 4: Nhấn thêm mới địa chỉ --&gt; Hiển thị màn hình thêm địa chỉ
Step 5: Nhấn bật/tắt  button để làm địa chỉ mặc định
Step 6: Nhấn " Lưu thay đổi "</v>
      </c>
      <c r="L131" s="14"/>
      <c r="M131" s="12" t="s">
        <v>3804</v>
      </c>
      <c r="N131" s="12" t="s">
        <v>3804</v>
      </c>
      <c r="O131" s="12" t="s">
        <v>1</v>
      </c>
      <c r="P131" s="38"/>
    </row>
    <row r="132">
      <c r="A132" s="37"/>
      <c r="B132" s="37"/>
      <c r="C132" s="37"/>
      <c r="D132" s="37"/>
      <c r="E132" s="37"/>
      <c r="F132" s="12" t="s">
        <v>4002</v>
      </c>
      <c r="G132" s="56"/>
      <c r="H132" s="12" t="s">
        <v>3806</v>
      </c>
      <c r="I132" s="12"/>
      <c r="J132" s="12" t="s">
        <v>4003</v>
      </c>
      <c r="K132" s="13" t="str">
        <f>IFERROR(__xludf.DUMMYFUNCTION("IF(ISBLANK(J132), ""Input test step"", ARRAYFORMULA(TEXTJOIN(CHAR(10), TRUE, (""Step ""&amp; ROW(INDIRECT(""1:"" &amp; COUNTA(SPLIT(J132, CHAR(10))))) &amp; "": "" &amp; TRANSPOSE(SPLIT(J132, CHAR(10)))))))"),"Step 1: Đăng nhập vào tài  khoản
Step 2: Chọn mục cá nhân
Step 3: Chọn mục số địa chỉ
Step 4: Nhấn thêm mới địa chỉ --&gt; Hiển thị màn hình thêm địa chỉ
Step 5: Kiểm tra kích thước, màu sắc, cỡ chữ")</f>
        <v>Step 1: Đăng nhập vào tài  khoản
Step 2: Chọn mục cá nhân
Step 3: Chọn mục số địa chỉ
Step 4: Nhấn thêm mới địa chỉ --&gt; Hiển thị màn hình thêm địa chỉ
Step 5: Kiểm tra kích thước, màu sắc, cỡ chữ</v>
      </c>
      <c r="L132" s="14"/>
      <c r="M132" s="12" t="s">
        <v>2024</v>
      </c>
      <c r="N132" s="12" t="s">
        <v>2024</v>
      </c>
      <c r="O132" s="12" t="s">
        <v>1</v>
      </c>
      <c r="P132" s="38"/>
    </row>
    <row r="133">
      <c r="A133" s="37"/>
      <c r="B133" s="37"/>
      <c r="C133" s="37"/>
      <c r="D133" s="37"/>
      <c r="E133" s="37"/>
      <c r="F133" s="12" t="s">
        <v>4004</v>
      </c>
      <c r="G133" s="56"/>
      <c r="H133" s="12" t="s">
        <v>3809</v>
      </c>
      <c r="I133" s="12" t="s">
        <v>3802</v>
      </c>
      <c r="J133" s="12" t="s">
        <v>4005</v>
      </c>
      <c r="K133" s="13" t="str">
        <f>IFERROR(__xludf.DUMMYFUNCTION("IF(ISBLANK(J133), ""Input test step"", ARRAYFORMULA(TEXTJOIN(CHAR(10), TRUE, (""Step ""&amp; ROW(INDIRECT(""1:"" &amp; COUNTA(SPLIT(J133, CHAR(10))))) &amp; "": "" &amp; TRANSPOSE(SPLIT(J133, CHAR(10)))))))"),"Step 1: Đăng nhập vào tài  khoản
Step 2: Chọn mục cá nhân
Step 3: Chọn mục số địa chỉ
Step 4: Nhấn thêm mới địa chỉ --&gt; Hiển thị màn hình thêm địa chỉ
Step 5: Nhấn bật button để làm địa chỉ mặc định và được hiển thị ở mà hình "" Số địa chỉ ""
Step 6: Nhấn"&amp;" "" Lưu thay đổi """)</f>
        <v>Step 1: Đăng nhập vào tài  khoản
Step 2: Chọn mục cá nhân
Step 3: Chọn mục số địa chỉ
Step 4: Nhấn thêm mới địa chỉ --&gt; Hiển thị màn hình thêm địa chỉ
Step 5: Nhấn bật button để làm địa chỉ mặc định và được hiển thị ở mà hình " Số địa chỉ "
Step 6: Nhấn " Lưu thay đổi "</v>
      </c>
      <c r="L133" s="14"/>
      <c r="M133" s="12" t="s">
        <v>3811</v>
      </c>
      <c r="N133" s="12" t="s">
        <v>3811</v>
      </c>
      <c r="O133" s="12" t="s">
        <v>1</v>
      </c>
      <c r="P133" s="38"/>
    </row>
    <row r="134">
      <c r="A134" s="37"/>
      <c r="B134" s="37"/>
      <c r="C134" s="37"/>
      <c r="D134" s="37"/>
      <c r="E134" s="37"/>
      <c r="F134" s="12" t="s">
        <v>4006</v>
      </c>
      <c r="G134" s="56"/>
      <c r="H134" s="12" t="s">
        <v>4007</v>
      </c>
      <c r="I134" s="12" t="s">
        <v>3802</v>
      </c>
      <c r="J134" s="12" t="s">
        <v>4008</v>
      </c>
      <c r="K134" s="13" t="str">
        <f>IFERROR(__xludf.DUMMYFUNCTION("IF(ISBLANK(J134), ""Input test step"", ARRAYFORMULA(TEXTJOIN(CHAR(10), TRUE, (""Step ""&amp; ROW(INDIRECT(""1:"" &amp; COUNTA(SPLIT(J134, CHAR(10))))) &amp; "": "" &amp; TRANSPOSE(SPLIT(J134, CHAR(10)))))))"),"Step 1: Đăng nhập vào tài  khoản
Step 2: Chọn mục cá nhân
Step 3: Chọn mục số địa chỉ
Step 4: Nhấn thêm mới địa chỉ --&gt; Hiển thị màn hình thêm địa chỉ
Step 5: Nhấn tắt button để làm địa chỉ mặc định và không được hiển thị ở mà hình "" Số địa chỉ ""
Step 6"&amp;": Nhấn "" Lưu thay đổi """)</f>
        <v>Step 1: Đăng nhập vào tài  khoản
Step 2: Chọn mục cá nhân
Step 3: Chọn mục số địa chỉ
Step 4: Nhấn thêm mới địa chỉ --&gt; Hiển thị màn hình thêm địa chỉ
Step 5: Nhấn tắt button để làm địa chỉ mặc định và không được hiển thị ở mà hình " Số địa chỉ "
Step 6: Nhấn " Lưu thay đổi "</v>
      </c>
      <c r="L134" s="14"/>
      <c r="M134" s="12" t="s">
        <v>3815</v>
      </c>
      <c r="N134" s="12" t="s">
        <v>3815</v>
      </c>
      <c r="O134" s="12" t="s">
        <v>1</v>
      </c>
      <c r="P134" s="38"/>
    </row>
    <row r="135">
      <c r="A135" s="37"/>
      <c r="B135" s="37"/>
      <c r="C135" s="37"/>
      <c r="D135" s="37"/>
      <c r="E135" s="37"/>
      <c r="F135" s="12" t="s">
        <v>4009</v>
      </c>
      <c r="G135" s="57"/>
      <c r="H135" s="12" t="s">
        <v>3817</v>
      </c>
      <c r="I135" s="12" t="s">
        <v>3802</v>
      </c>
      <c r="J135" s="12" t="s">
        <v>4010</v>
      </c>
      <c r="K135" s="13" t="str">
        <f>IFERROR(__xludf.DUMMYFUNCTION("IF(ISBLANK(J135), ""Input test step"", ARRAYFORMULA(TEXTJOIN(CHAR(10), TRUE, (""Step ""&amp; ROW(INDIRECT(""1:"" &amp; COUNTA(SPLIT(J135, CHAR(10))))) &amp; "": "" &amp; TRANSPOSE(SPLIT(J135, CHAR(10)))))))"),"Step 1: Đăng nhập vào tài  khoản
Step 2: Chọn mục cá nhân
Step 3: Chọn mục số địa chỉ
Step 4: Nhấn thêm mới địa chỉ --&gt; Hiển thị màn hình thêm địa chỉ
Step 5: Nhấn bật/tắt button nhưng không nhấn  "" Lưu thay đổi """)</f>
        <v>Step 1: Đăng nhập vào tài  khoản
Step 2: Chọn mục cá nhân
Step 3: Chọn mục số địa chỉ
Step 4: Nhấn thêm mới địa chỉ --&gt; Hiển thị màn hình thêm địa chỉ
Step 5: Nhấn bật/tắt button nhưng không nhấn  " Lưu thay đổi "</v>
      </c>
      <c r="L135" s="14"/>
      <c r="M135" s="12" t="s">
        <v>3819</v>
      </c>
      <c r="N135" s="12" t="s">
        <v>3819</v>
      </c>
      <c r="O135" s="12" t="s">
        <v>1</v>
      </c>
      <c r="P135" s="38"/>
    </row>
    <row r="136">
      <c r="A136" s="37"/>
      <c r="B136" s="37"/>
      <c r="C136" s="37"/>
      <c r="D136" s="37"/>
      <c r="E136" s="37"/>
      <c r="F136" s="12" t="s">
        <v>4011</v>
      </c>
      <c r="G136" s="55" t="s">
        <v>4012</v>
      </c>
      <c r="H136" s="12" t="s">
        <v>4013</v>
      </c>
      <c r="I136" s="12" t="s">
        <v>3802</v>
      </c>
      <c r="J136" s="12" t="s">
        <v>4014</v>
      </c>
      <c r="K136" s="13" t="str">
        <f>IFERROR(__xludf.DUMMYFUNCTION("IF(ISBLANK(J136), ""Input test step"", ARRAYFORMULA(TEXTJOIN(CHAR(10), TRUE, (""Step ""&amp; ROW(INDIRECT(""1:"" &amp; COUNTA(SPLIT(J136, CHAR(10))))) &amp; "": "" &amp; TRANSPOSE(SPLIT(J136, CHAR(10)))))))"),"Step 1: Đăng nhập vào tài  khoản
Step 2: Chọn mục cá nhân
Step 3: Chọn mục số địa chỉ
Step 4: Nhấn thêm mới địa chỉ --&gt; Hiển thị màn hình thêm địa chỉ
Step 5: Kiểm tra màu sắc, kích thước, cỡ chữ")</f>
        <v>Step 1: Đăng nhập vào tài  khoản
Step 2: Chọn mục cá nhân
Step 3: Chọn mục số địa chỉ
Step 4: Nhấn thêm mới địa chỉ --&gt; Hiển thị màn hình thêm địa chỉ
Step 5: Kiểm tra màu sắc, kích thước, cỡ chữ</v>
      </c>
      <c r="L136" s="14"/>
      <c r="M136" s="12" t="s">
        <v>2024</v>
      </c>
      <c r="N136" s="12" t="s">
        <v>4015</v>
      </c>
      <c r="O136" s="12" t="s">
        <v>2</v>
      </c>
      <c r="P136" s="38"/>
    </row>
    <row r="137">
      <c r="A137" s="37"/>
      <c r="B137" s="37"/>
      <c r="C137" s="37"/>
      <c r="D137" s="37"/>
      <c r="E137" s="37"/>
      <c r="F137" s="12" t="s">
        <v>4016</v>
      </c>
      <c r="G137" s="56"/>
      <c r="H137" s="12" t="s">
        <v>4017</v>
      </c>
      <c r="I137" s="12" t="s">
        <v>3802</v>
      </c>
      <c r="J137" s="12" t="s">
        <v>4018</v>
      </c>
      <c r="K137" s="13" t="str">
        <f>IFERROR(__xludf.DUMMYFUNCTION("IF(ISBLANK(J137), ""Input test step"", ARRAYFORMULA(TEXTJOIN(CHAR(10), TRUE, (""Step ""&amp; ROW(INDIRECT(""1:"" &amp; COUNTA(SPLIT(J137, CHAR(10))))) &amp; "": "" &amp; TRANSPOSE(SPLIT(J137, CHAR(10)))))))"),"Step 1: Đăng nhập vào tài  khoản
Step 2: Chọn mục cá nhân
Step 3: Chọn mục số địa chỉ
Step 4: Nhấn thêm mới địa chỉ --&gt; Hiển thị màn hình thêm địa chỉ
Step 5: Nhập đầy đủ thông tin và nhấn "" Thêm mới """)</f>
        <v>Step 1: Đăng nhập vào tài  khoản
Step 2: Chọn mục cá nhân
Step 3: Chọn mục số địa chỉ
Step 4: Nhấn thêm mới địa chỉ --&gt; Hiển thị màn hình thêm địa chỉ
Step 5: Nhập đầy đủ thông tin và nhấn " Thêm mới "</v>
      </c>
      <c r="L137" s="14"/>
      <c r="M137" s="12" t="s">
        <v>4019</v>
      </c>
      <c r="N137" s="12" t="s">
        <v>4020</v>
      </c>
      <c r="O137" s="12" t="s">
        <v>2</v>
      </c>
      <c r="P137" s="38"/>
    </row>
    <row r="138">
      <c r="A138" s="37"/>
      <c r="B138" s="37"/>
      <c r="C138" s="37"/>
      <c r="D138" s="37"/>
      <c r="E138" s="37"/>
      <c r="F138" s="12" t="s">
        <v>4021</v>
      </c>
      <c r="G138" s="57"/>
      <c r="H138" s="12" t="s">
        <v>4022</v>
      </c>
      <c r="I138" s="12" t="s">
        <v>3802</v>
      </c>
      <c r="J138" s="12" t="s">
        <v>4023</v>
      </c>
      <c r="K138" s="13" t="str">
        <f>IFERROR(__xludf.DUMMYFUNCTION("IF(ISBLANK(J138), ""Input test step"", ARRAYFORMULA(TEXTJOIN(CHAR(10), TRUE, (""Step ""&amp; ROW(INDIRECT(""1:"" &amp; COUNTA(SPLIT(J138, CHAR(10))))) &amp; "": "" &amp; TRANSPOSE(SPLIT(J138, CHAR(10)))))))"),"Step 1: Đăng nhập vào tài  khoản
Step 2: Chọn mục cá nhân
Step 3: Chọn mục số địa chỉ
Step 4: Nhấn thêm mới địa chỉ --&gt; Hiển thị màn hình thêm địa chỉ
Step 5: Nhập đầy đủ thông tin nhưng không nhập trường Thành phố/ Quận/Huyện và nhấn "" Thêm mới """)</f>
        <v>Step 1: Đăng nhập vào tài  khoản
Step 2: Chọn mục cá nhân
Step 3: Chọn mục số địa chỉ
Step 4: Nhấn thêm mới địa chỉ --&gt; Hiển thị màn hình thêm địa chỉ
Step 5: Nhập đầy đủ thông tin nhưng không nhập trường Thành phố/ Quận/Huyện và nhấn " Thêm mới "</v>
      </c>
      <c r="L138" s="14"/>
      <c r="M138" s="12" t="s">
        <v>4024</v>
      </c>
      <c r="N138" s="12" t="s">
        <v>4025</v>
      </c>
      <c r="O138" s="12" t="s">
        <v>2</v>
      </c>
      <c r="P138" s="38"/>
    </row>
    <row r="139">
      <c r="A139" s="37"/>
      <c r="B139" s="37"/>
      <c r="C139" s="37"/>
      <c r="D139" s="37"/>
      <c r="E139" s="37"/>
      <c r="F139" s="12"/>
      <c r="G139" s="12"/>
      <c r="H139" s="12"/>
      <c r="I139" s="12"/>
      <c r="J139" s="12"/>
      <c r="K139" s="13" t="str">
        <f>IFERROR(__xludf.DUMMYFUNCTION("IF(ISBLANK(J139), ""Input test step"", ARRAYFORMULA(TEXTJOIN(CHAR(10), TRUE, (""Step ""&amp; ROW(INDIRECT(""1:"" &amp; COUNTA(SPLIT(J139, CHAR(10))))) &amp; "": "" &amp; TRANSPOSE(SPLIT(J139, CHAR(10)))))))"),"Input test step")</f>
        <v>Input test step</v>
      </c>
      <c r="L139" s="14"/>
      <c r="M139" s="12"/>
      <c r="N139" s="12"/>
      <c r="O139" s="12"/>
      <c r="P139" s="38"/>
    </row>
    <row r="140">
      <c r="A140" s="37"/>
      <c r="B140" s="37"/>
      <c r="C140" s="37"/>
      <c r="D140" s="37"/>
      <c r="E140" s="37"/>
      <c r="F140" s="12"/>
      <c r="G140" s="12"/>
      <c r="H140" s="12"/>
      <c r="I140" s="12"/>
      <c r="J140" s="12"/>
      <c r="K140" s="13" t="str">
        <f>IFERROR(__xludf.DUMMYFUNCTION("IF(ISBLANK(J140), ""Input test step"", ARRAYFORMULA(TEXTJOIN(CHAR(10), TRUE, (""Step ""&amp; ROW(INDIRECT(""1:"" &amp; COUNTA(SPLIT(J140, CHAR(10))))) &amp; "": "" &amp; TRANSPOSE(SPLIT(J140, CHAR(10)))))))"),"Input test step")</f>
        <v>Input test step</v>
      </c>
      <c r="L140" s="14"/>
      <c r="M140" s="12"/>
      <c r="N140" s="12"/>
      <c r="O140" s="12"/>
      <c r="P140" s="38"/>
    </row>
    <row r="141">
      <c r="A141" s="37"/>
      <c r="B141" s="37"/>
      <c r="C141" s="37"/>
      <c r="D141" s="37"/>
      <c r="E141" s="37"/>
      <c r="F141" s="12"/>
      <c r="G141" s="12"/>
      <c r="H141" s="12"/>
      <c r="I141" s="12"/>
      <c r="J141" s="12"/>
      <c r="K141" s="13" t="str">
        <f>IFERROR(__xludf.DUMMYFUNCTION("IF(ISBLANK(J141), ""Input test step"", ARRAYFORMULA(TEXTJOIN(CHAR(10), TRUE, (""Step ""&amp; ROW(INDIRECT(""1:"" &amp; COUNTA(SPLIT(J141, CHAR(10))))) &amp; "": "" &amp; TRANSPOSE(SPLIT(J141, CHAR(10)))))))"),"Input test step")</f>
        <v>Input test step</v>
      </c>
      <c r="L141" s="14"/>
      <c r="M141" s="12"/>
      <c r="N141" s="12"/>
      <c r="O141" s="12"/>
      <c r="P141" s="38"/>
    </row>
    <row r="142">
      <c r="A142" s="37"/>
      <c r="B142" s="37"/>
      <c r="C142" s="37"/>
      <c r="D142" s="37"/>
      <c r="E142" s="37"/>
      <c r="F142" s="12"/>
      <c r="G142" s="12"/>
      <c r="H142" s="12"/>
      <c r="I142" s="12"/>
      <c r="J142" s="12"/>
      <c r="K142" s="13" t="str">
        <f>IFERROR(__xludf.DUMMYFUNCTION("IF(ISBLANK(J142), ""Input test step"", ARRAYFORMULA(TEXTJOIN(CHAR(10), TRUE, (""Step ""&amp; ROW(INDIRECT(""1:"" &amp; COUNTA(SPLIT(J142, CHAR(10))))) &amp; "": "" &amp; TRANSPOSE(SPLIT(J142, CHAR(10)))))))"),"Input test step")</f>
        <v>Input test step</v>
      </c>
      <c r="L142" s="14"/>
      <c r="M142" s="12"/>
      <c r="N142" s="12"/>
      <c r="O142" s="12"/>
      <c r="P142" s="38"/>
    </row>
    <row r="143">
      <c r="A143" s="37"/>
      <c r="B143" s="37"/>
      <c r="C143" s="37"/>
      <c r="D143" s="37"/>
      <c r="E143" s="37"/>
      <c r="F143" s="12"/>
      <c r="G143" s="12"/>
      <c r="H143" s="12"/>
      <c r="I143" s="12"/>
      <c r="J143" s="12"/>
      <c r="K143" s="13" t="str">
        <f>IFERROR(__xludf.DUMMYFUNCTION("IF(ISBLANK(J143), ""Input test step"", ARRAYFORMULA(TEXTJOIN(CHAR(10), TRUE, (""Step ""&amp; ROW(INDIRECT(""1:"" &amp; COUNTA(SPLIT(J143, CHAR(10))))) &amp; "": "" &amp; TRANSPOSE(SPLIT(J143, CHAR(10)))))))"),"Input test step")</f>
        <v>Input test step</v>
      </c>
      <c r="L143" s="14"/>
      <c r="M143" s="12"/>
      <c r="N143" s="12"/>
      <c r="O143" s="12"/>
      <c r="P143" s="38"/>
    </row>
    <row r="144">
      <c r="A144" s="37"/>
      <c r="B144" s="37"/>
      <c r="C144" s="37"/>
      <c r="D144" s="37"/>
      <c r="E144" s="37"/>
      <c r="F144" s="12"/>
      <c r="G144" s="12"/>
      <c r="H144" s="12"/>
      <c r="I144" s="12"/>
      <c r="J144" s="12"/>
      <c r="K144" s="13" t="str">
        <f>IFERROR(__xludf.DUMMYFUNCTION("IF(ISBLANK(J144), ""Input test step"", ARRAYFORMULA(TEXTJOIN(CHAR(10), TRUE, (""Step ""&amp; ROW(INDIRECT(""1:"" &amp; COUNTA(SPLIT(J144, CHAR(10))))) &amp; "": "" &amp; TRANSPOSE(SPLIT(J144, CHAR(10)))))))"),"Input test step")</f>
        <v>Input test step</v>
      </c>
      <c r="L144" s="14"/>
      <c r="M144" s="12"/>
      <c r="N144" s="12"/>
      <c r="O144" s="12"/>
      <c r="P144" s="38"/>
    </row>
    <row r="145">
      <c r="A145" s="37"/>
      <c r="B145" s="37"/>
      <c r="C145" s="37"/>
      <c r="D145" s="37"/>
      <c r="E145" s="37"/>
      <c r="F145" s="12"/>
      <c r="G145" s="12"/>
      <c r="H145" s="12"/>
      <c r="I145" s="12"/>
      <c r="J145" s="12"/>
      <c r="K145" s="13" t="str">
        <f>IFERROR(__xludf.DUMMYFUNCTION("IF(ISBLANK(J145), ""Input test step"", ARRAYFORMULA(TEXTJOIN(CHAR(10), TRUE, (""Step ""&amp; ROW(INDIRECT(""1:"" &amp; COUNTA(SPLIT(J145, CHAR(10))))) &amp; "": "" &amp; TRANSPOSE(SPLIT(J145, CHAR(10)))))))"),"Input test step")</f>
        <v>Input test step</v>
      </c>
      <c r="L145" s="14"/>
      <c r="M145" s="12"/>
      <c r="N145" s="12"/>
      <c r="O145" s="12"/>
      <c r="P145" s="38"/>
    </row>
    <row r="146">
      <c r="A146" s="37"/>
      <c r="B146" s="37"/>
      <c r="C146" s="37"/>
      <c r="D146" s="37"/>
      <c r="E146" s="37"/>
      <c r="F146" s="12"/>
      <c r="G146" s="12"/>
      <c r="H146" s="12"/>
      <c r="I146" s="12"/>
      <c r="J146" s="12"/>
      <c r="K146" s="13" t="str">
        <f>IFERROR(__xludf.DUMMYFUNCTION("IF(ISBLANK(J146), ""Input test step"", ARRAYFORMULA(TEXTJOIN(CHAR(10), TRUE, (""Step ""&amp; ROW(INDIRECT(""1:"" &amp; COUNTA(SPLIT(J146, CHAR(10))))) &amp; "": "" &amp; TRANSPOSE(SPLIT(J146, CHAR(10)))))))"),"Input test step")</f>
        <v>Input test step</v>
      </c>
      <c r="L146" s="14"/>
      <c r="M146" s="12"/>
      <c r="N146" s="12"/>
      <c r="O146" s="12"/>
      <c r="P146" s="38"/>
    </row>
    <row r="147">
      <c r="A147" s="37"/>
      <c r="B147" s="37"/>
      <c r="C147" s="37"/>
      <c r="D147" s="37"/>
      <c r="E147" s="37"/>
      <c r="F147" s="12"/>
      <c r="G147" s="12"/>
      <c r="H147" s="12"/>
      <c r="I147" s="12"/>
      <c r="J147" s="12"/>
      <c r="K147" s="13" t="str">
        <f>IFERROR(__xludf.DUMMYFUNCTION("IF(ISBLANK(J147), ""Input test step"", ARRAYFORMULA(TEXTJOIN(CHAR(10), TRUE, (""Step ""&amp; ROW(INDIRECT(""1:"" &amp; COUNTA(SPLIT(J147, CHAR(10))))) &amp; "": "" &amp; TRANSPOSE(SPLIT(J147, CHAR(10)))))))"),"Input test step")</f>
        <v>Input test step</v>
      </c>
      <c r="L147" s="14"/>
      <c r="M147" s="12"/>
      <c r="N147" s="12"/>
      <c r="O147" s="12"/>
      <c r="P147" s="38"/>
    </row>
    <row r="148">
      <c r="A148" s="37"/>
      <c r="B148" s="37"/>
      <c r="C148" s="37"/>
      <c r="D148" s="37"/>
      <c r="E148" s="37"/>
      <c r="F148" s="12"/>
      <c r="G148" s="12"/>
      <c r="H148" s="12"/>
      <c r="I148" s="12"/>
      <c r="J148" s="12"/>
      <c r="K148" s="13" t="str">
        <f>IFERROR(__xludf.DUMMYFUNCTION("IF(ISBLANK(J148), ""Input test step"", ARRAYFORMULA(TEXTJOIN(CHAR(10), TRUE, (""Step ""&amp; ROW(INDIRECT(""1:"" &amp; COUNTA(SPLIT(J148, CHAR(10))))) &amp; "": "" &amp; TRANSPOSE(SPLIT(J148, CHAR(10)))))))"),"Input test step")</f>
        <v>Input test step</v>
      </c>
      <c r="L148" s="14"/>
      <c r="M148" s="12"/>
      <c r="N148" s="12"/>
      <c r="O148" s="12"/>
      <c r="P148" s="38"/>
    </row>
    <row r="149">
      <c r="A149" s="37"/>
      <c r="B149" s="37"/>
      <c r="C149" s="37"/>
      <c r="D149" s="37"/>
      <c r="E149" s="37"/>
      <c r="F149" s="12"/>
      <c r="G149" s="12"/>
      <c r="H149" s="12"/>
      <c r="I149" s="12"/>
      <c r="J149" s="12"/>
      <c r="K149" s="13" t="str">
        <f>IFERROR(__xludf.DUMMYFUNCTION("IF(ISBLANK(J149), ""Input test step"", ARRAYFORMULA(TEXTJOIN(CHAR(10), TRUE, (""Step ""&amp; ROW(INDIRECT(""1:"" &amp; COUNTA(SPLIT(J149, CHAR(10))))) &amp; "": "" &amp; TRANSPOSE(SPLIT(J149, CHAR(10)))))))"),"Input test step")</f>
        <v>Input test step</v>
      </c>
      <c r="L149" s="14"/>
      <c r="M149" s="12"/>
      <c r="N149" s="12"/>
      <c r="O149" s="12"/>
      <c r="P149" s="38"/>
    </row>
    <row r="150">
      <c r="A150" s="37"/>
      <c r="B150" s="37"/>
      <c r="C150" s="37"/>
      <c r="D150" s="37"/>
      <c r="E150" s="37"/>
      <c r="F150" s="12"/>
      <c r="G150" s="12"/>
      <c r="H150" s="12"/>
      <c r="I150" s="12"/>
      <c r="J150" s="12"/>
      <c r="K150" s="13" t="str">
        <f>IFERROR(__xludf.DUMMYFUNCTION("IF(ISBLANK(J150), ""Input test step"", ARRAYFORMULA(TEXTJOIN(CHAR(10), TRUE, (""Step ""&amp; ROW(INDIRECT(""1:"" &amp; COUNTA(SPLIT(J150, CHAR(10))))) &amp; "": "" &amp; TRANSPOSE(SPLIT(J150, CHAR(10)))))))"),"Input test step")</f>
        <v>Input test step</v>
      </c>
      <c r="L150" s="14"/>
      <c r="M150" s="12"/>
      <c r="N150" s="12"/>
      <c r="O150" s="12"/>
      <c r="P150" s="38"/>
    </row>
    <row r="151">
      <c r="A151" s="37"/>
      <c r="B151" s="37"/>
      <c r="C151" s="37"/>
      <c r="D151" s="37"/>
      <c r="E151" s="37"/>
      <c r="F151" s="12"/>
      <c r="G151" s="12"/>
      <c r="H151" s="12"/>
      <c r="I151" s="12"/>
      <c r="J151" s="12"/>
      <c r="K151" s="13" t="str">
        <f>IFERROR(__xludf.DUMMYFUNCTION("IF(ISBLANK(J151), ""Input test step"", ARRAYFORMULA(TEXTJOIN(CHAR(10), TRUE, (""Step ""&amp; ROW(INDIRECT(""1:"" &amp; COUNTA(SPLIT(J151, CHAR(10))))) &amp; "": "" &amp; TRANSPOSE(SPLIT(J151, CHAR(10)))))))"),"Input test step")</f>
        <v>Input test step</v>
      </c>
      <c r="L151" s="14"/>
      <c r="M151" s="12"/>
      <c r="N151" s="12"/>
      <c r="O151" s="12"/>
      <c r="P151" s="38"/>
    </row>
    <row r="152">
      <c r="A152" s="37"/>
      <c r="B152" s="37"/>
      <c r="C152" s="37"/>
      <c r="D152" s="37"/>
      <c r="E152" s="37"/>
      <c r="F152" s="12"/>
      <c r="G152" s="12"/>
      <c r="H152" s="12"/>
      <c r="I152" s="12"/>
      <c r="J152" s="12"/>
      <c r="K152" s="13" t="str">
        <f>IFERROR(__xludf.DUMMYFUNCTION("IF(ISBLANK(J152), ""Input test step"", ARRAYFORMULA(TEXTJOIN(CHAR(10), TRUE, (""Step ""&amp; ROW(INDIRECT(""1:"" &amp; COUNTA(SPLIT(J152, CHAR(10))))) &amp; "": "" &amp; TRANSPOSE(SPLIT(J152, CHAR(10)))))))"),"Input test step")</f>
        <v>Input test step</v>
      </c>
      <c r="L152" s="14"/>
      <c r="M152" s="12"/>
      <c r="N152" s="12"/>
      <c r="O152" s="12"/>
      <c r="P152" s="38"/>
    </row>
    <row r="153">
      <c r="A153" s="37"/>
      <c r="B153" s="37"/>
      <c r="C153" s="37"/>
      <c r="D153" s="37"/>
      <c r="E153" s="37"/>
      <c r="F153" s="12"/>
      <c r="G153" s="12"/>
      <c r="H153" s="12"/>
      <c r="I153" s="12"/>
      <c r="J153" s="12"/>
      <c r="K153" s="13" t="str">
        <f>IFERROR(__xludf.DUMMYFUNCTION("IF(ISBLANK(J153), ""Input test step"", ARRAYFORMULA(TEXTJOIN(CHAR(10), TRUE, (""Step ""&amp; ROW(INDIRECT(""1:"" &amp; COUNTA(SPLIT(J153, CHAR(10))))) &amp; "": "" &amp; TRANSPOSE(SPLIT(J153, CHAR(10)))))))"),"Input test step")</f>
        <v>Input test step</v>
      </c>
      <c r="L153" s="14"/>
      <c r="M153" s="12"/>
      <c r="N153" s="12"/>
      <c r="O153" s="12"/>
      <c r="P153" s="38"/>
    </row>
    <row r="154">
      <c r="A154" s="37"/>
      <c r="B154" s="37"/>
      <c r="C154" s="37"/>
      <c r="D154" s="37"/>
      <c r="E154" s="37"/>
      <c r="F154" s="12"/>
      <c r="G154" s="12"/>
      <c r="H154" s="12"/>
      <c r="I154" s="12"/>
      <c r="J154" s="12"/>
      <c r="K154" s="13" t="str">
        <f>IFERROR(__xludf.DUMMYFUNCTION("IF(ISBLANK(J154), ""Input test step"", ARRAYFORMULA(TEXTJOIN(CHAR(10), TRUE, (""Step ""&amp; ROW(INDIRECT(""1:"" &amp; COUNTA(SPLIT(J154, CHAR(10))))) &amp; "": "" &amp; TRANSPOSE(SPLIT(J154, CHAR(10)))))))"),"Input test step")</f>
        <v>Input test step</v>
      </c>
      <c r="L154" s="14" t="s">
        <v>4026</v>
      </c>
      <c r="M154" s="12"/>
      <c r="N154" s="12"/>
      <c r="O154" s="12"/>
      <c r="P154" s="38"/>
    </row>
    <row r="155">
      <c r="A155" s="37"/>
      <c r="B155" s="37"/>
      <c r="C155" s="37"/>
      <c r="D155" s="37"/>
      <c r="E155" s="37"/>
      <c r="F155" s="12"/>
      <c r="G155" s="12"/>
      <c r="H155" s="12"/>
      <c r="I155" s="12"/>
      <c r="J155" s="12"/>
      <c r="K155" s="13" t="str">
        <f>IFERROR(__xludf.DUMMYFUNCTION("IF(ISBLANK(J155), ""Input test step"", ARRAYFORMULA(TEXTJOIN(CHAR(10), TRUE, (""Step ""&amp; ROW(INDIRECT(""1:"" &amp; COUNTA(SPLIT(J155, CHAR(10))))) &amp; "": "" &amp; TRANSPOSE(SPLIT(J155, CHAR(10)))))))"),"Input test step")</f>
        <v>Input test step</v>
      </c>
      <c r="L155" s="14"/>
      <c r="M155" s="12"/>
      <c r="N155" s="12"/>
      <c r="O155" s="12"/>
      <c r="P155" s="38"/>
    </row>
    <row r="156">
      <c r="A156" s="37"/>
      <c r="B156" s="37"/>
      <c r="C156" s="37"/>
      <c r="D156" s="37"/>
      <c r="E156" s="37"/>
      <c r="F156" s="12"/>
      <c r="G156" s="12"/>
      <c r="H156" s="12"/>
      <c r="I156" s="12"/>
      <c r="J156" s="12"/>
      <c r="K156" s="13" t="str">
        <f>IFERROR(__xludf.DUMMYFUNCTION("IF(ISBLANK(J156), ""Input test step"", ARRAYFORMULA(TEXTJOIN(CHAR(10), TRUE, (""Step ""&amp; ROW(INDIRECT(""1:"" &amp; COUNTA(SPLIT(J156, CHAR(10))))) &amp; "": "" &amp; TRANSPOSE(SPLIT(J156, CHAR(10)))))))"),"Input test step")</f>
        <v>Input test step</v>
      </c>
      <c r="L156" s="14"/>
      <c r="M156" s="12"/>
      <c r="N156" s="12"/>
      <c r="O156" s="12"/>
      <c r="P156" s="38"/>
    </row>
    <row r="157">
      <c r="A157" s="37"/>
      <c r="B157" s="37"/>
      <c r="C157" s="37"/>
      <c r="D157" s="37"/>
      <c r="E157" s="37"/>
      <c r="F157" s="12"/>
      <c r="G157" s="12"/>
      <c r="H157" s="12"/>
      <c r="I157" s="12"/>
      <c r="J157" s="12"/>
      <c r="K157" s="13" t="str">
        <f>IFERROR(__xludf.DUMMYFUNCTION("IF(ISBLANK(J157), ""Input test step"", ARRAYFORMULA(TEXTJOIN(CHAR(10), TRUE, (""Step ""&amp; ROW(INDIRECT(""1:"" &amp; COUNTA(SPLIT(J157, CHAR(10))))) &amp; "": "" &amp; TRANSPOSE(SPLIT(J157, CHAR(10)))))))"),"Input test step")</f>
        <v>Input test step</v>
      </c>
      <c r="L157" s="14"/>
      <c r="M157" s="12"/>
      <c r="N157" s="12"/>
      <c r="O157" s="12"/>
      <c r="P157" s="38"/>
    </row>
    <row r="158">
      <c r="A158" s="37"/>
      <c r="B158" s="37"/>
      <c r="C158" s="37"/>
      <c r="D158" s="37"/>
      <c r="E158" s="37"/>
      <c r="F158" s="12"/>
      <c r="G158" s="12"/>
      <c r="H158" s="12"/>
      <c r="I158" s="12"/>
      <c r="J158" s="12"/>
      <c r="K158" s="13" t="str">
        <f>IFERROR(__xludf.DUMMYFUNCTION("IF(ISBLANK(J158), ""Input test step"", ARRAYFORMULA(TEXTJOIN(CHAR(10), TRUE, (""Step ""&amp; ROW(INDIRECT(""1:"" &amp; COUNTA(SPLIT(J158, CHAR(10))))) &amp; "": "" &amp; TRANSPOSE(SPLIT(J158, CHAR(10)))))))"),"Input test step")</f>
        <v>Input test step</v>
      </c>
      <c r="L158" s="14"/>
      <c r="M158" s="12"/>
      <c r="N158" s="12"/>
      <c r="O158" s="12"/>
      <c r="P158" s="38"/>
    </row>
    <row r="159">
      <c r="A159" s="37"/>
      <c r="B159" s="37"/>
      <c r="C159" s="37"/>
      <c r="D159" s="37"/>
      <c r="E159" s="37"/>
      <c r="F159" s="12"/>
      <c r="G159" s="12"/>
      <c r="H159" s="12"/>
      <c r="I159" s="12"/>
      <c r="J159" s="12"/>
      <c r="K159" s="13" t="str">
        <f>IFERROR(__xludf.DUMMYFUNCTION("IF(ISBLANK(J159), ""Input test step"", ARRAYFORMULA(TEXTJOIN(CHAR(10), TRUE, (""Step ""&amp; ROW(INDIRECT(""1:"" &amp; COUNTA(SPLIT(J159, CHAR(10))))) &amp; "": "" &amp; TRANSPOSE(SPLIT(J159, CHAR(10)))))))"),"Input test step")</f>
        <v>Input test step</v>
      </c>
      <c r="L159" s="14"/>
      <c r="M159" s="12"/>
      <c r="N159" s="12"/>
      <c r="O159" s="12"/>
      <c r="P159" s="38"/>
    </row>
    <row r="160">
      <c r="A160" s="37"/>
      <c r="B160" s="37"/>
      <c r="C160" s="37"/>
      <c r="D160" s="37"/>
      <c r="E160" s="37"/>
      <c r="F160" s="12"/>
      <c r="G160" s="12"/>
      <c r="H160" s="12"/>
      <c r="I160" s="12"/>
      <c r="J160" s="12"/>
      <c r="K160" s="13" t="str">
        <f>IFERROR(__xludf.DUMMYFUNCTION("IF(ISBLANK(J160), ""Input test step"", ARRAYFORMULA(TEXTJOIN(CHAR(10), TRUE, (""Step ""&amp; ROW(INDIRECT(""1:"" &amp; COUNTA(SPLIT(J160, CHAR(10))))) &amp; "": "" &amp; TRANSPOSE(SPLIT(J160, CHAR(10)))))))"),"Input test step")</f>
        <v>Input test step</v>
      </c>
      <c r="L160" s="14"/>
      <c r="M160" s="12"/>
      <c r="N160" s="12"/>
      <c r="O160" s="12"/>
      <c r="P160" s="38"/>
    </row>
    <row r="161">
      <c r="A161" s="37"/>
      <c r="B161" s="37"/>
      <c r="C161" s="37"/>
      <c r="D161" s="37"/>
      <c r="E161" s="37"/>
      <c r="F161" s="12"/>
      <c r="G161" s="12"/>
      <c r="H161" s="12"/>
      <c r="I161" s="12"/>
      <c r="J161" s="12"/>
      <c r="K161" s="13" t="str">
        <f>IFERROR(__xludf.DUMMYFUNCTION("IF(ISBLANK(J161), ""Input test step"", ARRAYFORMULA(TEXTJOIN(CHAR(10), TRUE, (""Step ""&amp; ROW(INDIRECT(""1:"" &amp; COUNTA(SPLIT(J161, CHAR(10))))) &amp; "": "" &amp; TRANSPOSE(SPLIT(J161, CHAR(10)))))))"),"Input test step")</f>
        <v>Input test step</v>
      </c>
      <c r="L161" s="14"/>
      <c r="M161" s="12"/>
      <c r="N161" s="12"/>
      <c r="O161" s="12"/>
      <c r="P161" s="38"/>
    </row>
    <row r="162">
      <c r="A162" s="37"/>
      <c r="B162" s="37"/>
      <c r="C162" s="37"/>
      <c r="D162" s="37"/>
      <c r="E162" s="37"/>
      <c r="F162" s="12"/>
      <c r="G162" s="12"/>
      <c r="H162" s="12"/>
      <c r="I162" s="12"/>
      <c r="J162" s="12"/>
      <c r="K162" s="13" t="str">
        <f>IFERROR(__xludf.DUMMYFUNCTION("IF(ISBLANK(J162), ""Input test step"", ARRAYFORMULA(TEXTJOIN(CHAR(10), TRUE, (""Step ""&amp; ROW(INDIRECT(""1:"" &amp; COUNTA(SPLIT(J162, CHAR(10))))) &amp; "": "" &amp; TRANSPOSE(SPLIT(J162, CHAR(10)))))))"),"Input test step")</f>
        <v>Input test step</v>
      </c>
      <c r="L162" s="14"/>
      <c r="M162" s="12"/>
      <c r="N162" s="12"/>
      <c r="O162" s="12"/>
      <c r="P162" s="38"/>
    </row>
    <row r="163">
      <c r="A163" s="37"/>
      <c r="B163" s="37"/>
      <c r="C163" s="37"/>
      <c r="D163" s="37"/>
      <c r="E163" s="37"/>
      <c r="F163" s="12"/>
      <c r="G163" s="12"/>
      <c r="H163" s="12"/>
      <c r="I163" s="12"/>
      <c r="J163" s="12"/>
      <c r="K163" s="13" t="str">
        <f>IFERROR(__xludf.DUMMYFUNCTION("IF(ISBLANK(J163), ""Input test step"", ARRAYFORMULA(TEXTJOIN(CHAR(10), TRUE, (""Step ""&amp; ROW(INDIRECT(""1:"" &amp; COUNTA(SPLIT(J163, CHAR(10))))) &amp; "": "" &amp; TRANSPOSE(SPLIT(J163, CHAR(10)))))))"),"Input test step")</f>
        <v>Input test step</v>
      </c>
      <c r="L163" s="14"/>
      <c r="M163" s="12"/>
      <c r="N163" s="12"/>
      <c r="O163" s="12"/>
      <c r="P163" s="38"/>
    </row>
    <row r="164">
      <c r="A164" s="37"/>
      <c r="B164" s="37"/>
      <c r="C164" s="37"/>
      <c r="D164" s="37"/>
      <c r="E164" s="37"/>
      <c r="F164" s="12"/>
      <c r="G164" s="12"/>
      <c r="H164" s="12"/>
      <c r="I164" s="12"/>
      <c r="J164" s="12"/>
      <c r="K164" s="13" t="str">
        <f>IFERROR(__xludf.DUMMYFUNCTION("IF(ISBLANK(J164), ""Input test step"", ARRAYFORMULA(TEXTJOIN(CHAR(10), TRUE, (""Step ""&amp; ROW(INDIRECT(""1:"" &amp; COUNTA(SPLIT(J164, CHAR(10))))) &amp; "": "" &amp; TRANSPOSE(SPLIT(J164, CHAR(10)))))))"),"Input test step")</f>
        <v>Input test step</v>
      </c>
      <c r="L164" s="14"/>
      <c r="M164" s="12"/>
      <c r="N164" s="12"/>
      <c r="O164" s="12"/>
      <c r="P164" s="38"/>
    </row>
    <row r="165">
      <c r="A165" s="37"/>
      <c r="B165" s="37"/>
      <c r="C165" s="37"/>
      <c r="D165" s="37"/>
      <c r="E165" s="37"/>
      <c r="F165" s="12"/>
      <c r="G165" s="12"/>
      <c r="H165" s="12"/>
      <c r="I165" s="12"/>
      <c r="J165" s="12"/>
      <c r="K165" s="13" t="str">
        <f>IFERROR(__xludf.DUMMYFUNCTION("IF(ISBLANK(J165), ""Input test step"", ARRAYFORMULA(TEXTJOIN(CHAR(10), TRUE, (""Step ""&amp; ROW(INDIRECT(""1:"" &amp; COUNTA(SPLIT(J165, CHAR(10))))) &amp; "": "" &amp; TRANSPOSE(SPLIT(J165, CHAR(10)))))))"),"Input test step")</f>
        <v>Input test step</v>
      </c>
      <c r="L165" s="14"/>
      <c r="M165" s="12"/>
      <c r="N165" s="12"/>
      <c r="O165" s="12"/>
      <c r="P165" s="38"/>
    </row>
    <row r="166">
      <c r="A166" s="37"/>
      <c r="B166" s="37"/>
      <c r="C166" s="37"/>
      <c r="D166" s="37"/>
      <c r="E166" s="37"/>
      <c r="F166" s="12"/>
      <c r="G166" s="12"/>
      <c r="H166" s="12"/>
      <c r="I166" s="12"/>
      <c r="J166" s="12"/>
      <c r="K166" s="13" t="str">
        <f>IFERROR(__xludf.DUMMYFUNCTION("IF(ISBLANK(J166), ""Input test step"", ARRAYFORMULA(TEXTJOIN(CHAR(10), TRUE, (""Step ""&amp; ROW(INDIRECT(""1:"" &amp; COUNTA(SPLIT(J166, CHAR(10))))) &amp; "": "" &amp; TRANSPOSE(SPLIT(J166, CHAR(10)))))))"),"Input test step")</f>
        <v>Input test step</v>
      </c>
      <c r="L166" s="14"/>
      <c r="M166" s="12"/>
      <c r="N166" s="12"/>
      <c r="O166" s="12"/>
      <c r="P166" s="3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sheetData>
  <mergeCells count="30">
    <mergeCell ref="G3:G12"/>
    <mergeCell ref="A4:B4"/>
    <mergeCell ref="C4:D4"/>
    <mergeCell ref="A6:B6"/>
    <mergeCell ref="C6:D6"/>
    <mergeCell ref="A8:D10"/>
    <mergeCell ref="G13:G25"/>
    <mergeCell ref="G26:G40"/>
    <mergeCell ref="G41:G45"/>
    <mergeCell ref="G46:G49"/>
    <mergeCell ref="G50:G53"/>
    <mergeCell ref="G54:G57"/>
    <mergeCell ref="G58:G60"/>
    <mergeCell ref="G61:G63"/>
    <mergeCell ref="G64:G66"/>
    <mergeCell ref="G67:G71"/>
    <mergeCell ref="G72:G76"/>
    <mergeCell ref="G77:G80"/>
    <mergeCell ref="G81:G88"/>
    <mergeCell ref="G89:G92"/>
    <mergeCell ref="G93:G103"/>
    <mergeCell ref="G131:G135"/>
    <mergeCell ref="G136:G138"/>
    <mergeCell ref="G104:G108"/>
    <mergeCell ref="G109:G112"/>
    <mergeCell ref="G113:G116"/>
    <mergeCell ref="G117:G120"/>
    <mergeCell ref="G121:G123"/>
    <mergeCell ref="G124:G126"/>
    <mergeCell ref="G127:G130"/>
  </mergeCells>
  <dataValidations>
    <dataValidation type="list" allowBlank="1" showErrorMessage="1" sqref="B11">
      <formula1>"MINH THUẬN,CẨM NHIÊN,Nhung"</formula1>
    </dataValidation>
    <dataValidation type="list" allowBlank="1" showErrorMessage="1" sqref="O3:O138">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6.88"/>
    <col customWidth="1" min="10" max="10" width="14.63"/>
    <col customWidth="1" min="11" max="11" width="19.5"/>
    <col customWidth="1" min="12" max="12" width="23.75"/>
    <col customWidth="1" min="13" max="13" width="25.25"/>
    <col customWidth="1" min="14" max="14" width="24.25"/>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44</v>
      </c>
      <c r="B3" s="11">
        <f>COUNTIF(O:O,"Pass")</f>
        <v>9</v>
      </c>
      <c r="C3" s="11">
        <f>COUNTIF(O:O,"Fail")</f>
        <v>10</v>
      </c>
      <c r="D3" s="11">
        <f>COUNTIF(O:O,"Untest")</f>
        <v>0</v>
      </c>
      <c r="E3" s="8"/>
      <c r="F3" s="12" t="s">
        <v>361</v>
      </c>
      <c r="G3" s="12" t="s">
        <v>15</v>
      </c>
      <c r="H3" s="12" t="s">
        <v>362</v>
      </c>
      <c r="I3" s="12" t="s">
        <v>363</v>
      </c>
      <c r="J3" s="12" t="s">
        <v>364</v>
      </c>
      <c r="K3" s="13" t="str">
        <f>IFERROR(__xludf.DUMMYFUNCTION("IF(ISBLANK(J3), ""Input test step"", ARRAYFORMULA(TEXTJOIN(CHAR(10), TRUE, (""Step ""&amp; ROW(INDIRECT(""1:"" &amp; COUNTA(SPLIT(J3, CHAR(10))))) &amp; "": "" &amp; TRANSPOSE(SPLIT(J3, CHAR(10)))))))"),"Step 1: Navigate to Product Categories Page
Step 2: Verify Display the correct position, size and font of the ""Danh mục sản phẩm"" title")</f>
        <v>Step 1: Navigate to Product Categories Page
Step 2: Verify Display the correct position, size and font of the "Danh mục sản phẩm" title</v>
      </c>
      <c r="L3" s="14"/>
      <c r="M3" s="12" t="s">
        <v>365</v>
      </c>
      <c r="N3" s="12" t="s">
        <v>365</v>
      </c>
      <c r="O3" s="12" t="s">
        <v>1</v>
      </c>
      <c r="P3" s="12"/>
    </row>
    <row r="4">
      <c r="A4" s="15" t="s">
        <v>20</v>
      </c>
      <c r="B4" s="16"/>
      <c r="C4" s="17">
        <f>IFERROR(((B3+C3)/A3),0)</f>
        <v>0.4318181818</v>
      </c>
      <c r="D4" s="16"/>
      <c r="E4" s="18"/>
      <c r="F4" s="12" t="s">
        <v>366</v>
      </c>
      <c r="G4" s="12"/>
      <c r="H4" s="12" t="s">
        <v>367</v>
      </c>
      <c r="I4" s="12" t="s">
        <v>363</v>
      </c>
      <c r="J4" s="12" t="s">
        <v>368</v>
      </c>
      <c r="K4" s="13" t="str">
        <f>IFERROR(__xludf.DUMMYFUNCTION("IF(ISBLANK(J4), ""Input test step"", ARRAYFORMULA(TEXTJOIN(CHAR(10), TRUE, (""Step ""&amp; ROW(INDIRECT(""1:"" &amp; COUNTA(SPLIT(J4, CHAR(10))))) &amp; "": "" &amp; TRANSPOSE(SPLIT(J4, CHAR(10)))))))"),"Step 1: Navigate to Product Categories Page
Step 2: Verify Display the correct position, size, background color, border radius and border color of the search input ")</f>
        <v>Step 1: Navigate to Product Categories Page
Step 2: Verify Display the correct position, size, background color, border radius and border color of the search input </v>
      </c>
      <c r="L4" s="14"/>
      <c r="M4" s="12" t="s">
        <v>369</v>
      </c>
      <c r="N4" s="12" t="s">
        <v>370</v>
      </c>
      <c r="O4" s="12" t="s">
        <v>2</v>
      </c>
      <c r="P4" s="19"/>
    </row>
    <row r="5">
      <c r="A5" s="49" t="s">
        <v>26</v>
      </c>
      <c r="B5" s="24"/>
      <c r="C5" s="50">
        <f>IFERROR(B3/(B3+C3),0)</f>
        <v>0.4736842105</v>
      </c>
      <c r="D5" s="24"/>
      <c r="E5" s="18"/>
      <c r="F5" s="12" t="s">
        <v>371</v>
      </c>
      <c r="G5" s="12"/>
      <c r="H5" s="12" t="s">
        <v>372</v>
      </c>
      <c r="I5" s="12" t="s">
        <v>363</v>
      </c>
      <c r="J5" s="12" t="s">
        <v>373</v>
      </c>
      <c r="K5" s="13" t="str">
        <f>IFERROR(__xludf.DUMMYFUNCTION("IF(ISBLANK(J5), ""Input test step"", ARRAYFORMULA(TEXTJOIN(CHAR(10), TRUE, (""Step ""&amp; ROW(INDIRECT(""1:"" &amp; COUNTA(SPLIT(J5, CHAR(10))))) &amp; "": "" &amp; TRANSPOSE(SPLIT(J5, CHAR(10)))))))"),"Step 1: Navigate to Product Categories Page
Step 2: Verify the input tag is not misaligned when entering too many characters")</f>
        <v>Step 1: Navigate to Product Categories Page
Step 2: Verify the input tag is not misaligned when entering too many characters</v>
      </c>
      <c r="L5" s="14"/>
      <c r="M5" s="21" t="s">
        <v>374</v>
      </c>
      <c r="N5" s="21" t="s">
        <v>374</v>
      </c>
      <c r="O5" s="12" t="s">
        <v>1</v>
      </c>
      <c r="P5" s="19"/>
    </row>
    <row r="6">
      <c r="A6" s="26" t="s">
        <v>46</v>
      </c>
      <c r="B6" s="27" t="s">
        <v>47</v>
      </c>
      <c r="C6" s="28"/>
      <c r="D6" s="28"/>
      <c r="E6" s="18"/>
      <c r="F6" s="12" t="s">
        <v>375</v>
      </c>
      <c r="G6" s="12"/>
      <c r="H6" s="12" t="s">
        <v>376</v>
      </c>
      <c r="I6" s="12" t="s">
        <v>363</v>
      </c>
      <c r="J6" s="12" t="s">
        <v>377</v>
      </c>
      <c r="K6" s="13" t="str">
        <f>IFERROR(__xludf.DUMMYFUNCTION("IF(ISBLANK(J6), ""Input test step"", ARRAYFORMULA(TEXTJOIN(CHAR(10), TRUE, (""Step ""&amp; ROW(INDIRECT(""1:"" &amp; COUNTA(SPLIT(J6, CHAR(10))))) &amp; "": "" &amp; TRANSPOSE(SPLIT(J6, CHAR(10)))))))"),"Step 1: Navigate to Product Categories Page
Step 2: Display correctly the plahoder of input tag ")</f>
        <v>Step 1: Navigate to Product Categories Page
Step 2: Display correctly the plahoder of input tag </v>
      </c>
      <c r="L6" s="14"/>
      <c r="M6" s="12" t="s">
        <v>378</v>
      </c>
      <c r="N6" s="12" t="s">
        <v>379</v>
      </c>
      <c r="O6" s="12" t="s">
        <v>2</v>
      </c>
      <c r="P6" s="19"/>
    </row>
    <row r="7">
      <c r="A7" s="28"/>
      <c r="B7" s="28"/>
      <c r="C7" s="28"/>
      <c r="D7" s="28"/>
      <c r="E7" s="18"/>
      <c r="F7" s="12" t="s">
        <v>380</v>
      </c>
      <c r="G7" s="12"/>
      <c r="H7" s="12" t="s">
        <v>381</v>
      </c>
      <c r="I7" s="12" t="s">
        <v>363</v>
      </c>
      <c r="J7" s="12" t="s">
        <v>382</v>
      </c>
      <c r="K7" s="13" t="str">
        <f>IFERROR(__xludf.DUMMYFUNCTION("IF(ISBLANK(J7), ""Input test step"", ARRAYFORMULA(TEXTJOIN(CHAR(10), TRUE, (""Step ""&amp; ROW(INDIRECT(""1:"" &amp; COUNTA(SPLIT(J7, CHAR(10))))) &amp; "": "" &amp; TRANSPOSE(SPLIT(J7, CHAR(10)))))))"),"Step 1: Navigate to Product Categories Page
Step 2: Verify The horizontal scroll bar can scroll back and forth")</f>
        <v>Step 1: Navigate to Product Categories Page
Step 2: Verify The horizontal scroll bar can scroll back and forth</v>
      </c>
      <c r="L7" s="14"/>
      <c r="M7" s="12" t="s">
        <v>383</v>
      </c>
      <c r="N7" s="12" t="s">
        <v>383</v>
      </c>
      <c r="O7" s="12" t="s">
        <v>1</v>
      </c>
      <c r="P7" s="19"/>
    </row>
    <row r="8">
      <c r="A8" s="28"/>
      <c r="B8" s="28"/>
      <c r="C8" s="28"/>
      <c r="D8" s="28"/>
      <c r="E8" s="18"/>
      <c r="F8" s="12" t="s">
        <v>384</v>
      </c>
      <c r="G8" s="12"/>
      <c r="H8" s="12" t="s">
        <v>385</v>
      </c>
      <c r="I8" s="12" t="s">
        <v>363</v>
      </c>
      <c r="J8" s="12" t="s">
        <v>386</v>
      </c>
      <c r="K8" s="13" t="str">
        <f>IFERROR(__xludf.DUMMYFUNCTION("IF(ISBLANK(J8), ""Input test step"", ARRAYFORMULA(TEXTJOIN(CHAR(10), TRUE, (""Step ""&amp; ROW(INDIRECT(""1:"" &amp; COUNTA(SPLIT(J8, CHAR(10))))) &amp; "": "" &amp; TRANSPOSE(SPLIT(J8, CHAR(10)))))))"),"Step 1: Navigate to Product Categories Page
Step 2: Verify the product is fully visible and not cut off or obscured when scrolling horizontally.")</f>
        <v>Step 1: Navigate to Product Categories Page
Step 2: Verify the product is fully visible and not cut off or obscured when scrolling horizontally.</v>
      </c>
      <c r="L8" s="14"/>
      <c r="M8" s="12" t="s">
        <v>387</v>
      </c>
      <c r="N8" s="12" t="s">
        <v>387</v>
      </c>
      <c r="O8" s="12" t="s">
        <v>1</v>
      </c>
      <c r="P8" s="19"/>
    </row>
    <row r="9">
      <c r="A9" s="28"/>
      <c r="B9" s="28"/>
      <c r="C9" s="28"/>
      <c r="D9" s="28"/>
      <c r="E9" s="18"/>
      <c r="F9" s="12" t="s">
        <v>388</v>
      </c>
      <c r="G9" s="12"/>
      <c r="H9" s="12" t="s">
        <v>389</v>
      </c>
      <c r="I9" s="12" t="s">
        <v>363</v>
      </c>
      <c r="J9" s="12" t="s">
        <v>390</v>
      </c>
      <c r="K9" s="13" t="str">
        <f>IFERROR(__xludf.DUMMYFUNCTION("IF(ISBLANK(J9), ""Input test step"", ARRAYFORMULA(TEXTJOIN(CHAR(10), TRUE, (""Step ""&amp; ROW(INDIRECT(""1:"" &amp; COUNTA(SPLIT(J9, CHAR(10))))) &amp; "": "" &amp; TRANSPOSE(SPLIT(J9, CHAR(10)))))))"),"Step 1: Navigate to Product Categories Page
Step 2: Choose a item in the horizontal scroll bar
Step 3: Verify the selected item in the horizontal scroll bar is black color and centered")</f>
        <v>Step 1: Navigate to Product Categories Page
Step 2: Choose a item in the horizontal scroll bar
Step 3: Verify the selected item in the horizontal scroll bar is black color and centered</v>
      </c>
      <c r="L9" s="14"/>
      <c r="M9" s="12" t="s">
        <v>391</v>
      </c>
      <c r="N9" s="12" t="s">
        <v>392</v>
      </c>
      <c r="O9" s="12" t="s">
        <v>2</v>
      </c>
      <c r="P9" s="19"/>
    </row>
    <row r="10">
      <c r="A10" s="28"/>
      <c r="B10" s="28"/>
      <c r="C10" s="28"/>
      <c r="D10" s="28"/>
      <c r="E10" s="18"/>
      <c r="F10" s="12" t="s">
        <v>393</v>
      </c>
      <c r="G10" s="12"/>
      <c r="H10" s="12" t="s">
        <v>394</v>
      </c>
      <c r="I10" s="12" t="s">
        <v>363</v>
      </c>
      <c r="J10" s="12" t="s">
        <v>395</v>
      </c>
      <c r="K10" s="13" t="str">
        <f>IFERROR(__xludf.DUMMYFUNCTION("IF(ISBLANK(J10), ""Input test step"", ARRAYFORMULA(TEXTJOIN(CHAR(10), TRUE, (""Step ""&amp; ROW(INDIRECT(""1:"" &amp; COUNTA(SPLIT(J10, CHAR(10))))) &amp; "": "" &amp; TRANSPOSE(SPLIT(J10, CHAR(10)))))))"),"Step 1: Navigate to Product Categories Page
Step 2: Verify display correctly position, size of the horizontal scroll bar")</f>
        <v>Step 1: Navigate to Product Categories Page
Step 2: Verify display correctly position, size of the horizontal scroll bar</v>
      </c>
      <c r="L10" s="14"/>
      <c r="M10" s="12" t="s">
        <v>396</v>
      </c>
      <c r="N10" s="12"/>
      <c r="O10" s="12" t="s">
        <v>1</v>
      </c>
      <c r="P10" s="19"/>
    </row>
    <row r="11">
      <c r="A11" s="28"/>
      <c r="B11" s="28"/>
      <c r="C11" s="28"/>
      <c r="D11" s="28"/>
      <c r="E11" s="18"/>
      <c r="F11" s="12" t="s">
        <v>397</v>
      </c>
      <c r="G11" s="12"/>
      <c r="H11" s="51" t="s">
        <v>398</v>
      </c>
      <c r="I11" s="12" t="s">
        <v>363</v>
      </c>
      <c r="J11" s="12" t="s">
        <v>399</v>
      </c>
      <c r="K11" s="13" t="str">
        <f>IFERROR(__xludf.DUMMYFUNCTION("IF(ISBLANK(J11), ""Input test step"", ARRAYFORMULA(TEXTJOIN(CHAR(10), TRUE, (""Step ""&amp; ROW(INDIRECT(""1:"" &amp; COUNTA(SPLIT(J11, CHAR(10))))) &amp; "": "" &amp; TRANSPOSE(SPLIT(J11, CHAR(10)))))))"),"Step 1: Navigate to Product Categories Page
Step 2: Verify Display correctly font of the item in horizontal scroll bar")</f>
        <v>Step 1: Navigate to Product Categories Page
Step 2: Verify Display correctly font of the item in horizontal scroll bar</v>
      </c>
      <c r="L11" s="12"/>
      <c r="M11" s="52" t="s">
        <v>400</v>
      </c>
      <c r="N11" s="12"/>
      <c r="O11" s="12" t="s">
        <v>1</v>
      </c>
      <c r="P11" s="19"/>
    </row>
    <row r="12">
      <c r="A12" s="28"/>
      <c r="B12" s="28"/>
      <c r="C12" s="28"/>
      <c r="D12" s="28"/>
      <c r="E12" s="18"/>
      <c r="F12" s="12"/>
      <c r="G12" s="12"/>
      <c r="H12" s="12" t="s">
        <v>401</v>
      </c>
      <c r="I12" s="12" t="s">
        <v>363</v>
      </c>
      <c r="J12" s="12" t="s">
        <v>402</v>
      </c>
      <c r="K12" s="13" t="str">
        <f>IFERROR(__xludf.DUMMYFUNCTION("IF(ISBLANK(J12), ""Input test step"", ARRAYFORMULA(TEXTJOIN(CHAR(10), TRUE, (""Step ""&amp; ROW(INDIRECT(""1:"" &amp; COUNTA(SPLIT(J12, CHAR(10))))) &amp; "": "" &amp; TRANSPOSE(SPLIT(J12, CHAR(10)))))))"),"Step 1: Navigate to Product Categories Page
Step 2: Verify  the loading indicator display during the data loading process.")</f>
        <v>Step 1: Navigate to Product Categories Page
Step 2: Verify  the loading indicator display during the data loading process.</v>
      </c>
      <c r="L12" s="14"/>
      <c r="M12" s="53" t="s">
        <v>403</v>
      </c>
      <c r="N12" s="12"/>
      <c r="O12" s="12" t="s">
        <v>2</v>
      </c>
      <c r="P12" s="19"/>
    </row>
    <row r="13">
      <c r="A13" s="28"/>
      <c r="B13" s="28"/>
      <c r="C13" s="28"/>
      <c r="D13" s="28"/>
      <c r="E13" s="18"/>
      <c r="F13" s="12" t="s">
        <v>404</v>
      </c>
      <c r="G13" s="12"/>
      <c r="H13" s="12" t="s">
        <v>405</v>
      </c>
      <c r="I13" s="12" t="s">
        <v>363</v>
      </c>
      <c r="J13" s="12" t="s">
        <v>406</v>
      </c>
      <c r="K13" s="13" t="str">
        <f>IFERROR(__xludf.DUMMYFUNCTION("IF(ISBLANK(J13), ""Input test step"", ARRAYFORMULA(TEXTJOIN(CHAR(10), TRUE, (""Step ""&amp; ROW(INDIRECT(""1:"" &amp; COUNTA(SPLIT(J13, CHAR(10))))) &amp; "": "" &amp; TRANSPOSE(SPLIT(J13, CHAR(10)))))))"),"Step 1: Navigate to Product Categories Page
Step 2: Verify Display correctly position of the product list ")</f>
        <v>Step 1: Navigate to Product Categories Page
Step 2: Verify Display correctly position of the product list </v>
      </c>
      <c r="L13" s="14"/>
      <c r="M13" s="12" t="s">
        <v>407</v>
      </c>
      <c r="N13" s="12"/>
      <c r="O13" s="12" t="s">
        <v>1</v>
      </c>
      <c r="P13" s="19"/>
    </row>
    <row r="14">
      <c r="A14" s="28"/>
      <c r="B14" s="28"/>
      <c r="C14" s="28"/>
      <c r="D14" s="28"/>
      <c r="E14" s="18"/>
      <c r="F14" s="12" t="s">
        <v>408</v>
      </c>
      <c r="G14" s="12"/>
      <c r="H14" s="12" t="s">
        <v>409</v>
      </c>
      <c r="I14" s="12" t="s">
        <v>363</v>
      </c>
      <c r="J14" s="12" t="s">
        <v>410</v>
      </c>
      <c r="K14" s="13" t="str">
        <f>IFERROR(__xludf.DUMMYFUNCTION("IF(ISBLANK(J14), ""Input test step"", ARRAYFORMULA(TEXTJOIN(CHAR(10), TRUE, (""Step ""&amp; ROW(INDIRECT(""1:"" &amp; COUNTA(SPLIT(J14, CHAR(10))))) &amp; "": "" &amp; TRANSPOSE(SPLIT(J14, CHAR(10)))))))"),"Step 1: Navigate to Product Categories Page
Step 2: Verify Display correctly position, size of the product component")</f>
        <v>Step 1: Navigate to Product Categories Page
Step 2: Verify Display correctly position, size of the product component</v>
      </c>
      <c r="L14" s="14"/>
      <c r="M14" s="12" t="s">
        <v>411</v>
      </c>
      <c r="N14" s="12"/>
      <c r="O14" s="12" t="s">
        <v>2</v>
      </c>
      <c r="P14" s="19"/>
    </row>
    <row r="15">
      <c r="A15" s="28"/>
      <c r="B15" s="28"/>
      <c r="C15" s="28"/>
      <c r="D15" s="28"/>
      <c r="E15" s="18"/>
      <c r="F15" s="12" t="s">
        <v>412</v>
      </c>
      <c r="G15" s="12"/>
      <c r="H15" s="51" t="s">
        <v>413</v>
      </c>
      <c r="I15" s="12" t="s">
        <v>363</v>
      </c>
      <c r="J15" s="12" t="s">
        <v>414</v>
      </c>
      <c r="K15" s="13" t="str">
        <f>IFERROR(__xludf.DUMMYFUNCTION("IF(ISBLANK(J15), ""Input test step"", ARRAYFORMULA(TEXTJOIN(CHAR(10), TRUE, (""Step ""&amp; ROW(INDIRECT(""1:"" &amp; COUNTA(SPLIT(J15, CHAR(10))))) &amp; "": "" &amp; TRANSPOSE(SPLIT(J15, CHAR(10)))))))"),"Step 1: Navigate to Product Categories Page
Step 2: Use the mouse to drag right or left on the scroll bar.
Step 3: Verify the mouse to drag right or left the scroll bar.")</f>
        <v>Step 1: Navigate to Product Categories Page
Step 2: Use the mouse to drag right or left on the scroll bar.
Step 3: Verify the mouse to drag right or left the scroll bar.</v>
      </c>
      <c r="L15" s="14"/>
      <c r="M15" s="12" t="s">
        <v>415</v>
      </c>
      <c r="N15" s="12"/>
      <c r="O15" s="12" t="s">
        <v>1</v>
      </c>
      <c r="P15" s="19"/>
    </row>
    <row r="16">
      <c r="A16" s="28"/>
      <c r="B16" s="28"/>
      <c r="C16" s="28"/>
      <c r="D16" s="28"/>
      <c r="E16" s="18"/>
      <c r="F16" s="12" t="s">
        <v>416</v>
      </c>
      <c r="G16" s="12"/>
      <c r="H16" s="12" t="s">
        <v>417</v>
      </c>
      <c r="I16" s="12" t="s">
        <v>363</v>
      </c>
      <c r="J16" s="12" t="s">
        <v>418</v>
      </c>
      <c r="K16" s="13" t="str">
        <f>IFERROR(__xludf.DUMMYFUNCTION("IF(ISBLANK(J16), ""Input test step"", ARRAYFORMULA(TEXTJOIN(CHAR(10), TRUE, (""Step ""&amp; ROW(INDIRECT(""1:"" &amp; COUNTA(SPLIT(J16, CHAR(10))))) &amp; "": "" &amp; TRANSPOSE(SPLIT(J16, CHAR(10)))))))"),"Step 1: Navigate to Product Categories Page
Step 2: Use the mouse to drag up or down the scroll bar.
Step 3: Verify the mouse to drag up or down the scroll bar.")</f>
        <v>Step 1: Navigate to Product Categories Page
Step 2: Use the mouse to drag up or down the scroll bar.
Step 3: Verify the mouse to drag up or down the scroll bar.</v>
      </c>
      <c r="L16" s="14"/>
      <c r="M16" s="12" t="s">
        <v>415</v>
      </c>
      <c r="N16" s="12"/>
      <c r="O16" s="12" t="s">
        <v>2</v>
      </c>
      <c r="P16" s="19"/>
    </row>
    <row r="17">
      <c r="A17" s="28"/>
      <c r="B17" s="28"/>
      <c r="C17" s="28"/>
      <c r="D17" s="28"/>
      <c r="E17" s="18"/>
      <c r="F17" s="12" t="s">
        <v>419</v>
      </c>
      <c r="G17" s="12" t="s">
        <v>420</v>
      </c>
      <c r="H17" s="12" t="s">
        <v>421</v>
      </c>
      <c r="I17" s="12" t="s">
        <v>363</v>
      </c>
      <c r="J17" s="12" t="s">
        <v>422</v>
      </c>
      <c r="K17" s="13" t="str">
        <f>IFERROR(__xludf.DUMMYFUNCTION("IF(ISBLANK(J17), ""Input test step"", ARRAYFORMULA(TEXTJOIN(CHAR(10), TRUE, (""Step ""&amp; ROW(INDIRECT(""1:"" &amp; COUNTA(SPLIT(J17, CHAR(10))))) &amp; "": "" &amp; TRANSPOSE(SPLIT(J17, CHAR(10)))))))"),"Step 1: Navigate to Product Categories Page
Step 2: Verify the data list displays correctly formatted, including alignment, spacing, and size")</f>
        <v>Step 1: Navigate to Product Categories Page
Step 2: Verify the data list displays correctly formatted, including alignment, spacing, and size</v>
      </c>
      <c r="L17" s="14"/>
      <c r="M17" s="12" t="s">
        <v>423</v>
      </c>
      <c r="N17" s="12"/>
      <c r="O17" s="12" t="s">
        <v>1</v>
      </c>
      <c r="P17" s="19"/>
    </row>
    <row r="18">
      <c r="A18" s="28"/>
      <c r="B18" s="28"/>
      <c r="C18" s="28"/>
      <c r="D18" s="28"/>
      <c r="E18" s="18"/>
      <c r="F18" s="12" t="s">
        <v>424</v>
      </c>
      <c r="G18" s="12"/>
      <c r="H18" s="12" t="s">
        <v>425</v>
      </c>
      <c r="I18" s="12" t="s">
        <v>363</v>
      </c>
      <c r="J18" s="31" t="s">
        <v>426</v>
      </c>
      <c r="K18" s="13" t="str">
        <f>IFERROR(__xludf.DUMMYFUNCTION("IF(ISBLANK(J18), ""Input test step"", ARRAYFORMULA(TEXTJOIN(CHAR(10), TRUE, (""Step ""&amp; ROW(INDIRECT(""1:"" &amp; COUNTA(SPLIT(J18, CHAR(10))))) &amp; "": "" &amp; TRANSPOSE(SPLIT(J18, CHAR(10)))))))"),"Step 1: Navigate to the Product Category Page
Step 2: Click on the search box on the screen interface
Step 3: Enter  input data 
Step 4: Verify the suggestion list does not exceed the predefined maximum number")</f>
        <v>Step 1: Navigate to the Product Category Page
Step 2: Click on the search box on the screen interface
Step 3: Enter  input data 
Step 4: Verify the suggestion list does not exceed the predefined maximum number</v>
      </c>
      <c r="L18" s="14"/>
      <c r="M18" s="12" t="s">
        <v>427</v>
      </c>
      <c r="N18" s="12"/>
      <c r="O18" s="12" t="s">
        <v>2</v>
      </c>
      <c r="P18" s="19"/>
    </row>
    <row r="19">
      <c r="A19" s="28"/>
      <c r="B19" s="28"/>
      <c r="C19" s="28"/>
      <c r="D19" s="28"/>
      <c r="E19" s="18"/>
      <c r="F19" s="12"/>
      <c r="G19" s="12"/>
      <c r="H19" s="12" t="s">
        <v>428</v>
      </c>
      <c r="I19" s="12" t="s">
        <v>363</v>
      </c>
      <c r="J19" s="31"/>
      <c r="K19" s="13" t="str">
        <f>IFERROR(__xludf.DUMMYFUNCTION("IF(ISBLANK(J19), ""Input test step"", ARRAYFORMULA(TEXTJOIN(CHAR(10), TRUE, (""Step ""&amp; ROW(INDIRECT(""1:"" &amp; COUNTA(SPLIT(J19, CHAR(10))))) &amp; "": "" &amp; TRANSPOSE(SPLIT(J19, CHAR(10)))))))"),"Input test step")</f>
        <v>Input test step</v>
      </c>
      <c r="L19" s="14"/>
      <c r="M19" s="12"/>
      <c r="N19" s="12"/>
      <c r="O19" s="12"/>
      <c r="P19" s="19"/>
    </row>
    <row r="20">
      <c r="A20" s="28"/>
      <c r="B20" s="28"/>
      <c r="C20" s="28"/>
      <c r="D20" s="28"/>
      <c r="E20" s="18"/>
      <c r="F20" s="12"/>
      <c r="G20" s="12"/>
      <c r="H20" s="54" t="s">
        <v>429</v>
      </c>
      <c r="I20" s="12" t="s">
        <v>363</v>
      </c>
      <c r="J20" s="31" t="s">
        <v>430</v>
      </c>
      <c r="K20" s="13" t="str">
        <f>IFERROR(__xludf.DUMMYFUNCTION("IF(ISBLANK(J20), ""Input test step"", ARRAYFORMULA(TEXTJOIN(CHAR(10), TRUE, (""Step ""&amp; ROW(INDIRECT(""1:"" &amp; COUNTA(SPLIT(J20, CHAR(10))))) &amp; "": "" &amp; TRANSPOSE(SPLIT(J20, CHAR(10)))))))"),"Step 1: Navigate to the Product Category Page
Step 2: Click on the search box on the screen interface
Step 3: Verify the title ""Gợi ý tìm kiếm"" is display correctly")</f>
        <v>Step 1: Navigate to the Product Category Page
Step 2: Click on the search box on the screen interface
Step 3: Verify the title "Gợi ý tìm kiếm" is display correctly</v>
      </c>
      <c r="L20" s="14"/>
      <c r="M20" s="12" t="s">
        <v>431</v>
      </c>
      <c r="N20" s="12" t="s">
        <v>432</v>
      </c>
      <c r="O20" s="12" t="s">
        <v>2</v>
      </c>
      <c r="P20" s="19"/>
    </row>
    <row r="21">
      <c r="A21" s="28"/>
      <c r="B21" s="28"/>
      <c r="C21" s="28"/>
      <c r="D21" s="28"/>
      <c r="E21" s="18"/>
      <c r="F21" s="12" t="s">
        <v>433</v>
      </c>
      <c r="G21" s="12"/>
      <c r="H21" s="12" t="s">
        <v>434</v>
      </c>
      <c r="I21" s="12" t="s">
        <v>363</v>
      </c>
      <c r="J21" s="31" t="s">
        <v>435</v>
      </c>
      <c r="K21" s="13" t="str">
        <f>IFERROR(__xludf.DUMMYFUNCTION("IF(ISBLANK(J21), ""Input test step"", ARRAYFORMULA(TEXTJOIN(CHAR(10), TRUE, (""Step ""&amp; ROW(INDIRECT(""1:"" &amp; COUNTA(SPLIT(J21, CHAR(10))))) &amp; "": "" &amp; TRANSPOSE(SPLIT(J21, CHAR(10)))))))"),"Step 1: Navigate to the Product Category Page
Step 2: Click on the search box on the screen interface
Step 3: Enter  input data 
Step 4: Verify the suggestion list automatically closes when the user clicks outside the list.")</f>
        <v>Step 1: Navigate to the Product Category Page
Step 2: Click on the search box on the screen interface
Step 3: Enter  input data 
Step 4: Verify the suggestion list automatically closes when the user clicks outside the list.</v>
      </c>
      <c r="L21" s="14"/>
      <c r="M21" s="12" t="s">
        <v>436</v>
      </c>
      <c r="N21" s="12"/>
      <c r="O21" s="12" t="s">
        <v>2</v>
      </c>
      <c r="P21" s="19"/>
    </row>
    <row r="22">
      <c r="A22" s="28"/>
      <c r="B22" s="28"/>
      <c r="C22" s="28"/>
      <c r="D22" s="28"/>
      <c r="E22" s="18"/>
      <c r="F22" s="12" t="s">
        <v>437</v>
      </c>
      <c r="G22" s="55" t="s">
        <v>438</v>
      </c>
      <c r="H22" s="12" t="s">
        <v>439</v>
      </c>
      <c r="I22" s="12" t="s">
        <v>440</v>
      </c>
      <c r="J22" s="31" t="s">
        <v>441</v>
      </c>
      <c r="K22" s="13" t="str">
        <f>IFERROR(__xludf.DUMMYFUNCTION("IF(ISBLANK(J22), ""Input test step"", ARRAYFORMULA(TEXTJOIN(CHAR(10), TRUE, (""Step ""&amp; ROW(INDIRECT(""1:"" &amp; COUNTA(SPLIT(J22, CHAR(10))))) &amp; "": "" &amp; TRANSPOSE(SPLIT(J22, CHAR(10)))))))"),"Step 1: Navigate to the Product Categoty Page
Step 2: Click the search box on the screen interface
Step 3: Enter the blank spaces
Step 4: Press the enter key on the keyboard
Step 5: Verify the screen interface keep the same status when the input data is t"&amp;"he blank spaces")</f>
        <v>Step 1: Navigate to the Product Categoty Page
Step 2: Click the search box on the screen interface
Step 3: Enter the blank spaces
Step 4: Press the enter key on the keyboard
Step 5: Verify the screen interface keep the same status when the input data is the blank spaces</v>
      </c>
      <c r="L22" s="14"/>
      <c r="M22" s="12" t="s">
        <v>442</v>
      </c>
      <c r="N22" s="12"/>
      <c r="O22" s="12" t="s">
        <v>2</v>
      </c>
      <c r="P22" s="19"/>
    </row>
    <row r="23">
      <c r="A23" s="28"/>
      <c r="B23" s="28"/>
      <c r="C23" s="28"/>
      <c r="D23" s="28"/>
      <c r="E23" s="18"/>
      <c r="F23" s="12" t="s">
        <v>443</v>
      </c>
      <c r="G23" s="56"/>
      <c r="H23" s="12" t="s">
        <v>444</v>
      </c>
      <c r="I23" s="12" t="s">
        <v>440</v>
      </c>
      <c r="J23" s="31" t="s">
        <v>445</v>
      </c>
      <c r="K23" s="13" t="str">
        <f>IFERROR(__xludf.DUMMYFUNCTION("IF(ISBLANK(J23), ""Input test step"", ARRAYFORMULA(TEXTJOIN(CHAR(10), TRUE, (""Step ""&amp; ROW(INDIRECT(""1:"" &amp; COUNTA(SPLIT(J23, CHAR(10))))) &amp; "": "" &amp; TRANSPOSE(SPLIT(J23, CHAR(10)))))))"),"Step 1: Navigate to the Product Category Page
Step 2: Click on the search box on the screen interface
Step 3: Enter input data that does not exist in the system
Step 4: Press the enter key on the keyboard
Step 5: Verify that the ""No search results"" mess"&amp;"age is displayed when the returned list is empty")</f>
        <v>Step 1: Navigate to the Product Category Page
Step 2: Click on the search box on the screen interface
Step 3: Enter input data that does not exist in the system
Step 4: Press the enter key on the keyboard
Step 5: Verify that the "No search results" message is displayed when the returned list is empty</v>
      </c>
      <c r="L23" s="14" t="s">
        <v>446</v>
      </c>
      <c r="M23" s="12" t="s">
        <v>447</v>
      </c>
      <c r="N23" s="12"/>
      <c r="O23" s="12"/>
      <c r="P23" s="19"/>
    </row>
    <row r="24">
      <c r="A24" s="28"/>
      <c r="B24" s="28"/>
      <c r="C24" s="28"/>
      <c r="D24" s="28"/>
      <c r="E24" s="18"/>
      <c r="F24" s="12" t="s">
        <v>448</v>
      </c>
      <c r="G24" s="56"/>
      <c r="H24" s="12" t="s">
        <v>449</v>
      </c>
      <c r="I24" s="12" t="s">
        <v>450</v>
      </c>
      <c r="J24" s="31" t="s">
        <v>451</v>
      </c>
      <c r="K24" s="13" t="str">
        <f>IFERROR(__xludf.DUMMYFUNCTION("IF(ISBLANK(J24), ""Input test step"", ARRAYFORMULA(TEXTJOIN(CHAR(10), TRUE, (""Step ""&amp; ROW(INDIRECT(""1:"" &amp; COUNTA(SPLIT(J24, CHAR(10))))) &amp; "": "" &amp; TRANSPOSE(SPLIT(J24, CHAR(10)))))))"),"Step 1: Navigate to the Product Category Page
Step 2: Click on the search box on the screen interface
Step 3: Enter input data 
Step 4: Press the enter key on the keyboard
Step 5: Verify that display a list of data containing the search keyword")</f>
        <v>Step 1: Navigate to the Product Category Page
Step 2: Click on the search box on the screen interface
Step 3: Enter input data 
Step 4: Press the enter key on the keyboard
Step 5: Verify that display a list of data containing the search keyword</v>
      </c>
      <c r="L24" s="14" t="s">
        <v>452</v>
      </c>
      <c r="M24" s="12" t="s">
        <v>453</v>
      </c>
      <c r="N24" s="12"/>
      <c r="O24" s="12"/>
      <c r="P24" s="19"/>
    </row>
    <row r="25">
      <c r="A25" s="28"/>
      <c r="B25" s="28"/>
      <c r="C25" s="28"/>
      <c r="D25" s="28"/>
      <c r="E25" s="18"/>
      <c r="F25" s="12" t="s">
        <v>454</v>
      </c>
      <c r="G25" s="56"/>
      <c r="H25" s="12" t="s">
        <v>455</v>
      </c>
      <c r="I25" s="12" t="s">
        <v>450</v>
      </c>
      <c r="J25" s="31" t="s">
        <v>456</v>
      </c>
      <c r="K25" s="13" t="str">
        <f>IFERROR(__xludf.DUMMYFUNCTION("IF(ISBLANK(J25), ""Input test step"", ARRAYFORMULA(TEXTJOIN(CHAR(10), TRUE, (""Step ""&amp; ROW(INDIRECT(""1:"" &amp; COUNTA(SPLIT(J25, CHAR(10))))) &amp; "": "" &amp; TRANSPOSE(SPLIT(J25, CHAR(10)))))))"),"Step 1: Navigate to the Product Category Page
Step 2: Click on the search box on the screen interface
Step 3: Enter uppercase or lowercase input data 
Step 4: Press the enter key on the keyboard
Step 5: Verify that display a list of data containing the se"&amp;"arch keyword")</f>
        <v>Step 1: Navigate to the Product Category Page
Step 2: Click on the search box on the screen interface
Step 3: Enter uppercase or lowercase input data 
Step 4: Press the enter key on the keyboard
Step 5: Verify that display a list of data containing the search keyword</v>
      </c>
      <c r="L25" s="14"/>
      <c r="M25" s="12" t="s">
        <v>453</v>
      </c>
      <c r="N25" s="12"/>
      <c r="O25" s="12"/>
      <c r="P25" s="19"/>
    </row>
    <row r="26">
      <c r="A26" s="28"/>
      <c r="B26" s="28"/>
      <c r="C26" s="28"/>
      <c r="D26" s="28"/>
      <c r="E26" s="18"/>
      <c r="F26" s="12" t="s">
        <v>457</v>
      </c>
      <c r="G26" s="56"/>
      <c r="H26" s="12" t="s">
        <v>458</v>
      </c>
      <c r="I26" s="12" t="s">
        <v>450</v>
      </c>
      <c r="J26" s="31" t="s">
        <v>459</v>
      </c>
      <c r="K26" s="13" t="str">
        <f>IFERROR(__xludf.DUMMYFUNCTION("IF(ISBLANK(J26), ""Input test step"", ARRAYFORMULA(TEXTJOIN(CHAR(10), TRUE, (""Step ""&amp; ROW(INDIRECT(""1:"" &amp; COUNTA(SPLIT(J26, CHAR(10))))) &amp; "": "" &amp; TRANSPOSE(SPLIT(J26, CHAR(10)))))))"),"Step 1: Navigate to the Product Category Page
Step 2: Click on the search box on the screen interface
Step 3: Verify the system navigate to Search product page when click the search box")</f>
        <v>Step 1: Navigate to the Product Category Page
Step 2: Click on the search box on the screen interface
Step 3: Verify the system navigate to Search product page when click the search box</v>
      </c>
      <c r="L26" s="14"/>
      <c r="M26" s="12" t="s">
        <v>460</v>
      </c>
      <c r="N26" s="12"/>
      <c r="O26" s="12"/>
      <c r="P26" s="19"/>
    </row>
    <row r="27">
      <c r="A27" s="28"/>
      <c r="B27" s="28"/>
      <c r="C27" s="28"/>
      <c r="D27" s="28"/>
      <c r="E27" s="18"/>
      <c r="F27" s="12" t="s">
        <v>461</v>
      </c>
      <c r="G27" s="56"/>
      <c r="H27" s="12" t="s">
        <v>462</v>
      </c>
      <c r="I27" s="12" t="s">
        <v>450</v>
      </c>
      <c r="J27" s="31" t="s">
        <v>463</v>
      </c>
      <c r="K27" s="13" t="str">
        <f>IFERROR(__xludf.DUMMYFUNCTION("IF(ISBLANK(J27), ""Input test step"", ARRAYFORMULA(TEXTJOIN(CHAR(10), TRUE, (""Step ""&amp; ROW(INDIRECT(""1:"" &amp; COUNTA(SPLIT(J27, CHAR(10))))) &amp; "": "" &amp; TRANSPOSE(SPLIT(J27, CHAR(10)))))))"),"Step 1: Navigate to the Product Category Page
Step 2: Click on the search box on the screen interface
Step 3: Enter  input data 
Step 4: Verify  that automatically displays suggestions data list below the search box""")</f>
        <v>Step 1: Navigate to the Product Category Page
Step 2: Click on the search box on the screen interface
Step 3: Enter  input data 
Step 4: Verify  that automatically displays suggestions data list below the search box"</v>
      </c>
      <c r="L27" s="14" t="s">
        <v>464</v>
      </c>
      <c r="M27" s="12" t="s">
        <v>465</v>
      </c>
      <c r="N27" s="12"/>
      <c r="O27" s="12"/>
      <c r="P27" s="19"/>
    </row>
    <row r="28">
      <c r="A28" s="28"/>
      <c r="B28" s="28"/>
      <c r="C28" s="28"/>
      <c r="D28" s="28"/>
      <c r="E28" s="18"/>
      <c r="F28" s="12" t="s">
        <v>466</v>
      </c>
      <c r="G28" s="56"/>
      <c r="H28" s="12" t="s">
        <v>467</v>
      </c>
      <c r="I28" s="12"/>
      <c r="J28" s="31" t="s">
        <v>468</v>
      </c>
      <c r="K28" s="13" t="str">
        <f>IFERROR(__xludf.DUMMYFUNCTION("IF(ISBLANK(J28), ""Input test step"", ARRAYFORMULA(TEXTJOIN(CHAR(10), TRUE, (""Step ""&amp; ROW(INDIRECT(""1:"" &amp; COUNTA(SPLIT(J28, CHAR(10))))) &amp; "": "" &amp; TRANSPOSE(SPLIT(J28, CHAR(10)))))))"),"Step 1: Navigate to the Product Category Page
Step 2: Click on the search box on the screen interface
Step 3: Enter  input data 
Step 4: Select an item in the suggestion list
Step 5: Verify the selected option display the search box""")</f>
        <v>Step 1: Navigate to the Product Category Page
Step 2: Click on the search box on the screen interface
Step 3: Enter  input data 
Step 4: Select an item in the suggestion list
Step 5: Verify the selected option display the search box"</v>
      </c>
      <c r="L28" s="14" t="s">
        <v>469</v>
      </c>
      <c r="M28" s="12" t="s">
        <v>470</v>
      </c>
      <c r="N28" s="12"/>
      <c r="O28" s="12"/>
      <c r="P28" s="19"/>
    </row>
    <row r="29">
      <c r="A29" s="28"/>
      <c r="B29" s="28"/>
      <c r="C29" s="28"/>
      <c r="D29" s="28"/>
      <c r="E29" s="18"/>
      <c r="F29" s="12" t="s">
        <v>471</v>
      </c>
      <c r="G29" s="56"/>
      <c r="H29" s="12" t="s">
        <v>472</v>
      </c>
      <c r="I29" s="12"/>
      <c r="J29" s="31" t="s">
        <v>473</v>
      </c>
      <c r="K29" s="13" t="str">
        <f>IFERROR(__xludf.DUMMYFUNCTION("IF(ISBLANK(J29), ""Input test step"", ARRAYFORMULA(TEXTJOIN(CHAR(10), TRUE, (""Step ""&amp; ROW(INDIRECT(""1:"" &amp; COUNTA(SPLIT(J29, CHAR(10))))) &amp; "": "" &amp; TRANSPOSE(SPLIT(J29, CHAR(10)))))))"),"Step 1: Navigate to the Product Category Page
Step 2: Click on the search box on the screen interface
Step 3: Enter  input data 
Step 4: Verify the suggestion are not duplicated""")</f>
        <v>Step 1: Navigate to the Product Category Page
Step 2: Click on the search box on the screen interface
Step 3: Enter  input data 
Step 4: Verify the suggestion are not duplicated"</v>
      </c>
      <c r="L29" s="14" t="s">
        <v>469</v>
      </c>
      <c r="M29" s="12" t="s">
        <v>474</v>
      </c>
      <c r="N29" s="12"/>
      <c r="O29" s="12"/>
      <c r="P29" s="19"/>
    </row>
    <row r="30">
      <c r="A30" s="28"/>
      <c r="B30" s="28"/>
      <c r="C30" s="28"/>
      <c r="D30" s="28"/>
      <c r="E30" s="18"/>
      <c r="F30" s="12" t="s">
        <v>475</v>
      </c>
      <c r="G30" s="56"/>
      <c r="H30" s="12" t="s">
        <v>476</v>
      </c>
      <c r="I30" s="12"/>
      <c r="J30" s="31" t="s">
        <v>477</v>
      </c>
      <c r="K30" s="13" t="str">
        <f>IFERROR(__xludf.DUMMYFUNCTION("IF(ISBLANK(J30), ""Input test step"", ARRAYFORMULA(TEXTJOIN(CHAR(10), TRUE, (""Step ""&amp; ROW(INDIRECT(""1:"" &amp; COUNTA(SPLIT(J30, CHAR(10))))) &amp; "": "" &amp; TRANSPOSE(SPLIT(J30, CHAR(10)))))))"),"Step 1: Navigate to the Product Category Page
Step 2: Click on the search box on the screen interface
Step 3: Clear input
Step 4: Enter new input data
Step 5: Verify the suggestion list is updated with new keywords as the user continues to change the ente"&amp;"red keyword")</f>
        <v>Step 1: Navigate to the Product Category Page
Step 2: Click on the search box on the screen interface
Step 3: Clear input
Step 4: Enter new input data
Step 5: Verify the suggestion list is updated with new keywords as the user continues to change the entered keyword</v>
      </c>
      <c r="L30" s="14" t="s">
        <v>478</v>
      </c>
      <c r="M30" s="12" t="s">
        <v>479</v>
      </c>
      <c r="N30" s="12"/>
      <c r="O30" s="12"/>
      <c r="P30" s="19"/>
    </row>
    <row r="31">
      <c r="A31" s="28"/>
      <c r="B31" s="28"/>
      <c r="C31" s="28"/>
      <c r="D31" s="28"/>
      <c r="E31" s="18"/>
      <c r="F31" s="12" t="s">
        <v>480</v>
      </c>
      <c r="G31" s="56"/>
      <c r="H31" s="12" t="s">
        <v>481</v>
      </c>
      <c r="I31" s="12"/>
      <c r="J31" s="31" t="s">
        <v>482</v>
      </c>
      <c r="K31" s="13" t="str">
        <f>IFERROR(__xludf.DUMMYFUNCTION("IF(ISBLANK(J31), ""Input test step"", ARRAYFORMULA(TEXTJOIN(CHAR(10), TRUE, (""Step ""&amp; ROW(INDIRECT(""1:"" &amp; COUNTA(SPLIT(J31, CHAR(10))))) &amp; "": "" &amp; TRANSPOSE(SPLIT(J31, CHAR(10)))))))"),"Step 1: Navigate to the Product Category Page
Step 2: Click on the search box on the screen interface
Step 3: Enter input data that does not exist data in the system
Step 4: Verify Display message ""No suggestion"" when there are no suggested results matc"&amp;"hing the keyword")</f>
        <v>Step 1: Navigate to the Product Category Page
Step 2: Click on the search box on the screen interface
Step 3: Enter input data that does not exist data in the system
Step 4: Verify Display message "No suggestion" when there are no suggested results matching the keyword</v>
      </c>
      <c r="L31" s="14" t="s">
        <v>483</v>
      </c>
      <c r="M31" s="12" t="s">
        <v>484</v>
      </c>
      <c r="N31" s="12"/>
      <c r="O31" s="12"/>
      <c r="P31" s="19"/>
    </row>
    <row r="32">
      <c r="A32" s="28"/>
      <c r="B32" s="28"/>
      <c r="C32" s="28"/>
      <c r="D32" s="28"/>
      <c r="E32" s="18"/>
      <c r="F32" s="12" t="s">
        <v>485</v>
      </c>
      <c r="G32" s="56"/>
      <c r="H32" s="12" t="s">
        <v>486</v>
      </c>
      <c r="I32" s="12" t="s">
        <v>450</v>
      </c>
      <c r="J32" s="31" t="s">
        <v>487</v>
      </c>
      <c r="K32" s="13" t="str">
        <f>IFERROR(__xludf.DUMMYFUNCTION("IF(ISBLANK(J32), ""Input test step"", ARRAYFORMULA(TEXTJOIN(CHAR(10), TRUE, (""Step ""&amp; ROW(INDIRECT(""1:"" &amp; COUNTA(SPLIT(J32, CHAR(10))))) &amp; "": "" &amp; TRANSPOSE(SPLIT(J32, CHAR(10)))))))"),"Step 1: Navigate to the Product Category Page
Step 2: Click on the search box on the screen interface
Step 3: Click close icon 
Step 4: Verify the input data of the search box is cleared")</f>
        <v>Step 1: Navigate to the Product Category Page
Step 2: Click on the search box on the screen interface
Step 3: Click close icon 
Step 4: Verify the input data of the search box is cleared</v>
      </c>
      <c r="L32" s="14"/>
      <c r="M32" s="12" t="s">
        <v>488</v>
      </c>
      <c r="N32" s="12"/>
      <c r="O32" s="12"/>
      <c r="P32" s="19"/>
    </row>
    <row r="33">
      <c r="A33" s="28"/>
      <c r="B33" s="28"/>
      <c r="C33" s="28"/>
      <c r="D33" s="28"/>
      <c r="E33" s="18"/>
      <c r="F33" s="12" t="s">
        <v>489</v>
      </c>
      <c r="G33" s="56"/>
      <c r="H33" s="12" t="s">
        <v>490</v>
      </c>
      <c r="I33" s="12" t="s">
        <v>450</v>
      </c>
      <c r="J33" s="31" t="s">
        <v>491</v>
      </c>
      <c r="K33" s="13" t="str">
        <f>IFERROR(__xludf.DUMMYFUNCTION("IF(ISBLANK(J33), ""Input test step"", ARRAYFORMULA(TEXTJOIN(CHAR(10), TRUE, (""Step ""&amp; ROW(INDIRECT(""1:"" &amp; COUNTA(SPLIT(J33, CHAR(10))))) &amp; "": "" &amp; TRANSPOSE(SPLIT(J33, CHAR(10)))))))"),"Step 1: Navigate to the Product Category Page
Step 2: Click on the search box on the screen interface
Step 3: Click back button
Step 4: Verify the system returns to Product category page")</f>
        <v>Step 1: Navigate to the Product Category Page
Step 2: Click on the search box on the screen interface
Step 3: Click back button
Step 4: Verify the system returns to Product category page</v>
      </c>
      <c r="L33" s="14"/>
      <c r="M33" s="12" t="s">
        <v>492</v>
      </c>
      <c r="N33" s="12"/>
      <c r="O33" s="12"/>
      <c r="P33" s="19"/>
    </row>
    <row r="34">
      <c r="A34" s="28"/>
      <c r="B34" s="28"/>
      <c r="C34" s="28"/>
      <c r="D34" s="28"/>
      <c r="E34" s="18"/>
      <c r="F34" s="12" t="s">
        <v>493</v>
      </c>
      <c r="G34" s="56"/>
      <c r="H34" s="12" t="s">
        <v>494</v>
      </c>
      <c r="I34" s="12" t="s">
        <v>450</v>
      </c>
      <c r="J34" s="31" t="s">
        <v>495</v>
      </c>
      <c r="K34" s="13" t="str">
        <f>IFERROR(__xludf.DUMMYFUNCTION("IF(ISBLANK(J34), ""Input test step"", ARRAYFORMULA(TEXTJOIN(CHAR(10), TRUE, (""Step ""&amp; ROW(INDIRECT(""1:"" &amp; COUNTA(SPLIT(J34, CHAR(10))))) &amp; "": "" &amp; TRANSPOSE(SPLIT(J34, CHAR(10)))))))"),"Step 1: Navigate to the Product Category Page
Step 2: Click on the search box on the screen interface
Step 3: Entern search keyword
Step 4: Click ""Xem thêm"" to extend the suggestion 
Step 5: Verify the suggestions are extended and display  ""Thu gọn"" t"&amp;"ext")</f>
        <v>Step 1: Navigate to the Product Category Page
Step 2: Click on the search box on the screen interface
Step 3: Entern search keyword
Step 4: Click "Xem thêm" to extend the suggestion 
Step 5: Verify the suggestions are extended and display  "Thu gọn" text</v>
      </c>
      <c r="L34" s="14"/>
      <c r="M34" s="12" t="s">
        <v>496</v>
      </c>
      <c r="N34" s="12"/>
      <c r="O34" s="12"/>
      <c r="P34" s="19"/>
    </row>
    <row r="35">
      <c r="A35" s="28"/>
      <c r="B35" s="28"/>
      <c r="C35" s="28"/>
      <c r="D35" s="28"/>
      <c r="E35" s="18"/>
      <c r="F35" s="12" t="s">
        <v>497</v>
      </c>
      <c r="G35" s="56"/>
      <c r="H35" s="12" t="s">
        <v>498</v>
      </c>
      <c r="I35" s="12" t="s">
        <v>450</v>
      </c>
      <c r="J35" s="31" t="s">
        <v>499</v>
      </c>
      <c r="K35" s="13" t="str">
        <f>IFERROR(__xludf.DUMMYFUNCTION("IF(ISBLANK(J35), ""Input test step"", ARRAYFORMULA(TEXTJOIN(CHAR(10), TRUE, (""Step ""&amp; ROW(INDIRECT(""1:"" &amp; COUNTA(SPLIT(J35, CHAR(10))))) &amp; "": "" &amp; TRANSPOSE(SPLIT(J35, CHAR(10)))))))"),"Step 1: Navigate to the Product Category Page
Step 2: Click on the search box on the screen interface
Step 3: Entern search keyword
Step 4: Click ""Xem thêm"" to extend the suggestion 
Step 5: Click ""Thu gọn"" text to collapse
Step 6: Verify the suggesti"&amp;"ons are collapsed and display ""Xem thêm"" text")</f>
        <v>Step 1: Navigate to the Product Category Page
Step 2: Click on the search box on the screen interface
Step 3: Entern search keyword
Step 4: Click "Xem thêm" to extend the suggestion 
Step 5: Click "Thu gọn" text to collapse
Step 6: Verify the suggestions are collapsed and display "Xem thêm" text</v>
      </c>
      <c r="L35" s="14"/>
      <c r="M35" s="12" t="s">
        <v>500</v>
      </c>
      <c r="N35" s="12"/>
      <c r="O35" s="12"/>
      <c r="P35" s="19"/>
    </row>
    <row r="36">
      <c r="A36" s="28"/>
      <c r="B36" s="28"/>
      <c r="C36" s="28"/>
      <c r="D36" s="28"/>
      <c r="E36" s="18"/>
      <c r="F36" s="12" t="s">
        <v>501</v>
      </c>
      <c r="G36" s="57"/>
      <c r="H36" s="12" t="s">
        <v>502</v>
      </c>
      <c r="I36" s="12" t="s">
        <v>450</v>
      </c>
      <c r="J36" s="31" t="s">
        <v>503</v>
      </c>
      <c r="K36" s="13" t="str">
        <f>IFERROR(__xludf.DUMMYFUNCTION("IF(ISBLANK(J36), ""Input test step"", ARRAYFORMULA(TEXTJOIN(CHAR(10), TRUE, (""Step ""&amp; ROW(INDIRECT(""1:"" &amp; COUNTA(SPLIT(J36, CHAR(10))))) &amp; "": "" &amp; TRANSPOSE(SPLIT(J36, CHAR(10)))))))"),"Step 1: Navigate to the Product Category Page
Step 2: Click on the search box on the screen interface
Step 3: Entern search keyword
Step 4: Press the enter key on the keyboard
Step 5: Verify displays full the product information including image product, n"&amp;"ame product, price product, percent discount and trademark in the data list ")</f>
        <v>Step 1: Navigate to the Product Category Page
Step 2: Click on the search box on the screen interface
Step 3: Entern search keyword
Step 4: Press the enter key on the keyboard
Step 5: Verify displays full the product information including image product, name product, price product, percent discount and trademark in the data list </v>
      </c>
      <c r="L36" s="14"/>
      <c r="M36" s="12" t="s">
        <v>504</v>
      </c>
      <c r="N36" s="12"/>
      <c r="O36" s="12"/>
      <c r="P36" s="19"/>
    </row>
    <row r="37">
      <c r="A37" s="28"/>
      <c r="B37" s="28"/>
      <c r="C37" s="28"/>
      <c r="D37" s="28"/>
      <c r="E37" s="18"/>
      <c r="F37" s="12" t="s">
        <v>505</v>
      </c>
      <c r="G37" s="55" t="s">
        <v>506</v>
      </c>
      <c r="H37" s="12" t="s">
        <v>507</v>
      </c>
      <c r="I37" s="12" t="s">
        <v>450</v>
      </c>
      <c r="J37" s="31" t="s">
        <v>508</v>
      </c>
      <c r="K37" s="13" t="str">
        <f>IFERROR(__xludf.DUMMYFUNCTION("IF(ISBLANK(J37), ""Input test step"", ARRAYFORMULA(TEXTJOIN(CHAR(10), TRUE, (""Step ""&amp; ROW(INDIRECT(""1:"" &amp; COUNTA(SPLIT(J37, CHAR(10))))) &amp; "": "" &amp; TRANSPOSE(SPLIT(J37, CHAR(10)))))))"),"Step 1: Navigate to the Product Category Page
Step 2: Verify  displays fully and accurately the categories list in the category scroll bar")</f>
        <v>Step 1: Navigate to the Product Category Page
Step 2: Verify  displays fully and accurately the categories list in the category scroll bar</v>
      </c>
      <c r="L37" s="14"/>
      <c r="M37" s="12" t="s">
        <v>509</v>
      </c>
      <c r="N37" s="12"/>
      <c r="O37" s="12"/>
      <c r="P37" s="19"/>
    </row>
    <row r="38">
      <c r="A38" s="28"/>
      <c r="B38" s="28"/>
      <c r="C38" s="28"/>
      <c r="D38" s="28"/>
      <c r="E38" s="18"/>
      <c r="F38" s="12" t="s">
        <v>510</v>
      </c>
      <c r="G38" s="56"/>
      <c r="H38" s="12" t="s">
        <v>511</v>
      </c>
      <c r="I38" s="12" t="s">
        <v>450</v>
      </c>
      <c r="J38" s="31" t="s">
        <v>512</v>
      </c>
      <c r="K38" s="13" t="str">
        <f>IFERROR(__xludf.DUMMYFUNCTION("IF(ISBLANK(J38), ""Input test step"", ARRAYFORMULA(TEXTJOIN(CHAR(10), TRUE, (""Step ""&amp; ROW(INDIRECT(""1:"" &amp; COUNTA(SPLIT(J38, CHAR(10))))) &amp; "": "" &amp; TRANSPOSE(SPLIT(J38, CHAR(10)))))))"),"Step 1: Navigate to the Product Category Page
Step 2: Verify the categories list are not dulicated")</f>
        <v>Step 1: Navigate to the Product Category Page
Step 2: Verify the categories list are not dulicated</v>
      </c>
      <c r="L38" s="14"/>
      <c r="M38" s="12" t="s">
        <v>513</v>
      </c>
      <c r="N38" s="12"/>
      <c r="O38" s="12"/>
      <c r="P38" s="19"/>
    </row>
    <row r="39">
      <c r="A39" s="28"/>
      <c r="B39" s="28"/>
      <c r="C39" s="28"/>
      <c r="D39" s="28"/>
      <c r="E39" s="18"/>
      <c r="F39" s="12" t="s">
        <v>514</v>
      </c>
      <c r="G39" s="56"/>
      <c r="H39" s="12" t="s">
        <v>515</v>
      </c>
      <c r="I39" s="12" t="s">
        <v>450</v>
      </c>
      <c r="J39" s="31" t="s">
        <v>516</v>
      </c>
      <c r="K39" s="13" t="str">
        <f>IFERROR(__xludf.DUMMYFUNCTION("IF(ISBLANK(J39), ""Input test step"", ARRAYFORMULA(TEXTJOIN(CHAR(10), TRUE, (""Step ""&amp; ROW(INDIRECT(""1:"" &amp; COUNTA(SPLIT(J39, CHAR(10))))) &amp; "": "" &amp; TRANSPOSE(SPLIT(J39, CHAR(10)))))))"),"Step 1: Navigate to the Product Category Page
Step 2: Verify displays all products when select a item in the category list")</f>
        <v>Step 1: Navigate to the Product Category Page
Step 2: Verify displays all products when select a item in the category list</v>
      </c>
      <c r="L39" s="14"/>
      <c r="M39" s="12" t="s">
        <v>517</v>
      </c>
      <c r="N39" s="12"/>
      <c r="O39" s="12"/>
      <c r="P39" s="19"/>
    </row>
    <row r="40">
      <c r="A40" s="28"/>
      <c r="B40" s="28"/>
      <c r="C40" s="28"/>
      <c r="D40" s="28"/>
      <c r="E40" s="18"/>
      <c r="F40" s="12" t="s">
        <v>518</v>
      </c>
      <c r="G40" s="57"/>
      <c r="H40" s="12" t="s">
        <v>519</v>
      </c>
      <c r="I40" s="12" t="s">
        <v>450</v>
      </c>
      <c r="J40" s="31" t="s">
        <v>520</v>
      </c>
      <c r="K40" s="13" t="str">
        <f>IFERROR(__xludf.DUMMYFUNCTION("IF(ISBLANK(J40), ""Input test step"", ARRAYFORMULA(TEXTJOIN(CHAR(10), TRUE, (""Step ""&amp; ROW(INDIRECT(""1:"" &amp; COUNTA(SPLIT(J40, CHAR(10))))) &amp; "": "" &amp; TRANSPOSE(SPLIT(J40, CHAR(10)))))))"),"Step 1: Navigate to the Product Category Page
Step 2: Verify displays  full the product information including image product, name product, price product, percent discount and trademark in the returns list when select a item in the category list")</f>
        <v>Step 1: Navigate to the Product Category Page
Step 2: Verify displays  full the product information including image product, name product, price product, percent discount and trademark in the returns list when select a item in the category list</v>
      </c>
      <c r="L40" s="14"/>
      <c r="M40" s="12" t="s">
        <v>521</v>
      </c>
      <c r="N40" s="12"/>
      <c r="O40" s="12"/>
      <c r="P40" s="19"/>
    </row>
    <row r="41">
      <c r="A41" s="28"/>
      <c r="B41" s="28"/>
      <c r="C41" s="28"/>
      <c r="D41" s="28"/>
      <c r="E41" s="18"/>
      <c r="F41" s="12" t="s">
        <v>522</v>
      </c>
      <c r="G41" s="55" t="s">
        <v>523</v>
      </c>
      <c r="H41" s="12" t="s">
        <v>524</v>
      </c>
      <c r="I41" s="12" t="s">
        <v>450</v>
      </c>
      <c r="J41" s="31" t="s">
        <v>520</v>
      </c>
      <c r="K41" s="13" t="str">
        <f>IFERROR(__xludf.DUMMYFUNCTION("IF(ISBLANK(J41), ""Input test step"", ARRAYFORMULA(TEXTJOIN(CHAR(10), TRUE, (""Step ""&amp; ROW(INDIRECT(""1:"" &amp; COUNTA(SPLIT(J41, CHAR(10))))) &amp; "": "" &amp; TRANSPOSE(SPLIT(J41, CHAR(10)))))))"),"Step 1: Navigate to the Product Category Page
Step 2: Verify displays  full the product information including image product, name product, price product, percent discount and trademark in the returns list when select a item in the category list")</f>
        <v>Step 1: Navigate to the Product Category Page
Step 2: Verify displays  full the product information including image product, name product, price product, percent discount and trademark in the returns list when select a item in the category list</v>
      </c>
      <c r="L41" s="14"/>
      <c r="M41" s="12" t="s">
        <v>521</v>
      </c>
      <c r="N41" s="12"/>
      <c r="O41" s="12"/>
      <c r="P41" s="19"/>
    </row>
    <row r="42">
      <c r="A42" s="28"/>
      <c r="B42" s="28"/>
      <c r="C42" s="28"/>
      <c r="D42" s="28"/>
      <c r="E42" s="18"/>
      <c r="F42" s="12" t="s">
        <v>525</v>
      </c>
      <c r="G42" s="56"/>
      <c r="H42" s="12" t="s">
        <v>526</v>
      </c>
      <c r="I42" s="12" t="s">
        <v>450</v>
      </c>
      <c r="J42" s="31" t="s">
        <v>527</v>
      </c>
      <c r="K42" s="13" t="str">
        <f>IFERROR(__xludf.DUMMYFUNCTION("IF(ISBLANK(J42), ""Input test step"", ARRAYFORMULA(TEXTJOIN(CHAR(10), TRUE, (""Step ""&amp; ROW(INDIRECT(""1:"" &amp; COUNTA(SPLIT(J42, CHAR(10))))) &amp; "": "" &amp; TRANSPOSE(SPLIT(J42, CHAR(10)))))))"),"Step 1: Navigate to the Product Category Page
Step 2: Verify the product list is not duplicated")</f>
        <v>Step 1: Navigate to the Product Category Page
Step 2: Verify the product list is not duplicated</v>
      </c>
      <c r="L42" s="14"/>
      <c r="M42" s="12" t="s">
        <v>528</v>
      </c>
      <c r="N42" s="12"/>
      <c r="O42" s="12"/>
      <c r="P42" s="19"/>
    </row>
    <row r="43">
      <c r="A43" s="28"/>
      <c r="B43" s="28"/>
      <c r="C43" s="28"/>
      <c r="D43" s="28"/>
      <c r="E43" s="18"/>
      <c r="F43" s="12" t="s">
        <v>529</v>
      </c>
      <c r="G43" s="56"/>
      <c r="H43" s="12" t="s">
        <v>530</v>
      </c>
      <c r="I43" s="12" t="s">
        <v>450</v>
      </c>
      <c r="J43" s="31" t="s">
        <v>531</v>
      </c>
      <c r="K43" s="13" t="str">
        <f>IFERROR(__xludf.DUMMYFUNCTION("IF(ISBLANK(J43), ""Input test step"", ARRAYFORMULA(TEXTJOIN(CHAR(10), TRUE, (""Step ""&amp; ROW(INDIRECT(""1:"" &amp; COUNTA(SPLIT(J43, CHAR(10))))) &amp; "": "" &amp; TRANSPOSE(SPLIT(J43, CHAR(10)))))))"),"Step 1: Navigate to the Product Category Page
Step 2: Verify the displayed price after applying the discount is lower than the original price according to the discount rate")</f>
        <v>Step 1: Navigate to the Product Category Page
Step 2: Verify the displayed price after applying the discount is lower than the original price according to the discount rate</v>
      </c>
      <c r="L43" s="14"/>
      <c r="M43" s="12" t="s">
        <v>532</v>
      </c>
      <c r="N43" s="12"/>
      <c r="O43" s="12"/>
      <c r="P43" s="19"/>
    </row>
    <row r="44">
      <c r="A44" s="28"/>
      <c r="B44" s="28"/>
      <c r="C44" s="28"/>
      <c r="D44" s="28"/>
      <c r="E44" s="18"/>
      <c r="F44" s="12" t="s">
        <v>533</v>
      </c>
      <c r="G44" s="56"/>
      <c r="H44" s="12" t="s">
        <v>534</v>
      </c>
      <c r="I44" s="12" t="s">
        <v>450</v>
      </c>
      <c r="J44" s="31" t="s">
        <v>535</v>
      </c>
      <c r="K44" s="13" t="str">
        <f>IFERROR(__xludf.DUMMYFUNCTION("IF(ISBLANK(J44), ""Input test step"", ARRAYFORMULA(TEXTJOIN(CHAR(10), TRUE, (""Step ""&amp; ROW(INDIRECT(""1:"" &amp; COUNTA(SPLIT(J44, CHAR(10))))) &amp; "": "" &amp; TRANSPOSE(SPLIT(J44, CHAR(10)))))))"),"Step 1: Navigate to the Product Category Page
Step 2: Click on the favorite icon on a product item
Step 3: Verify the favorite icon turns red
Step 4: Click on the ""Personal"" button to navigate to the account information screen
Step 5: Click on the "&amp;"""Favorites"" item
Step 6: Verify the product that clicked on the favorite icon has appeared")</f>
        <v>Step 1: Navigate to the Product Category Page
Step 2: Click on the favorite icon on a product item
Step 3: Verify the favorite icon turns red
Step 4: Click on the "Personal" button to navigate to the account information screen
Step 5: Click on the "Favorites" item
Step 6: Verify the product that clicked on the favorite icon has appeared</v>
      </c>
      <c r="L44" s="14" t="s">
        <v>536</v>
      </c>
      <c r="M44" s="12" t="s">
        <v>537</v>
      </c>
      <c r="N44" s="12"/>
      <c r="O44" s="12"/>
      <c r="P44" s="19"/>
    </row>
    <row r="45">
      <c r="A45" s="28"/>
      <c r="B45" s="28"/>
      <c r="C45" s="28"/>
      <c r="D45" s="28"/>
      <c r="E45" s="18"/>
      <c r="F45" s="12" t="s">
        <v>538</v>
      </c>
      <c r="G45" s="56"/>
      <c r="H45" s="12" t="s">
        <v>539</v>
      </c>
      <c r="I45" s="12" t="s">
        <v>450</v>
      </c>
      <c r="J45" s="31" t="s">
        <v>540</v>
      </c>
      <c r="K45" s="13" t="str">
        <f>IFERROR(__xludf.DUMMYFUNCTION("IF(ISBLANK(J45), ""Input test step"", ARRAYFORMULA(TEXTJOIN(CHAR(10), TRUE, (""Step ""&amp; ROW(INDIRECT(""1:"" &amp; COUNTA(SPLIT(J45, CHAR(10))))) &amp; "": "" &amp; TRANSPOSE(SPLIT(J45, CHAR(10)))))))"),"Step 1: Navigate to the Product Category Page
Step 2: Click on the cart icon on a product item
Step 3: Verify increase quantity of products on cart icon in the menu")</f>
        <v>Step 1: Navigate to the Product Category Page
Step 2: Click on the cart icon on a product item
Step 3: Verify increase quantity of products on cart icon in the menu</v>
      </c>
      <c r="L45" s="14" t="s">
        <v>536</v>
      </c>
      <c r="M45" s="12" t="s">
        <v>541</v>
      </c>
      <c r="N45" s="12"/>
      <c r="O45" s="12"/>
      <c r="P45" s="19"/>
    </row>
    <row r="46">
      <c r="A46" s="28"/>
      <c r="B46" s="28"/>
      <c r="C46" s="28"/>
      <c r="D46" s="28"/>
      <c r="E46" s="18"/>
      <c r="F46" s="12" t="s">
        <v>542</v>
      </c>
      <c r="G46" s="56"/>
      <c r="H46" s="12" t="s">
        <v>543</v>
      </c>
      <c r="I46" s="12" t="s">
        <v>450</v>
      </c>
      <c r="J46" s="31" t="s">
        <v>544</v>
      </c>
      <c r="K46" s="13" t="str">
        <f>IFERROR(__xludf.DUMMYFUNCTION("IF(ISBLANK(J46), ""Input test step"", ARRAYFORMULA(TEXTJOIN(CHAR(10), TRUE, (""Step ""&amp; ROW(INDIRECT(""1:"" &amp; COUNTA(SPLIT(J46, CHAR(10))))) &amp; "": "" &amp; TRANSPOSE(SPLIT(J46, CHAR(10)))))))"),"Step 1: Navigate to the Product Category Page
Step 2: Click on the cart icon on a product item
Step 3: Verify the system displays ""Thêm thành công"" message when clicking on cart icon button in product section")</f>
        <v>Step 1: Navigate to the Product Category Page
Step 2: Click on the cart icon on a product item
Step 3: Verify the system displays "Thêm thành công" message when clicking on cart icon button in product section</v>
      </c>
      <c r="L46" s="14"/>
      <c r="M46" s="12" t="s">
        <v>545</v>
      </c>
      <c r="N46" s="12"/>
      <c r="O46" s="12"/>
      <c r="P46" s="19"/>
    </row>
    <row r="47">
      <c r="A47" s="28"/>
      <c r="B47" s="28"/>
      <c r="C47" s="28"/>
      <c r="D47" s="28"/>
      <c r="E47" s="18"/>
      <c r="F47" s="12" t="s">
        <v>546</v>
      </c>
      <c r="G47" s="56"/>
      <c r="H47" s="12" t="s">
        <v>547</v>
      </c>
      <c r="I47" s="12" t="s">
        <v>450</v>
      </c>
      <c r="J47" s="31" t="s">
        <v>548</v>
      </c>
      <c r="K47" s="13" t="str">
        <f>IFERROR(__xludf.DUMMYFUNCTION("IF(ISBLANK(J47), ""Input test step"", ARRAYFORMULA(TEXTJOIN(CHAR(10), TRUE, (""Step ""&amp; ROW(INDIRECT(""1:"" &amp; COUNTA(SPLIT(J47, CHAR(10))))) &amp; "": "" &amp; TRANSPOSE(SPLIT(J47, CHAR(10)))))))"),"Step 1: Navigate to the Product Category Page
Step 2: Click on the cart icon on a product item
Step 3: Click product on the menu 
Step 4: Verify the system correctly displays the product information after add product to cart ")</f>
        <v>Step 1: Navigate to the Product Category Page
Step 2: Click on the cart icon on a product item
Step 3: Click product on the menu 
Step 4: Verify the system correctly displays the product information after add product to cart </v>
      </c>
      <c r="L47" s="14"/>
      <c r="M47" s="31" t="s">
        <v>549</v>
      </c>
      <c r="N47" s="31"/>
      <c r="O47" s="12"/>
      <c r="P47" s="32"/>
    </row>
    <row r="48">
      <c r="A48" s="28"/>
      <c r="B48" s="28"/>
      <c r="C48" s="28"/>
      <c r="D48" s="28"/>
      <c r="E48" s="18"/>
      <c r="F48" s="12" t="s">
        <v>550</v>
      </c>
      <c r="G48" s="56"/>
      <c r="H48" s="12" t="s">
        <v>551</v>
      </c>
      <c r="I48" s="12" t="s">
        <v>450</v>
      </c>
      <c r="J48" s="31" t="s">
        <v>552</v>
      </c>
      <c r="K48" s="13" t="str">
        <f>IFERROR(__xludf.DUMMYFUNCTION("IF(ISBLANK(J48), ""Input test step"", ARRAYFORMULA(TEXTJOIN(CHAR(10), TRUE, (""Step ""&amp; ROW(INDIRECT(""1:"" &amp; COUNTA(SPLIT(J48, CHAR(10))))) &amp; "": "" &amp; TRANSPOSE(SPLIT(J48, CHAR(10)))))))"),"Step 1: Navigate to the Product Category Page
Step 2: Click on a product item
Step 3: Verify the system navigate to Product Detail Page when click a product item")</f>
        <v>Step 1: Navigate to the Product Category Page
Step 2: Click on a product item
Step 3: Verify the system navigate to Product Detail Page when click a product item</v>
      </c>
      <c r="L48" s="33"/>
      <c r="M48" s="31" t="s">
        <v>553</v>
      </c>
      <c r="N48" s="31"/>
      <c r="O48" s="12"/>
      <c r="P48" s="32"/>
    </row>
    <row r="49">
      <c r="A49" s="28"/>
      <c r="B49" s="28"/>
      <c r="C49" s="28"/>
      <c r="D49" s="28"/>
      <c r="E49" s="18"/>
      <c r="F49" s="12" t="s">
        <v>554</v>
      </c>
      <c r="G49" s="57"/>
      <c r="H49" s="12" t="s">
        <v>555</v>
      </c>
      <c r="I49" s="12" t="s">
        <v>450</v>
      </c>
      <c r="J49" s="31" t="s">
        <v>556</v>
      </c>
      <c r="K49" s="13" t="str">
        <f>IFERROR(__xludf.DUMMYFUNCTION("IF(ISBLANK(J49), ""Input test step"", ARRAYFORMULA(TEXTJOIN(CHAR(10), TRUE, (""Step ""&amp; ROW(INDIRECT(""1:"" &amp; COUNTA(SPLIT(J49, CHAR(10))))) &amp; "": "" &amp; TRANSPOSE(SPLIT(J49, CHAR(10)))))))"),"Step 1: Navigate to the Product Category Page
Step 2: Click on a product item
Step 3: Verify the system displays correctly displays the product information in the Product Detail Page when click a product item ")</f>
        <v>Step 1: Navigate to the Product Category Page
Step 2: Click on a product item
Step 3: Verify the system displays correctly displays the product information in the Product Detail Page when click a product item </v>
      </c>
      <c r="L49" s="33"/>
      <c r="M49" s="31" t="s">
        <v>557</v>
      </c>
      <c r="N49" s="31"/>
      <c r="O49" s="12"/>
      <c r="P49" s="32"/>
    </row>
    <row r="50">
      <c r="A50" s="28"/>
      <c r="B50" s="28"/>
      <c r="C50" s="28"/>
      <c r="D50" s="28"/>
      <c r="E50" s="18"/>
      <c r="F50" s="12"/>
      <c r="G50" s="12"/>
      <c r="H50" s="12"/>
      <c r="I50" s="12"/>
      <c r="J50" s="12"/>
      <c r="K50" s="13" t="str">
        <f>IFERROR(__xludf.DUMMYFUNCTION("IF(ISBLANK(J50), ""Input test step"", ARRAYFORMULA(TEXTJOIN(CHAR(10), TRUE, (""Step ""&amp; ROW(INDIRECT(""1:"" &amp; COUNTA(SPLIT(J50, CHAR(10))))) &amp; "": "" &amp; TRANSPOSE(SPLIT(J50, CHAR(10)))))))"),"Input test step")</f>
        <v>Input test step</v>
      </c>
      <c r="L50" s="34"/>
      <c r="M50" s="31"/>
      <c r="N50" s="31"/>
      <c r="O50" s="12"/>
      <c r="P50" s="32"/>
    </row>
    <row r="51">
      <c r="A51" s="28"/>
      <c r="B51" s="28"/>
      <c r="C51" s="28"/>
      <c r="D51" s="28"/>
      <c r="E51" s="18"/>
      <c r="F51" s="12"/>
      <c r="G51" s="12"/>
      <c r="H51" s="12"/>
      <c r="I51" s="12"/>
      <c r="J51" s="12"/>
      <c r="K51" s="13" t="str">
        <f>IFERROR(__xludf.DUMMYFUNCTION("IF(ISBLANK(J51), ""Input test step"", ARRAYFORMULA(TEXTJOIN(CHAR(10), TRUE, (""Step ""&amp; ROW(INDIRECT(""1:"" &amp; COUNTA(SPLIT(J51, CHAR(10))))) &amp; "": "" &amp; TRANSPOSE(SPLIT(J51, CHAR(10)))))))"),"Input test step")</f>
        <v>Input test step</v>
      </c>
      <c r="L51" s="34"/>
      <c r="M51" s="31"/>
      <c r="N51" s="31"/>
      <c r="O51" s="12"/>
      <c r="P51" s="32"/>
    </row>
    <row r="52">
      <c r="C52" s="35"/>
      <c r="D52" s="35"/>
      <c r="E52" s="18"/>
      <c r="F52" s="12"/>
      <c r="G52" s="12"/>
      <c r="H52" s="12"/>
      <c r="I52" s="12"/>
      <c r="J52" s="12"/>
      <c r="K52" s="13" t="str">
        <f>IFERROR(__xludf.DUMMYFUNCTION("IF(ISBLANK(J52), ""Input test step"", ARRAYFORMULA(TEXTJOIN(CHAR(10), TRUE, (""Step ""&amp; ROW(INDIRECT(""1:"" &amp; COUNTA(SPLIT(J52, CHAR(10))))) &amp; "": "" &amp; TRANSPOSE(SPLIT(J52, CHAR(10)))))))"),"Input test step")</f>
        <v>Input test step</v>
      </c>
      <c r="L52" s="34"/>
      <c r="M52" s="31"/>
      <c r="N52" s="31"/>
      <c r="O52" s="12"/>
      <c r="P52" s="32"/>
    </row>
    <row r="53">
      <c r="A53" s="35"/>
      <c r="B53" s="35"/>
      <c r="C53" s="35"/>
      <c r="D53" s="35"/>
      <c r="E53" s="18"/>
      <c r="F53" s="12"/>
      <c r="G53" s="12"/>
      <c r="H53" s="12"/>
      <c r="I53" s="12"/>
      <c r="J53" s="12"/>
      <c r="K53" s="13" t="str">
        <f>IFERROR(__xludf.DUMMYFUNCTION("IF(ISBLANK(J53), ""Input test step"", ARRAYFORMULA(TEXTJOIN(CHAR(10), TRUE, (""Step ""&amp; ROW(INDIRECT(""1:"" &amp; COUNTA(SPLIT(J53, CHAR(10))))) &amp; "": "" &amp; TRANSPOSE(SPLIT(J53, CHAR(10)))))))"),"Input test step")</f>
        <v>Input test step</v>
      </c>
      <c r="L53" s="34"/>
      <c r="M53" s="12"/>
      <c r="N53" s="12"/>
      <c r="O53" s="12"/>
      <c r="P53" s="32"/>
    </row>
    <row r="54">
      <c r="A54" s="35"/>
      <c r="B54" s="35"/>
      <c r="C54" s="35"/>
      <c r="D54" s="35"/>
      <c r="E54" s="18"/>
      <c r="F54" s="12"/>
      <c r="G54" s="12"/>
      <c r="H54" s="12"/>
      <c r="I54" s="12"/>
      <c r="J54" s="12"/>
      <c r="K54" s="13" t="str">
        <f>IFERROR(__xludf.DUMMYFUNCTION("IF(ISBLANK(J54), ""Input test step"", ARRAYFORMULA(TEXTJOIN(CHAR(10), TRUE, (""Step ""&amp; ROW(INDIRECT(""1:"" &amp; COUNTA(SPLIT(J54, CHAR(10))))) &amp; "": "" &amp; TRANSPOSE(SPLIT(J54, CHAR(10)))))))"),"Input test step")</f>
        <v>Input test step</v>
      </c>
      <c r="L54" s="34"/>
      <c r="M54" s="12"/>
      <c r="N54" s="12"/>
      <c r="O54" s="12"/>
      <c r="P54" s="32"/>
    </row>
    <row r="55">
      <c r="A55" s="35"/>
      <c r="B55" s="35"/>
      <c r="C55" s="35"/>
      <c r="D55" s="35"/>
      <c r="E55" s="18"/>
      <c r="F55" s="12"/>
      <c r="G55" s="12"/>
      <c r="H55" s="12"/>
      <c r="I55" s="12"/>
      <c r="J55" s="12"/>
      <c r="K55" s="13" t="str">
        <f>IFERROR(__xludf.DUMMYFUNCTION("IF(ISBLANK(J55), ""Input test step"", ARRAYFORMULA(TEXTJOIN(CHAR(10), TRUE, (""Step ""&amp; ROW(INDIRECT(""1:"" &amp; COUNTA(SPLIT(J55, CHAR(10))))) &amp; "": "" &amp; TRANSPOSE(SPLIT(J55, CHAR(10)))))))"),"Input test step")</f>
        <v>Input test step</v>
      </c>
      <c r="L55" s="34"/>
      <c r="M55" s="12"/>
      <c r="N55" s="12"/>
      <c r="O55" s="12"/>
      <c r="P55" s="32"/>
    </row>
    <row r="56">
      <c r="A56" s="36"/>
      <c r="B56" s="36"/>
      <c r="C56" s="36"/>
      <c r="D56" s="36"/>
      <c r="E56" s="27"/>
      <c r="F56" s="12"/>
      <c r="G56" s="12"/>
      <c r="H56" s="12"/>
      <c r="I56" s="12"/>
      <c r="J56" s="12"/>
      <c r="K56" s="13" t="str">
        <f>IFERROR(__xludf.DUMMYFUNCTION("IF(ISBLANK(J56), ""Input test step"", ARRAYFORMULA(TEXTJOIN(CHAR(10), TRUE, (""Step ""&amp; ROW(INDIRECT(""1:"" &amp; COUNTA(SPLIT(J56, CHAR(10))))) &amp; "": "" &amp; TRANSPOSE(SPLIT(J56, CHAR(10)))))))"),"Input test step")</f>
        <v>Input test step</v>
      </c>
      <c r="L56" s="14"/>
      <c r="M56" s="12"/>
      <c r="N56" s="12"/>
      <c r="O56" s="12"/>
      <c r="P56" s="32"/>
    </row>
    <row r="57">
      <c r="A57" s="36"/>
      <c r="B57" s="36"/>
      <c r="C57" s="36"/>
      <c r="D57" s="36"/>
      <c r="E57" s="27"/>
      <c r="F57" s="12"/>
      <c r="G57" s="12"/>
      <c r="H57" s="12"/>
      <c r="I57" s="12"/>
      <c r="J57" s="12"/>
      <c r="K57" s="13" t="str">
        <f>IFERROR(__xludf.DUMMYFUNCTION("IF(ISBLANK(J57), ""Input test step"", ARRAYFORMULA(TEXTJOIN(CHAR(10), TRUE, (""Step ""&amp; ROW(INDIRECT(""1:"" &amp; COUNTA(SPLIT(J57, CHAR(10))))) &amp; "": "" &amp; TRANSPOSE(SPLIT(J57, CHAR(10)))))))"),"Input test step")</f>
        <v>Input test step</v>
      </c>
      <c r="L57" s="14"/>
      <c r="M57" s="12"/>
      <c r="N57" s="12"/>
      <c r="O57" s="12"/>
      <c r="P57" s="32"/>
    </row>
    <row r="58">
      <c r="A58" s="37"/>
      <c r="B58" s="37"/>
      <c r="C58" s="37"/>
      <c r="D58" s="37"/>
      <c r="E58" s="37"/>
      <c r="F58" s="12"/>
      <c r="G58" s="12"/>
      <c r="H58" s="12"/>
      <c r="I58" s="12"/>
      <c r="J58" s="12"/>
      <c r="K58" s="13" t="str">
        <f>IFERROR(__xludf.DUMMYFUNCTION("IF(ISBLANK(J58), ""Input test step"", ARRAYFORMULA(TEXTJOIN(CHAR(10), TRUE, (""Step ""&amp; ROW(INDIRECT(""1:"" &amp; COUNTA(SPLIT(J58, CHAR(10))))) &amp; "": "" &amp; TRANSPOSE(SPLIT(J58, CHAR(10)))))))"),"Input test step")</f>
        <v>Input test step</v>
      </c>
      <c r="L58" s="14"/>
      <c r="M58" s="12"/>
      <c r="N58" s="12"/>
      <c r="O58" s="12"/>
      <c r="P58" s="38"/>
    </row>
    <row r="59">
      <c r="A59" s="37"/>
      <c r="B59" s="37"/>
      <c r="C59" s="37"/>
      <c r="D59" s="37"/>
      <c r="E59" s="37"/>
      <c r="F59" s="12"/>
      <c r="G59" s="12"/>
      <c r="H59" s="12"/>
      <c r="I59" s="12"/>
      <c r="J59" s="12"/>
      <c r="K59" s="13" t="str">
        <f>IFERROR(__xludf.DUMMYFUNCTION("IF(ISBLANK(J59), ""Input test step"", ARRAYFORMULA(TEXTJOIN(CHAR(10), TRUE, (""Step ""&amp; ROW(INDIRECT(""1:"" &amp; COUNTA(SPLIT(J59, CHAR(10))))) &amp; "": "" &amp; TRANSPOSE(SPLIT(J59, CHAR(10)))))))"),"Input test step")</f>
        <v>Input test step</v>
      </c>
      <c r="L59" s="14"/>
      <c r="M59" s="22"/>
      <c r="N59" s="22"/>
      <c r="O59" s="12"/>
      <c r="P59" s="38"/>
    </row>
    <row r="60">
      <c r="A60" s="37"/>
      <c r="B60" s="37"/>
      <c r="C60" s="37"/>
      <c r="D60" s="37"/>
      <c r="E60" s="37"/>
      <c r="F60" s="12"/>
      <c r="G60" s="12"/>
      <c r="H60" s="12"/>
      <c r="I60" s="12"/>
      <c r="J60" s="12"/>
      <c r="K60" s="13" t="str">
        <f>IFERROR(__xludf.DUMMYFUNCTION("IF(ISBLANK(J60), ""Input test step"", ARRAYFORMULA(TEXTJOIN(CHAR(10), TRUE, (""Step ""&amp; ROW(INDIRECT(""1:"" &amp; COUNTA(SPLIT(J60, CHAR(10))))) &amp; "": "" &amp; TRANSPOSE(SPLIT(J60, CHAR(10)))))))"),"Input test step")</f>
        <v>Input test step</v>
      </c>
      <c r="L60" s="14"/>
      <c r="M60" s="12"/>
      <c r="N60" s="12"/>
      <c r="O60" s="12"/>
      <c r="P60" s="38"/>
    </row>
    <row r="61">
      <c r="A61" s="37"/>
      <c r="B61" s="37"/>
      <c r="C61" s="37"/>
      <c r="D61" s="37"/>
      <c r="E61" s="37"/>
      <c r="F61" s="12"/>
      <c r="G61" s="12"/>
      <c r="H61" s="12"/>
      <c r="I61" s="12"/>
      <c r="J61" s="12"/>
      <c r="K61" s="13" t="str">
        <f>IFERROR(__xludf.DUMMYFUNCTION("IF(ISBLANK(J61), ""Input test step"", ARRAYFORMULA(TEXTJOIN(CHAR(10), TRUE, (""Step ""&amp; ROW(INDIRECT(""1:"" &amp; COUNTA(SPLIT(J61, CHAR(10))))) &amp; "": "" &amp; TRANSPOSE(SPLIT(J61, CHAR(10)))))))"),"Input test step")</f>
        <v>Input test step</v>
      </c>
      <c r="L61" s="14"/>
      <c r="M61" s="12"/>
      <c r="N61" s="12"/>
      <c r="O61" s="12"/>
      <c r="P61" s="38"/>
    </row>
    <row r="62">
      <c r="A62" s="37"/>
      <c r="B62" s="37"/>
      <c r="C62" s="37"/>
      <c r="D62" s="37"/>
      <c r="E62" s="37"/>
      <c r="F62" s="12"/>
      <c r="G62" s="12"/>
      <c r="H62" s="12"/>
      <c r="I62" s="12"/>
      <c r="J62" s="12"/>
      <c r="K62" s="13" t="str">
        <f>IFERROR(__xludf.DUMMYFUNCTION("IF(ISBLANK(J62), ""Input test step"", ARRAYFORMULA(TEXTJOIN(CHAR(10), TRUE, (""Step ""&amp; ROW(INDIRECT(""1:"" &amp; COUNTA(SPLIT(J62, CHAR(10))))) &amp; "": "" &amp; TRANSPOSE(SPLIT(J62, CHAR(10)))))))"),"Input test step")</f>
        <v>Input test step</v>
      </c>
      <c r="L62" s="14"/>
      <c r="M62" s="12"/>
      <c r="N62" s="12"/>
      <c r="O62" s="12"/>
      <c r="P62" s="38"/>
    </row>
    <row r="63">
      <c r="A63" s="37"/>
      <c r="B63" s="37"/>
      <c r="C63" s="37"/>
      <c r="D63" s="37"/>
      <c r="E63" s="37"/>
      <c r="K63" s="48"/>
    </row>
    <row r="64">
      <c r="A64" s="37"/>
      <c r="B64" s="37"/>
      <c r="C64" s="37"/>
      <c r="D64" s="37"/>
      <c r="E64" s="37"/>
      <c r="K64" s="48"/>
    </row>
    <row r="65">
      <c r="A65" s="37"/>
      <c r="B65" s="37"/>
      <c r="C65" s="37"/>
      <c r="D65" s="37"/>
      <c r="E65" s="37"/>
      <c r="K65" s="48"/>
    </row>
    <row r="66">
      <c r="A66" s="37"/>
      <c r="B66" s="37"/>
      <c r="C66" s="37"/>
      <c r="D66" s="37"/>
      <c r="E66" s="37"/>
      <c r="K66" s="48"/>
    </row>
    <row r="67">
      <c r="A67" s="37"/>
      <c r="B67" s="37"/>
      <c r="C67" s="37"/>
      <c r="D67" s="37"/>
      <c r="E67" s="37"/>
      <c r="K67" s="48"/>
    </row>
    <row r="68">
      <c r="A68" s="37"/>
      <c r="B68" s="37"/>
      <c r="C68" s="37"/>
      <c r="D68" s="37"/>
      <c r="E68" s="37"/>
      <c r="K68" s="48"/>
    </row>
    <row r="69">
      <c r="A69" s="37"/>
      <c r="B69" s="37"/>
      <c r="C69" s="37"/>
      <c r="D69" s="37"/>
      <c r="E69" s="37"/>
      <c r="K69" s="48"/>
    </row>
    <row r="70">
      <c r="A70" s="37"/>
      <c r="B70" s="37"/>
      <c r="C70" s="37"/>
      <c r="D70" s="37"/>
      <c r="E70" s="37"/>
      <c r="K70" s="48"/>
    </row>
    <row r="71">
      <c r="A71" s="37"/>
      <c r="B71" s="37"/>
      <c r="C71" s="37"/>
      <c r="D71" s="37"/>
      <c r="E71" s="37"/>
      <c r="K71" s="48"/>
    </row>
    <row r="72">
      <c r="A72" s="37"/>
      <c r="B72" s="37"/>
      <c r="C72" s="37"/>
      <c r="D72" s="37"/>
      <c r="E72" s="37"/>
      <c r="K72" s="48"/>
    </row>
    <row r="73">
      <c r="A73" s="37"/>
      <c r="B73" s="37"/>
      <c r="C73" s="37"/>
      <c r="D73" s="37"/>
      <c r="E73" s="37"/>
      <c r="K73" s="48"/>
    </row>
    <row r="74">
      <c r="A74" s="37"/>
      <c r="B74" s="37"/>
      <c r="C74" s="37"/>
      <c r="D74" s="37"/>
      <c r="E74" s="37"/>
      <c r="K74" s="48"/>
    </row>
    <row r="75">
      <c r="A75" s="37"/>
      <c r="B75" s="37"/>
      <c r="C75" s="37"/>
      <c r="D75" s="37"/>
      <c r="E75" s="37"/>
      <c r="K75" s="48"/>
    </row>
    <row r="76">
      <c r="A76" s="37"/>
      <c r="B76" s="37"/>
      <c r="C76" s="37"/>
      <c r="D76" s="37"/>
      <c r="E76" s="37"/>
      <c r="K76" s="48"/>
    </row>
    <row r="77">
      <c r="A77" s="37"/>
      <c r="B77" s="37"/>
      <c r="C77" s="37"/>
      <c r="D77" s="37"/>
      <c r="E77" s="37"/>
      <c r="K77" s="48"/>
    </row>
    <row r="78">
      <c r="A78" s="37"/>
      <c r="B78" s="37"/>
      <c r="C78" s="37"/>
      <c r="D78" s="37"/>
      <c r="E78" s="37"/>
      <c r="K78" s="48"/>
    </row>
    <row r="79">
      <c r="A79" s="37"/>
      <c r="B79" s="37"/>
      <c r="C79" s="37"/>
      <c r="D79" s="37"/>
      <c r="E79" s="37"/>
      <c r="K79" s="48"/>
    </row>
    <row r="80">
      <c r="A80" s="37"/>
      <c r="B80" s="37"/>
      <c r="C80" s="37"/>
      <c r="D80" s="37"/>
      <c r="E80" s="37"/>
      <c r="K80" s="48"/>
    </row>
    <row r="81">
      <c r="A81" s="37"/>
      <c r="B81" s="37"/>
      <c r="C81" s="37"/>
      <c r="D81" s="37"/>
      <c r="E81" s="37"/>
      <c r="K81" s="48"/>
    </row>
    <row r="82">
      <c r="A82" s="37"/>
      <c r="B82" s="37"/>
      <c r="C82" s="37"/>
      <c r="D82" s="37"/>
      <c r="E82" s="37"/>
      <c r="K82" s="48"/>
    </row>
    <row r="83">
      <c r="A83" s="37"/>
      <c r="B83" s="37"/>
      <c r="C83" s="37"/>
      <c r="D83" s="37"/>
      <c r="E83" s="37"/>
      <c r="K83" s="48"/>
    </row>
    <row r="84">
      <c r="A84" s="37"/>
      <c r="B84" s="37"/>
      <c r="C84" s="37"/>
      <c r="D84" s="37"/>
      <c r="E84" s="37"/>
      <c r="K84" s="48"/>
    </row>
    <row r="85">
      <c r="A85" s="37"/>
      <c r="B85" s="37"/>
      <c r="C85" s="37"/>
      <c r="D85" s="37"/>
      <c r="E85" s="37"/>
      <c r="K85" s="48"/>
    </row>
    <row r="86">
      <c r="A86" s="37"/>
      <c r="B86" s="37"/>
      <c r="C86" s="37"/>
      <c r="D86" s="37"/>
      <c r="E86" s="37"/>
      <c r="K86" s="48"/>
    </row>
    <row r="87">
      <c r="A87" s="37"/>
      <c r="B87" s="37"/>
      <c r="C87" s="37"/>
      <c r="D87" s="37"/>
      <c r="E87" s="37"/>
      <c r="K87" s="48"/>
    </row>
    <row r="88">
      <c r="A88" s="37"/>
      <c r="B88" s="37"/>
      <c r="C88" s="37"/>
      <c r="D88" s="37"/>
      <c r="E88" s="37"/>
      <c r="K88" s="48"/>
    </row>
    <row r="89">
      <c r="A89" s="37"/>
      <c r="B89" s="37"/>
      <c r="C89" s="37"/>
      <c r="D89" s="37"/>
      <c r="E89" s="37"/>
      <c r="K89" s="48"/>
    </row>
    <row r="90">
      <c r="A90" s="37"/>
      <c r="B90" s="37"/>
      <c r="C90" s="37"/>
      <c r="D90" s="37"/>
      <c r="E90" s="37"/>
      <c r="K90" s="48"/>
    </row>
    <row r="91">
      <c r="A91" s="37"/>
      <c r="B91" s="37"/>
      <c r="C91" s="37"/>
      <c r="D91" s="37"/>
      <c r="E91" s="37"/>
      <c r="K91" s="48"/>
    </row>
    <row r="92">
      <c r="A92" s="37"/>
      <c r="B92" s="37"/>
      <c r="C92" s="37"/>
      <c r="D92" s="37"/>
      <c r="E92" s="37"/>
      <c r="K92" s="48"/>
    </row>
    <row r="93">
      <c r="A93" s="37"/>
      <c r="B93" s="37"/>
      <c r="C93" s="37"/>
      <c r="D93" s="37"/>
      <c r="E93" s="37"/>
      <c r="K93" s="48"/>
    </row>
    <row r="94">
      <c r="A94" s="37"/>
      <c r="B94" s="37"/>
      <c r="C94" s="37"/>
      <c r="D94" s="37"/>
      <c r="E94" s="37"/>
      <c r="K94" s="48"/>
    </row>
    <row r="95">
      <c r="A95" s="37"/>
      <c r="B95" s="37"/>
      <c r="C95" s="37"/>
      <c r="D95" s="37"/>
      <c r="E95" s="37"/>
      <c r="K95" s="48"/>
    </row>
    <row r="96">
      <c r="A96" s="37"/>
      <c r="B96" s="37"/>
      <c r="C96" s="37"/>
      <c r="D96" s="37"/>
      <c r="E96" s="37"/>
      <c r="K96" s="48"/>
    </row>
    <row r="97">
      <c r="A97" s="37"/>
      <c r="B97" s="37"/>
      <c r="C97" s="37"/>
      <c r="D97" s="37"/>
      <c r="E97" s="37"/>
      <c r="K97" s="48"/>
    </row>
    <row r="98">
      <c r="A98" s="37"/>
      <c r="B98" s="37"/>
      <c r="C98" s="37"/>
      <c r="D98" s="37"/>
      <c r="E98" s="37"/>
      <c r="K98" s="48"/>
    </row>
    <row r="99">
      <c r="A99" s="37"/>
      <c r="B99" s="37"/>
      <c r="C99" s="37"/>
      <c r="D99" s="37"/>
      <c r="E99" s="37"/>
      <c r="K99" s="48"/>
    </row>
    <row r="100">
      <c r="A100" s="37"/>
      <c r="B100" s="37"/>
      <c r="C100" s="37"/>
      <c r="D100" s="37"/>
      <c r="E100" s="37"/>
      <c r="K100" s="48"/>
    </row>
    <row r="101">
      <c r="A101" s="37"/>
      <c r="B101" s="37"/>
      <c r="C101" s="37"/>
      <c r="D101" s="37"/>
      <c r="E101" s="37"/>
      <c r="K101" s="48"/>
    </row>
    <row r="102">
      <c r="A102" s="37"/>
      <c r="B102" s="37"/>
      <c r="C102" s="37"/>
      <c r="D102" s="37"/>
      <c r="E102" s="37"/>
      <c r="K102" s="48"/>
    </row>
    <row r="103">
      <c r="A103" s="37"/>
      <c r="B103" s="37"/>
      <c r="C103" s="37"/>
      <c r="D103" s="37"/>
      <c r="E103" s="37"/>
      <c r="K103" s="48"/>
    </row>
    <row r="104">
      <c r="A104" s="37"/>
      <c r="B104" s="37"/>
      <c r="C104" s="37"/>
      <c r="D104" s="37"/>
      <c r="E104" s="37"/>
      <c r="K104" s="48"/>
    </row>
    <row r="105">
      <c r="A105" s="37"/>
      <c r="B105" s="37"/>
      <c r="C105" s="37"/>
      <c r="D105" s="37"/>
      <c r="E105" s="37"/>
      <c r="K105" s="48"/>
    </row>
    <row r="106">
      <c r="A106" s="37"/>
      <c r="B106" s="37"/>
      <c r="C106" s="37"/>
      <c r="D106" s="37"/>
      <c r="E106" s="37"/>
      <c r="K106" s="48"/>
    </row>
    <row r="107">
      <c r="A107" s="37"/>
      <c r="B107" s="37"/>
      <c r="C107" s="37"/>
      <c r="D107" s="37"/>
      <c r="E107" s="37"/>
      <c r="K107" s="48"/>
    </row>
    <row r="108">
      <c r="A108" s="37"/>
      <c r="B108" s="37"/>
      <c r="C108" s="37"/>
      <c r="D108" s="37"/>
      <c r="E108" s="37"/>
      <c r="K108" s="48"/>
    </row>
    <row r="109">
      <c r="A109" s="37"/>
      <c r="B109" s="37"/>
      <c r="C109" s="37"/>
      <c r="D109" s="37"/>
      <c r="E109" s="37"/>
      <c r="K109" s="48"/>
    </row>
    <row r="110">
      <c r="A110" s="37"/>
      <c r="B110" s="37"/>
      <c r="C110" s="37"/>
      <c r="D110" s="37"/>
      <c r="E110" s="37"/>
      <c r="K110" s="48"/>
    </row>
    <row r="111">
      <c r="A111" s="37"/>
      <c r="B111" s="37"/>
      <c r="C111" s="37"/>
      <c r="D111" s="37"/>
      <c r="E111" s="37"/>
      <c r="K111" s="48"/>
    </row>
    <row r="112">
      <c r="A112" s="37"/>
      <c r="B112" s="37"/>
      <c r="C112" s="37"/>
      <c r="D112" s="37"/>
      <c r="E112" s="37"/>
      <c r="K112" s="48"/>
    </row>
    <row r="113">
      <c r="A113" s="37"/>
      <c r="B113" s="37"/>
      <c r="C113" s="37"/>
      <c r="D113" s="37"/>
      <c r="E113" s="37"/>
      <c r="K113" s="48"/>
    </row>
    <row r="114">
      <c r="A114" s="37"/>
      <c r="B114" s="37"/>
      <c r="C114" s="37"/>
      <c r="D114" s="37"/>
      <c r="E114" s="37"/>
      <c r="K114" s="48"/>
    </row>
    <row r="115">
      <c r="A115" s="37"/>
      <c r="B115" s="37"/>
      <c r="C115" s="37"/>
      <c r="D115" s="37"/>
      <c r="E115" s="37"/>
      <c r="K115" s="48"/>
    </row>
    <row r="116">
      <c r="A116" s="37"/>
      <c r="B116" s="37"/>
      <c r="C116" s="37"/>
      <c r="D116" s="37"/>
      <c r="E116" s="37"/>
      <c r="K116" s="48"/>
    </row>
    <row r="117">
      <c r="A117" s="37"/>
      <c r="B117" s="37"/>
      <c r="C117" s="37"/>
      <c r="D117" s="37"/>
      <c r="E117" s="37"/>
      <c r="K117" s="48"/>
    </row>
    <row r="118">
      <c r="A118" s="37"/>
      <c r="B118" s="37"/>
      <c r="C118" s="37"/>
      <c r="D118" s="37"/>
      <c r="E118" s="37"/>
      <c r="K118" s="48"/>
    </row>
    <row r="119">
      <c r="A119" s="37"/>
      <c r="B119" s="37"/>
      <c r="C119" s="37"/>
      <c r="D119" s="37"/>
      <c r="E119" s="37"/>
      <c r="K119" s="48"/>
    </row>
    <row r="120">
      <c r="A120" s="37"/>
      <c r="B120" s="37"/>
      <c r="C120" s="37"/>
      <c r="D120" s="37"/>
      <c r="E120" s="37"/>
      <c r="K120" s="48"/>
    </row>
    <row r="121">
      <c r="A121" s="37"/>
      <c r="B121" s="37"/>
      <c r="C121" s="37"/>
      <c r="D121" s="37"/>
      <c r="E121" s="37"/>
      <c r="K121" s="48"/>
    </row>
    <row r="122">
      <c r="A122" s="37"/>
      <c r="B122" s="37"/>
      <c r="C122" s="37"/>
      <c r="D122" s="37"/>
      <c r="E122" s="37"/>
      <c r="K122" s="48"/>
    </row>
    <row r="123">
      <c r="A123" s="37"/>
      <c r="B123" s="37"/>
      <c r="C123" s="37"/>
      <c r="D123" s="37"/>
      <c r="E123" s="37"/>
      <c r="K123" s="48"/>
    </row>
    <row r="124">
      <c r="A124" s="37"/>
      <c r="B124" s="37"/>
      <c r="C124" s="37"/>
      <c r="D124" s="37"/>
      <c r="E124" s="37"/>
      <c r="K124" s="48"/>
    </row>
    <row r="125">
      <c r="A125" s="37"/>
      <c r="B125" s="37"/>
      <c r="C125" s="37"/>
      <c r="D125" s="37"/>
      <c r="E125" s="37"/>
      <c r="K125" s="48"/>
    </row>
    <row r="126">
      <c r="A126" s="37"/>
      <c r="B126" s="37"/>
      <c r="C126" s="37"/>
      <c r="D126" s="37"/>
      <c r="E126" s="37"/>
      <c r="K126" s="48"/>
    </row>
    <row r="127">
      <c r="A127" s="37"/>
      <c r="B127" s="37"/>
      <c r="C127" s="37"/>
      <c r="D127" s="37"/>
      <c r="E127" s="37"/>
      <c r="K127" s="48"/>
    </row>
    <row r="128">
      <c r="A128" s="37"/>
      <c r="B128" s="37"/>
      <c r="C128" s="37"/>
      <c r="D128" s="37"/>
      <c r="E128" s="37"/>
      <c r="K128" s="48"/>
    </row>
    <row r="129">
      <c r="A129" s="37"/>
      <c r="B129" s="37"/>
      <c r="C129" s="37"/>
      <c r="D129" s="37"/>
      <c r="E129" s="37"/>
      <c r="K129" s="48"/>
    </row>
    <row r="130">
      <c r="A130" s="37"/>
      <c r="B130" s="37"/>
      <c r="C130" s="37"/>
      <c r="D130" s="37"/>
      <c r="E130" s="37"/>
      <c r="K130" s="48"/>
    </row>
    <row r="131">
      <c r="A131" s="37"/>
      <c r="B131" s="37"/>
      <c r="C131" s="37"/>
      <c r="D131" s="37"/>
      <c r="E131" s="37"/>
      <c r="K131" s="48"/>
    </row>
    <row r="132">
      <c r="A132" s="37"/>
      <c r="B132" s="37"/>
      <c r="C132" s="37"/>
      <c r="D132" s="37"/>
      <c r="E132" s="37"/>
      <c r="K132" s="48"/>
    </row>
    <row r="133">
      <c r="A133" s="37"/>
      <c r="B133" s="37"/>
      <c r="C133" s="37"/>
      <c r="D133" s="37"/>
      <c r="E133" s="37"/>
      <c r="K133" s="48"/>
    </row>
    <row r="134">
      <c r="A134" s="37"/>
      <c r="B134" s="37"/>
      <c r="C134" s="37"/>
      <c r="D134" s="37"/>
      <c r="E134" s="37"/>
      <c r="K134" s="48"/>
    </row>
    <row r="135">
      <c r="A135" s="37"/>
      <c r="B135" s="37"/>
      <c r="C135" s="37"/>
      <c r="D135" s="37"/>
      <c r="E135" s="37"/>
      <c r="K135" s="48"/>
    </row>
    <row r="136">
      <c r="A136" s="37"/>
      <c r="B136" s="37"/>
      <c r="C136" s="37"/>
      <c r="D136" s="37"/>
      <c r="E136" s="37"/>
      <c r="K136" s="48"/>
    </row>
    <row r="137">
      <c r="A137" s="37"/>
      <c r="B137" s="37"/>
      <c r="C137" s="37"/>
      <c r="D137" s="37"/>
      <c r="E137" s="37"/>
      <c r="K137" s="48"/>
    </row>
    <row r="138">
      <c r="A138" s="37"/>
      <c r="B138" s="37"/>
      <c r="C138" s="37"/>
      <c r="D138" s="37"/>
      <c r="E138" s="37"/>
      <c r="K138" s="48"/>
    </row>
    <row r="139">
      <c r="A139" s="37"/>
      <c r="B139" s="37"/>
      <c r="C139" s="37"/>
      <c r="D139" s="37"/>
      <c r="E139" s="37"/>
      <c r="K139" s="48"/>
    </row>
    <row r="140">
      <c r="A140" s="37"/>
      <c r="B140" s="37"/>
      <c r="C140" s="37"/>
      <c r="D140" s="37"/>
      <c r="E140" s="37"/>
      <c r="K140" s="48"/>
    </row>
    <row r="141">
      <c r="A141" s="37"/>
      <c r="B141" s="37"/>
      <c r="C141" s="37"/>
      <c r="D141" s="37"/>
      <c r="E141" s="37"/>
      <c r="K141" s="48"/>
    </row>
    <row r="142">
      <c r="A142" s="37"/>
      <c r="B142" s="37"/>
      <c r="C142" s="37"/>
      <c r="D142" s="37"/>
      <c r="E142" s="37"/>
      <c r="K142" s="48"/>
    </row>
    <row r="143">
      <c r="A143" s="37"/>
      <c r="B143" s="37"/>
      <c r="C143" s="37"/>
      <c r="D143" s="37"/>
      <c r="E143" s="37"/>
      <c r="K143" s="48"/>
    </row>
    <row r="144">
      <c r="A144" s="37"/>
      <c r="B144" s="37"/>
      <c r="C144" s="37"/>
      <c r="D144" s="37"/>
      <c r="E144" s="37"/>
      <c r="K144" s="48"/>
    </row>
    <row r="145">
      <c r="A145" s="37"/>
      <c r="B145" s="37"/>
      <c r="C145" s="37"/>
      <c r="D145" s="37"/>
      <c r="E145" s="37"/>
      <c r="K145" s="48"/>
    </row>
    <row r="146">
      <c r="A146" s="37"/>
      <c r="B146" s="37"/>
      <c r="C146" s="37"/>
      <c r="D146" s="37"/>
      <c r="E146" s="37"/>
      <c r="K146" s="48"/>
    </row>
    <row r="147">
      <c r="A147" s="37"/>
      <c r="B147" s="37"/>
      <c r="C147" s="37"/>
      <c r="D147" s="37"/>
      <c r="E147" s="37"/>
      <c r="K147" s="48"/>
    </row>
    <row r="148">
      <c r="A148" s="37"/>
      <c r="B148" s="37"/>
      <c r="C148" s="37"/>
      <c r="D148" s="37"/>
      <c r="E148" s="37"/>
      <c r="K148" s="48"/>
    </row>
    <row r="149">
      <c r="A149" s="37"/>
      <c r="B149" s="37"/>
      <c r="C149" s="37"/>
      <c r="D149" s="37"/>
      <c r="E149" s="37"/>
      <c r="K149" s="48"/>
    </row>
    <row r="150">
      <c r="A150" s="37"/>
      <c r="B150" s="37"/>
      <c r="C150" s="37"/>
      <c r="D150" s="37"/>
      <c r="E150" s="37"/>
      <c r="K150" s="48"/>
    </row>
    <row r="151">
      <c r="A151" s="37"/>
      <c r="B151" s="37"/>
      <c r="C151" s="37"/>
      <c r="D151" s="37"/>
      <c r="E151" s="37"/>
      <c r="K151" s="48"/>
    </row>
    <row r="152">
      <c r="A152" s="37"/>
      <c r="B152" s="37"/>
      <c r="C152" s="37"/>
      <c r="D152" s="37"/>
      <c r="E152" s="37"/>
      <c r="K152" s="48"/>
    </row>
    <row r="153">
      <c r="A153" s="37"/>
      <c r="B153" s="37"/>
      <c r="C153" s="37"/>
      <c r="D153" s="37"/>
      <c r="E153" s="37"/>
      <c r="K153" s="48"/>
    </row>
    <row r="154">
      <c r="A154" s="37"/>
      <c r="B154" s="37"/>
      <c r="C154" s="37"/>
      <c r="D154" s="37"/>
      <c r="E154" s="37"/>
      <c r="K154" s="48"/>
    </row>
    <row r="155">
      <c r="A155" s="37"/>
      <c r="B155" s="37"/>
      <c r="C155" s="37"/>
      <c r="D155" s="37"/>
      <c r="E155" s="37"/>
      <c r="K155" s="48"/>
    </row>
    <row r="156">
      <c r="A156" s="37"/>
      <c r="B156" s="37"/>
      <c r="C156" s="37"/>
      <c r="D156" s="37"/>
      <c r="E156" s="37"/>
      <c r="K156" s="48"/>
    </row>
    <row r="157">
      <c r="A157" s="37"/>
      <c r="B157" s="37"/>
      <c r="C157" s="37"/>
      <c r="D157" s="37"/>
      <c r="E157" s="37"/>
      <c r="K157" s="48"/>
    </row>
    <row r="158">
      <c r="A158" s="37"/>
      <c r="B158" s="37"/>
      <c r="C158" s="37"/>
      <c r="D158" s="37"/>
      <c r="E158" s="37"/>
      <c r="K158" s="48"/>
    </row>
    <row r="159">
      <c r="A159" s="37"/>
      <c r="B159" s="37"/>
      <c r="C159" s="37"/>
      <c r="D159" s="37"/>
      <c r="E159" s="37"/>
      <c r="K159" s="48"/>
    </row>
    <row r="160">
      <c r="A160" s="37"/>
      <c r="B160" s="37"/>
      <c r="C160" s="37"/>
      <c r="D160" s="37"/>
      <c r="E160" s="37"/>
      <c r="K160" s="48"/>
    </row>
    <row r="161">
      <c r="A161" s="37"/>
      <c r="B161" s="37"/>
      <c r="C161" s="37"/>
      <c r="D161" s="37"/>
      <c r="E161" s="37"/>
      <c r="K161" s="48"/>
    </row>
    <row r="162">
      <c r="A162" s="37"/>
      <c r="B162" s="37"/>
      <c r="C162" s="37"/>
      <c r="D162" s="37"/>
      <c r="E162" s="37"/>
      <c r="K162" s="48"/>
    </row>
    <row r="163">
      <c r="A163" s="37"/>
      <c r="B163" s="37"/>
      <c r="C163" s="37"/>
      <c r="D163" s="37"/>
      <c r="E163" s="37"/>
      <c r="K163" s="48"/>
    </row>
    <row r="164">
      <c r="A164" s="37"/>
      <c r="B164" s="37"/>
      <c r="C164" s="37"/>
      <c r="D164" s="37"/>
      <c r="E164" s="37"/>
      <c r="K164" s="48"/>
    </row>
    <row r="165">
      <c r="A165" s="37"/>
      <c r="B165" s="37"/>
      <c r="C165" s="37"/>
      <c r="D165" s="37"/>
      <c r="E165" s="37"/>
      <c r="K165" s="48"/>
    </row>
    <row r="166">
      <c r="A166" s="37"/>
      <c r="B166" s="37"/>
      <c r="C166" s="37"/>
      <c r="D166" s="37"/>
      <c r="E166" s="37"/>
      <c r="K166" s="4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row r="1010">
      <c r="A1010" s="37"/>
      <c r="B1010" s="37"/>
      <c r="C1010" s="37"/>
      <c r="D1010" s="37"/>
      <c r="E1010" s="37"/>
      <c r="K1010" s="48"/>
    </row>
    <row r="1011">
      <c r="A1011" s="37"/>
      <c r="B1011" s="37"/>
      <c r="C1011" s="37"/>
      <c r="D1011" s="37"/>
      <c r="E1011" s="37"/>
      <c r="K1011" s="48"/>
    </row>
    <row r="1012">
      <c r="A1012" s="37"/>
      <c r="B1012" s="37"/>
      <c r="C1012" s="37"/>
      <c r="D1012" s="37"/>
      <c r="E1012" s="37"/>
      <c r="K1012" s="48"/>
    </row>
    <row r="1013">
      <c r="A1013" s="37"/>
      <c r="B1013" s="37"/>
      <c r="C1013" s="37"/>
      <c r="D1013" s="37"/>
      <c r="E1013" s="37"/>
      <c r="K1013" s="48"/>
    </row>
    <row r="1014">
      <c r="A1014" s="37"/>
      <c r="B1014" s="37"/>
      <c r="C1014" s="37"/>
      <c r="D1014" s="37"/>
      <c r="E1014" s="37"/>
      <c r="K1014" s="48"/>
    </row>
    <row r="1015">
      <c r="A1015" s="37"/>
      <c r="B1015" s="37"/>
      <c r="C1015" s="37"/>
      <c r="D1015" s="37"/>
      <c r="E1015" s="37"/>
      <c r="K1015" s="48"/>
    </row>
    <row r="1016">
      <c r="A1016" s="37"/>
      <c r="B1016" s="37"/>
      <c r="C1016" s="37"/>
      <c r="D1016" s="37"/>
      <c r="E1016" s="37"/>
      <c r="K1016" s="48"/>
    </row>
    <row r="1017">
      <c r="A1017" s="37"/>
      <c r="B1017" s="37"/>
      <c r="C1017" s="37"/>
      <c r="D1017" s="37"/>
      <c r="E1017" s="37"/>
      <c r="K1017" s="48"/>
    </row>
    <row r="1018">
      <c r="A1018" s="37"/>
      <c r="B1018" s="37"/>
      <c r="C1018" s="37"/>
      <c r="D1018" s="37"/>
      <c r="E1018" s="37"/>
      <c r="K1018" s="48"/>
    </row>
    <row r="1019">
      <c r="A1019" s="37"/>
      <c r="B1019" s="37"/>
      <c r="C1019" s="37"/>
      <c r="D1019" s="37"/>
      <c r="E1019" s="37"/>
      <c r="K1019" s="48"/>
    </row>
    <row r="1020">
      <c r="A1020" s="37"/>
      <c r="B1020" s="37"/>
      <c r="C1020" s="37"/>
      <c r="D1020" s="37"/>
      <c r="E1020" s="37"/>
      <c r="K1020" s="48"/>
    </row>
    <row r="1021">
      <c r="A1021" s="37"/>
      <c r="B1021" s="37"/>
      <c r="C1021" s="37"/>
      <c r="D1021" s="37"/>
      <c r="E1021" s="37"/>
      <c r="K1021" s="48"/>
    </row>
    <row r="1022">
      <c r="A1022" s="37"/>
      <c r="B1022" s="37"/>
      <c r="C1022" s="37"/>
      <c r="D1022" s="37"/>
      <c r="E1022" s="37"/>
      <c r="K1022" s="48"/>
    </row>
    <row r="1023">
      <c r="A1023" s="37"/>
      <c r="B1023" s="37"/>
      <c r="C1023" s="37"/>
      <c r="D1023" s="37"/>
      <c r="E1023" s="37"/>
      <c r="K1023" s="48"/>
    </row>
    <row r="1024">
      <c r="A1024" s="37"/>
      <c r="B1024" s="37"/>
      <c r="C1024" s="37"/>
      <c r="D1024" s="37"/>
      <c r="E1024" s="37"/>
      <c r="K1024" s="48"/>
    </row>
    <row r="1025">
      <c r="A1025" s="37"/>
      <c r="B1025" s="37"/>
      <c r="C1025" s="37"/>
      <c r="D1025" s="37"/>
      <c r="E1025" s="37"/>
      <c r="K1025" s="48"/>
    </row>
    <row r="1026">
      <c r="A1026" s="37"/>
      <c r="B1026" s="37"/>
      <c r="C1026" s="37"/>
      <c r="D1026" s="37"/>
      <c r="E1026" s="37"/>
      <c r="K1026" s="48"/>
    </row>
    <row r="1027">
      <c r="A1027" s="37"/>
      <c r="B1027" s="37"/>
      <c r="C1027" s="37"/>
      <c r="D1027" s="37"/>
      <c r="E1027" s="37"/>
      <c r="K1027" s="48"/>
    </row>
    <row r="1028">
      <c r="A1028" s="37"/>
      <c r="B1028" s="37"/>
      <c r="C1028" s="37"/>
      <c r="D1028" s="37"/>
      <c r="E1028" s="37"/>
      <c r="K1028" s="48"/>
    </row>
    <row r="1029">
      <c r="A1029" s="37"/>
      <c r="B1029" s="37"/>
      <c r="C1029" s="37"/>
      <c r="D1029" s="37"/>
      <c r="E1029" s="37"/>
      <c r="K1029" s="48"/>
    </row>
    <row r="1030">
      <c r="A1030" s="37"/>
      <c r="B1030" s="37"/>
      <c r="C1030" s="37"/>
      <c r="D1030" s="37"/>
      <c r="E1030" s="37"/>
      <c r="K1030" s="48"/>
    </row>
    <row r="1031">
      <c r="A1031" s="37"/>
      <c r="B1031" s="37"/>
      <c r="C1031" s="37"/>
      <c r="D1031" s="37"/>
      <c r="E1031" s="37"/>
      <c r="K1031" s="48"/>
    </row>
    <row r="1032">
      <c r="A1032" s="37"/>
      <c r="B1032" s="37"/>
      <c r="C1032" s="37"/>
      <c r="D1032" s="37"/>
      <c r="E1032" s="37"/>
      <c r="K1032" s="48"/>
    </row>
    <row r="1033">
      <c r="A1033" s="37"/>
      <c r="B1033" s="37"/>
      <c r="C1033" s="37"/>
      <c r="D1033" s="37"/>
      <c r="E1033" s="37"/>
      <c r="K1033" s="48"/>
    </row>
    <row r="1034">
      <c r="A1034" s="37"/>
      <c r="B1034" s="37"/>
      <c r="C1034" s="37"/>
      <c r="D1034" s="37"/>
      <c r="E1034" s="37"/>
      <c r="K1034" s="48"/>
    </row>
    <row r="1035">
      <c r="A1035" s="37"/>
      <c r="B1035" s="37"/>
      <c r="C1035" s="37"/>
      <c r="D1035" s="37"/>
      <c r="E1035" s="37"/>
      <c r="K1035" s="48"/>
    </row>
    <row r="1036">
      <c r="A1036" s="37"/>
      <c r="B1036" s="37"/>
      <c r="C1036" s="37"/>
      <c r="D1036" s="37"/>
      <c r="E1036" s="37"/>
      <c r="K1036" s="48"/>
    </row>
    <row r="1037">
      <c r="A1037" s="37"/>
      <c r="B1037" s="37"/>
      <c r="C1037" s="37"/>
      <c r="D1037" s="37"/>
      <c r="E1037" s="37"/>
      <c r="K1037" s="48"/>
    </row>
  </sheetData>
  <mergeCells count="7">
    <mergeCell ref="A4:B4"/>
    <mergeCell ref="C4:D4"/>
    <mergeCell ref="A5:B5"/>
    <mergeCell ref="C5:D5"/>
    <mergeCell ref="G22:G36"/>
    <mergeCell ref="G37:G40"/>
    <mergeCell ref="G41:G49"/>
  </mergeCells>
  <dataValidations>
    <dataValidation type="list" allowBlank="1" showErrorMessage="1" sqref="B6">
      <formula1>"MINH THUẬN,CẨM NHIÊN,Nhung"</formula1>
    </dataValidation>
    <dataValidation type="list" allowBlank="1" showErrorMessage="1" sqref="O3:O62">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6.88"/>
    <col customWidth="1" min="10" max="10" width="14.63"/>
    <col customWidth="1" min="11" max="11" width="14.0"/>
    <col customWidth="1" min="12" max="12" width="23.75"/>
    <col customWidth="1" min="13" max="13" width="25.25"/>
    <col customWidth="1" min="14" max="14" width="24.25"/>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119</v>
      </c>
      <c r="B3" s="11">
        <f>COUNTIF(O:O,"Pass")</f>
        <v>13</v>
      </c>
      <c r="C3" s="11">
        <f>COUNTIF(O:O,"Fail")</f>
        <v>47</v>
      </c>
      <c r="D3" s="11">
        <f>COUNTIF(O:O,"Untest")</f>
        <v>0</v>
      </c>
      <c r="E3" s="8"/>
      <c r="F3" s="12" t="s">
        <v>558</v>
      </c>
      <c r="G3" s="12" t="s">
        <v>15</v>
      </c>
      <c r="H3" s="12" t="s">
        <v>559</v>
      </c>
      <c r="I3" s="12" t="s">
        <v>560</v>
      </c>
      <c r="J3" s="12" t="s">
        <v>561</v>
      </c>
      <c r="K3" s="13" t="str">
        <f>IFERROR(__xludf.DUMMYFUNCTION("IF(ISBLANK(J3), ""Input test step"", ARRAYFORMULA(TEXTJOIN(CHAR(10), TRUE, (""Step ""&amp; ROW(INDIRECT(""1:"" &amp; COUNTA(SPLIT(J3, CHAR(10))))) &amp; "": "" &amp; TRANSPOSE(SPLIT(J3, CHAR(10)))))))"),"Step 1: Navigate to the “My Cart” page
Step 2: Check that the header size, position, and color displayed correctly")</f>
        <v>Step 1: Navigate to the “My Cart” page
Step 2: Check that the header size, position, and color displayed correctly</v>
      </c>
      <c r="L3" s="14"/>
      <c r="M3" s="12" t="s">
        <v>562</v>
      </c>
      <c r="N3" s="12" t="s">
        <v>563</v>
      </c>
      <c r="O3" s="12" t="s">
        <v>2</v>
      </c>
      <c r="P3" s="12"/>
    </row>
    <row r="4">
      <c r="A4" s="58"/>
      <c r="B4" s="59"/>
      <c r="C4" s="60"/>
      <c r="D4" s="60"/>
      <c r="E4" s="18"/>
      <c r="F4" s="12" t="s">
        <v>564</v>
      </c>
      <c r="G4" s="12"/>
      <c r="H4" s="12" t="s">
        <v>565</v>
      </c>
      <c r="I4" s="12" t="s">
        <v>566</v>
      </c>
      <c r="J4" s="12" t="s">
        <v>567</v>
      </c>
      <c r="K4" s="13" t="str">
        <f>IFERROR(__xludf.DUMMYFUNCTION("IF(ISBLANK(J4), ""Input test step"", ARRAYFORMULA(TEXTJOIN(CHAR(10), TRUE, (""Step ""&amp; ROW(INDIRECT(""1:"" &amp; COUNTA(SPLIT(J4, CHAR(10))))) &amp; "": "" &amp; TRANSPOSE(SPLIT(J4, CHAR(10)))))))"),"Step 1: Navigate to the ""My Cart"" page
Step 2: Click on the icon (&gt;) on the right of the discount amount display area
Step 3: Check and confirm Check the position and size of the close button displays correctly ")</f>
        <v>Step 1: Navigate to the "My Cart" page
Step 2: Click on the icon (&gt;) on the right of the discount amount display area
Step 3: Check and confirm Check the position and size of the close button displays correctly </v>
      </c>
      <c r="L4" s="14"/>
      <c r="M4" s="12" t="s">
        <v>568</v>
      </c>
      <c r="N4" s="12" t="s">
        <v>569</v>
      </c>
      <c r="O4" s="12" t="s">
        <v>2</v>
      </c>
      <c r="P4" s="19"/>
    </row>
    <row r="5">
      <c r="A5" s="15" t="s">
        <v>20</v>
      </c>
      <c r="B5" s="16"/>
      <c r="C5" s="17">
        <f>IFERROR(((B3+C3)/A3),0)</f>
        <v>0.5042016807</v>
      </c>
      <c r="D5" s="16"/>
      <c r="E5" s="18"/>
      <c r="F5" s="12" t="s">
        <v>570</v>
      </c>
      <c r="G5" s="12"/>
      <c r="H5" s="12" t="s">
        <v>571</v>
      </c>
      <c r="I5" s="12" t="s">
        <v>560</v>
      </c>
      <c r="J5" s="12" t="s">
        <v>572</v>
      </c>
      <c r="K5" s="13" t="str">
        <f>IFERROR(__xludf.DUMMYFUNCTION("IF(ISBLANK(J5), ""Input test step"", ARRAYFORMULA(TEXTJOIN(CHAR(10), TRUE, (""Step ""&amp; ROW(INDIRECT(""1:"" &amp; COUNTA(SPLIT(J5, CHAR(10))))) &amp; "": "" &amp; TRANSPOSE(SPLIT(J5, CHAR(10)))))))"),"Step 1: Navigate to ""My Cart"" page
Step 2: Check the correct size and position of the ""Back"" button")</f>
        <v>Step 1: Navigate to "My Cart" page
Step 2: Check the correct size and position of the "Back" button</v>
      </c>
      <c r="L5" s="14"/>
      <c r="M5" s="12" t="s">
        <v>573</v>
      </c>
      <c r="N5" s="12" t="s">
        <v>573</v>
      </c>
      <c r="O5" s="12" t="s">
        <v>1</v>
      </c>
      <c r="P5" s="19"/>
    </row>
    <row r="6">
      <c r="A6" s="15" t="s">
        <v>26</v>
      </c>
      <c r="B6" s="16"/>
      <c r="C6" s="20">
        <f>IFERROR(B3/(B3+C3),0)</f>
        <v>0.2166666667</v>
      </c>
      <c r="D6" s="16"/>
      <c r="E6" s="18"/>
      <c r="F6" s="12" t="s">
        <v>574</v>
      </c>
      <c r="G6" s="12"/>
      <c r="H6" s="12" t="s">
        <v>575</v>
      </c>
      <c r="I6" s="12" t="s">
        <v>560</v>
      </c>
      <c r="J6" s="12" t="s">
        <v>576</v>
      </c>
      <c r="K6" s="13" t="str">
        <f>IFERROR(__xludf.DUMMYFUNCTION("IF(ISBLANK(J6), ""Input test step"", ARRAYFORMULA(TEXTJOIN(CHAR(10), TRUE, (""Step ""&amp; ROW(INDIRECT(""1:"" &amp; COUNTA(SPLIT(J6, CHAR(10))))) &amp; "": "" &amp; TRANSPOSE(SPLIT(J6, CHAR(10)))))))"),"Step 1: Navigate to ""My Cart"" page
Step 2: Check the search box size and position displays correctly")</f>
        <v>Step 1: Navigate to "My Cart" page
Step 2: Check the search box size and position displays correctly</v>
      </c>
      <c r="L6" s="14"/>
      <c r="M6" s="21" t="s">
        <v>577</v>
      </c>
      <c r="N6" s="21" t="s">
        <v>578</v>
      </c>
      <c r="O6" s="12" t="s">
        <v>2</v>
      </c>
      <c r="P6" s="19"/>
    </row>
    <row r="7">
      <c r="A7" s="23" t="s">
        <v>579</v>
      </c>
      <c r="D7" s="24"/>
      <c r="E7" s="18"/>
      <c r="F7" s="12" t="s">
        <v>580</v>
      </c>
      <c r="G7" s="12"/>
      <c r="H7" s="12" t="s">
        <v>581</v>
      </c>
      <c r="I7" s="12" t="s">
        <v>560</v>
      </c>
      <c r="J7" s="12" t="s">
        <v>582</v>
      </c>
      <c r="K7" s="13" t="str">
        <f>IFERROR(__xludf.DUMMYFUNCTION("IF(ISBLANK(J7), ""Input test step"", ARRAYFORMULA(TEXTJOIN(CHAR(10), TRUE, (""Step ""&amp; ROW(INDIRECT(""1:"" &amp; COUNTA(SPLIT(J7, CHAR(10))))) &amp; "": "" &amp; TRANSPOSE(SPLIT(J7, CHAR(10)))))))"),"Step 1: Navigate to ""My Cart"" page
Step 2: Check the plahoder font size, position and color are displayed correctly in the search dialog")</f>
        <v>Step 1: Navigate to "My Cart" page
Step 2: Check the plahoder font size, position and color are displayed correctly in the search dialog</v>
      </c>
      <c r="L7" s="14"/>
      <c r="M7" s="21" t="s">
        <v>583</v>
      </c>
      <c r="N7" s="21" t="s">
        <v>583</v>
      </c>
      <c r="O7" s="12" t="s">
        <v>1</v>
      </c>
      <c r="P7" s="19"/>
    </row>
    <row r="8">
      <c r="A8" s="25"/>
      <c r="D8" s="24"/>
      <c r="E8" s="18"/>
      <c r="F8" s="12" t="s">
        <v>584</v>
      </c>
      <c r="G8" s="12"/>
      <c r="H8" s="12" t="s">
        <v>585</v>
      </c>
      <c r="I8" s="12" t="s">
        <v>566</v>
      </c>
      <c r="J8" s="12" t="s">
        <v>586</v>
      </c>
      <c r="K8" s="13" t="str">
        <f>IFERROR(__xludf.DUMMYFUNCTION("IF(ISBLANK(J8), ""Input test step"", ARRAYFORMULA(TEXTJOIN(CHAR(10), TRUE, (""Step ""&amp; ROW(INDIRECT(""1:"" &amp; COUNTA(SPLIT(J8, CHAR(10))))) &amp; "": "" &amp; TRANSPOSE(SPLIT(J8, CHAR(10)))))))"),"Step 1: Navigate to ""My Cart"" page
Step 2: Check the search box size correctly when the ""Delete"" button is visible and when the ""Delete"" button is hidden")</f>
        <v>Step 1: Navigate to "My Cart" page
Step 2: Check the search box size correctly when the "Delete" button is visible and when the "Delete" button is hidden</v>
      </c>
      <c r="L8" s="14"/>
      <c r="M8" s="12" t="s">
        <v>587</v>
      </c>
      <c r="N8" s="12"/>
      <c r="O8" s="12" t="s">
        <v>2</v>
      </c>
      <c r="P8" s="19"/>
    </row>
    <row r="9">
      <c r="A9" s="26" t="s">
        <v>46</v>
      </c>
      <c r="B9" s="27" t="s">
        <v>47</v>
      </c>
      <c r="C9" s="29"/>
      <c r="D9" s="29"/>
      <c r="E9" s="18"/>
      <c r="F9" s="12" t="s">
        <v>588</v>
      </c>
      <c r="G9" s="12"/>
      <c r="H9" s="12" t="s">
        <v>589</v>
      </c>
      <c r="I9" s="12" t="s">
        <v>566</v>
      </c>
      <c r="J9" s="12" t="s">
        <v>590</v>
      </c>
      <c r="K9" s="13" t="str">
        <f>IFERROR(__xludf.DUMMYFUNCTION("IF(ISBLANK(J9), ""Input test step"", ARRAYFORMULA(TEXTJOIN(CHAR(10), TRUE, (""Step ""&amp; ROW(INDIRECT(""1:"" &amp; COUNTA(SPLIT(J9, CHAR(10))))) &amp; "": "" &amp; TRANSPOSE(SPLIT(J9, CHAR(10)))))))"),"Step 1: Navigate to the ""My Cart"" page
Step 2: Check that the ""Delete"" button's size, position, color, and background color are correct")</f>
        <v>Step 1: Navigate to the "My Cart" page
Step 2: Check that the "Delete" button's size, position, color, and background color are correct</v>
      </c>
      <c r="L9" s="14"/>
      <c r="M9" s="12" t="s">
        <v>591</v>
      </c>
      <c r="N9" s="12"/>
      <c r="O9" s="12" t="s">
        <v>2</v>
      </c>
      <c r="P9" s="19"/>
    </row>
    <row r="10">
      <c r="A10" s="28"/>
      <c r="B10" s="28"/>
      <c r="C10" s="28"/>
      <c r="D10" s="28"/>
      <c r="E10" s="18"/>
      <c r="F10" s="12" t="s">
        <v>592</v>
      </c>
      <c r="G10" s="12"/>
      <c r="H10" s="12" t="s">
        <v>593</v>
      </c>
      <c r="I10" s="12" t="s">
        <v>566</v>
      </c>
      <c r="J10" s="12" t="s">
        <v>594</v>
      </c>
      <c r="K10" s="13" t="str">
        <f>IFERROR(__xludf.DUMMYFUNCTION("IF(ISBLANK(J10), ""Input test step"", ARRAYFORMULA(TEXTJOIN(CHAR(10), TRUE, (""Step ""&amp; ROW(INDIRECT(""1:"" &amp; COUNTA(SPLIT(J10, CHAR(10))))) &amp; "": "" &amp; TRANSPOSE(SPLIT(J10, CHAR(10)))))))"),"Step 1: Navigate to the ""My Cart"" page
Step 2: Check the position of product list display correctly ")</f>
        <v>Step 1: Navigate to the "My Cart" page
Step 2: Check the position of product list display correctly </v>
      </c>
      <c r="L10" s="14"/>
      <c r="M10" s="12" t="s">
        <v>595</v>
      </c>
      <c r="N10" s="12"/>
      <c r="O10" s="12" t="s">
        <v>1</v>
      </c>
      <c r="P10" s="19"/>
    </row>
    <row r="11">
      <c r="A11" s="28"/>
      <c r="B11" s="28"/>
      <c r="C11" s="28"/>
      <c r="D11" s="28"/>
      <c r="E11" s="18"/>
      <c r="F11" s="12" t="s">
        <v>596</v>
      </c>
      <c r="G11" s="12"/>
      <c r="H11" s="12" t="s">
        <v>597</v>
      </c>
      <c r="I11" s="12" t="s">
        <v>598</v>
      </c>
      <c r="J11" s="12" t="s">
        <v>599</v>
      </c>
      <c r="K11" s="13" t="str">
        <f>IFERROR(__xludf.DUMMYFUNCTION("IF(ISBLANK(J11), ""Input test step"", ARRAYFORMULA(TEXTJOIN(CHAR(10), TRUE, (""Step ""&amp; ROW(INDIRECT(""1:"" &amp; COUNTA(SPLIT(J11, CHAR(10))))) &amp; "": "" &amp; TRANSPOSE(SPLIT(J11, CHAR(10)))))))"),"Step 1: Navigate to “My Cart” page
Step 2: Check the scrollability of the list ")</f>
        <v>Step 1: Navigate to “My Cart” page
Step 2: Check the scrollability of the list </v>
      </c>
      <c r="L11" s="14"/>
      <c r="M11" s="12" t="s">
        <v>600</v>
      </c>
      <c r="N11" s="12"/>
      <c r="O11" s="12" t="s">
        <v>2</v>
      </c>
      <c r="P11" s="19"/>
    </row>
    <row r="12">
      <c r="A12" s="28"/>
      <c r="B12" s="28"/>
      <c r="C12" s="28"/>
      <c r="D12" s="28"/>
      <c r="E12" s="18"/>
      <c r="F12" s="12" t="s">
        <v>601</v>
      </c>
      <c r="G12" s="12"/>
      <c r="H12" s="12" t="s">
        <v>602</v>
      </c>
      <c r="I12" s="12" t="s">
        <v>598</v>
      </c>
      <c r="J12" s="12" t="s">
        <v>603</v>
      </c>
      <c r="K12" s="13" t="str">
        <f>IFERROR(__xludf.DUMMYFUNCTION("IF(ISBLANK(J12), ""Input test step"", ARRAYFORMULA(TEXTJOIN(CHAR(10), TRUE, (""Step ""&amp; ROW(INDIRECT(""1:"" &amp; COUNTA(SPLIT(J12, CHAR(10))))) &amp; "": "" &amp; TRANSPOSE(SPLIT(J12, CHAR(10)))))))"),"Step 1: Navigate to the ""My Cart"" page
Step 2: Verify the correct spacing between product items in the shopping cart.")</f>
        <v>Step 1: Navigate to the "My Cart" page
Step 2: Verify the correct spacing between product items in the shopping cart.</v>
      </c>
      <c r="L12" s="14"/>
      <c r="M12" s="12" t="s">
        <v>604</v>
      </c>
      <c r="N12" s="12"/>
      <c r="O12" s="12" t="s">
        <v>1</v>
      </c>
      <c r="P12" s="19"/>
    </row>
    <row r="13">
      <c r="A13" s="28"/>
      <c r="B13" s="28"/>
      <c r="C13" s="28"/>
      <c r="D13" s="28"/>
      <c r="E13" s="18"/>
      <c r="F13" s="12" t="s">
        <v>605</v>
      </c>
      <c r="G13" s="12"/>
      <c r="H13" s="12" t="s">
        <v>606</v>
      </c>
      <c r="I13" s="12" t="s">
        <v>598</v>
      </c>
      <c r="J13" s="12" t="s">
        <v>607</v>
      </c>
      <c r="K13" s="13" t="str">
        <f>IFERROR(__xludf.DUMMYFUNCTION("IF(ISBLANK(J13), ""Input test step"", ARRAYFORMULA(TEXTJOIN(CHAR(10), TRUE, (""Step ""&amp; ROW(INDIRECT(""1:"" &amp; COUNTA(SPLIT(J13, CHAR(10))))) &amp; "": "" &amp; TRANSPOSE(SPLIT(J13, CHAR(10)))))))"),"Step 1: Navigate to ""My cart"" page
Step 2: Verify the size, position of the checkbox displays correctly in a product item
Step 3:  ")</f>
        <v>Step 1: Navigate to "My cart" page
Step 2: Verify the size, position of the checkbox displays correctly in a product item
Step 3:  </v>
      </c>
      <c r="L13" s="14"/>
      <c r="M13" s="12" t="s">
        <v>608</v>
      </c>
      <c r="N13" s="12"/>
      <c r="O13" s="12" t="s">
        <v>1</v>
      </c>
      <c r="P13" s="19"/>
    </row>
    <row r="14">
      <c r="A14" s="28"/>
      <c r="B14" s="28"/>
      <c r="C14" s="28"/>
      <c r="D14" s="28"/>
      <c r="E14" s="18"/>
      <c r="F14" s="12" t="s">
        <v>609</v>
      </c>
      <c r="G14" s="12"/>
      <c r="H14" s="12" t="s">
        <v>610</v>
      </c>
      <c r="I14" s="12" t="s">
        <v>598</v>
      </c>
      <c r="J14" s="12" t="s">
        <v>611</v>
      </c>
      <c r="K14" s="13" t="str">
        <f>IFERROR(__xludf.DUMMYFUNCTION("IF(ISBLANK(J14), ""Input test step"", ARRAYFORMULA(TEXTJOIN(CHAR(10), TRUE, (""Step ""&amp; ROW(INDIRECT(""1:"" &amp; COUNTA(SPLIT(J14, CHAR(10))))) &amp; "": "" &amp; TRANSPOSE(SPLIT(J14, CHAR(10)))))))"),"Step 1: Navigate to ""My Cart"" page
Step 2: Check the correct display size and position of product images in a product item")</f>
        <v>Step 1: Navigate to "My Cart" page
Step 2: Check the correct display size and position of product images in a product item</v>
      </c>
      <c r="L14" s="14"/>
      <c r="M14" s="12" t="s">
        <v>612</v>
      </c>
      <c r="N14" s="12"/>
      <c r="O14" s="12" t="s">
        <v>2</v>
      </c>
      <c r="P14" s="19"/>
    </row>
    <row r="15">
      <c r="A15" s="28"/>
      <c r="B15" s="28"/>
      <c r="C15" s="28"/>
      <c r="D15" s="28"/>
      <c r="E15" s="18"/>
      <c r="F15" s="12" t="s">
        <v>613</v>
      </c>
      <c r="G15" s="12"/>
      <c r="H15" s="12" t="s">
        <v>614</v>
      </c>
      <c r="I15" s="12" t="s">
        <v>598</v>
      </c>
      <c r="J15" s="12" t="s">
        <v>615</v>
      </c>
      <c r="K15" s="13" t="str">
        <f>IFERROR(__xludf.DUMMYFUNCTION("IF(ISBLANK(J15), ""Input test step"", ARRAYFORMULA(TEXTJOIN(CHAR(10), TRUE, (""Step ""&amp; ROW(INDIRECT(""1:"" &amp; COUNTA(SPLIT(J15, CHAR(10))))) &amp; "": "" &amp; TRANSPOSE(SPLIT(J15, CHAR(10)))))))"),"Step 1: Navigate to the ""My Cart"" page
Step 2: Check that the product name font size, position, and color are displayed correctly")</f>
        <v>Step 1: Navigate to the "My Cart" page
Step 2: Check that the product name font size, position, and color are displayed correctly</v>
      </c>
      <c r="L15" s="14"/>
      <c r="M15" s="12" t="s">
        <v>616</v>
      </c>
      <c r="N15" s="12"/>
      <c r="O15" s="12" t="s">
        <v>1</v>
      </c>
      <c r="P15" s="19"/>
    </row>
    <row r="16">
      <c r="A16" s="28"/>
      <c r="B16" s="28"/>
      <c r="C16" s="28"/>
      <c r="D16" s="28"/>
      <c r="E16" s="18"/>
      <c r="F16" s="12" t="s">
        <v>617</v>
      </c>
      <c r="G16" s="12"/>
      <c r="H16" s="12" t="s">
        <v>618</v>
      </c>
      <c r="I16" s="12" t="s">
        <v>598</v>
      </c>
      <c r="J16" s="12" t="s">
        <v>619</v>
      </c>
      <c r="K16" s="13" t="str">
        <f>IFERROR(__xludf.DUMMYFUNCTION("IF(ISBLANK(J16), ""Input test step"", ARRAYFORMULA(TEXTJOIN(CHAR(10), TRUE, (""Step ""&amp; ROW(INDIRECT(""1:"" &amp; COUNTA(SPLIT(J16, CHAR(10))))) &amp; "": "" &amp; TRANSPOSE(SPLIT(J16, CHAR(10)))))))"),"Step 1: Navigate to the ""My Cart"" page
Step 2: Check to display the correct size, position and font color of the product price")</f>
        <v>Step 1: Navigate to the "My Cart" page
Step 2: Check to display the correct size, position and font color of the product price</v>
      </c>
      <c r="L16" s="14"/>
      <c r="M16" s="12" t="s">
        <v>620</v>
      </c>
      <c r="N16" s="12"/>
      <c r="O16" s="12" t="s">
        <v>1</v>
      </c>
      <c r="P16" s="19"/>
    </row>
    <row r="17">
      <c r="A17" s="28"/>
      <c r="B17" s="28"/>
      <c r="C17" s="28"/>
      <c r="D17" s="28"/>
      <c r="E17" s="18"/>
      <c r="F17" s="12" t="s">
        <v>621</v>
      </c>
      <c r="G17" s="12"/>
      <c r="H17" s="12" t="s">
        <v>622</v>
      </c>
      <c r="I17" s="12" t="s">
        <v>598</v>
      </c>
      <c r="J17" s="12" t="s">
        <v>623</v>
      </c>
      <c r="K17" s="13" t="str">
        <f>IFERROR(__xludf.DUMMYFUNCTION("IF(ISBLANK(J17), ""Input test step"", ARRAYFORMULA(TEXTJOIN(CHAR(10), TRUE, (""Step ""&amp; ROW(INDIRECT(""1:"" &amp; COUNTA(SPLIT(J17, CHAR(10))))) &amp; "": "" &amp; TRANSPOSE(SPLIT(J17, CHAR(10)))))))"),"Step 1: Navigate to the ""My Cart"" page
Step 2: Check the correct display size and position of the three-dot menu")</f>
        <v>Step 1: Navigate to the "My Cart" page
Step 2: Check the correct display size and position of the three-dot menu</v>
      </c>
      <c r="L17" s="14"/>
      <c r="M17" s="12" t="s">
        <v>624</v>
      </c>
      <c r="N17" s="12"/>
      <c r="O17" s="12" t="s">
        <v>1</v>
      </c>
      <c r="P17" s="19"/>
    </row>
    <row r="18">
      <c r="A18" s="28"/>
      <c r="B18" s="28"/>
      <c r="C18" s="28"/>
      <c r="D18" s="28"/>
      <c r="E18" s="18"/>
      <c r="F18" s="12" t="s">
        <v>625</v>
      </c>
      <c r="G18" s="12"/>
      <c r="H18" s="12" t="s">
        <v>626</v>
      </c>
      <c r="I18" s="12" t="s">
        <v>598</v>
      </c>
      <c r="J18" s="12" t="s">
        <v>627</v>
      </c>
      <c r="K18" s="13" t="str">
        <f>IFERROR(__xludf.DUMMYFUNCTION("IF(ISBLANK(J18), ""Input test step"", ARRAYFORMULA(TEXTJOIN(CHAR(10), TRUE, (""Step ""&amp; ROW(INDIRECT(""1:"" &amp; COUNTA(SPLIT(J18, CHAR(10))))) &amp; "": "" &amp; TRANSPOSE(SPLIT(J18, CHAR(10)))))))"),"Step 1: Navigate to ""My Cart"" page
Step 2: Check the correct display size and position of the (-) button in a product item")</f>
        <v>Step 1: Navigate to "My Cart" page
Step 2: Check the correct display size and position of the (-) button in a product item</v>
      </c>
      <c r="L18" s="14"/>
      <c r="M18" s="12" t="s">
        <v>628</v>
      </c>
      <c r="N18" s="12"/>
      <c r="O18" s="12" t="s">
        <v>1</v>
      </c>
      <c r="P18" s="19"/>
    </row>
    <row r="19">
      <c r="A19" s="28"/>
      <c r="B19" s="28"/>
      <c r="C19" s="28"/>
      <c r="D19" s="28"/>
      <c r="E19" s="18"/>
      <c r="F19" s="12" t="s">
        <v>629</v>
      </c>
      <c r="G19" s="12"/>
      <c r="H19" s="12" t="s">
        <v>630</v>
      </c>
      <c r="I19" s="12" t="s">
        <v>598</v>
      </c>
      <c r="J19" s="12" t="s">
        <v>631</v>
      </c>
      <c r="K19" s="13" t="str">
        <f>IFERROR(__xludf.DUMMYFUNCTION("IF(ISBLANK(J19), ""Input test step"", ARRAYFORMULA(TEXTJOIN(CHAR(10), TRUE, (""Step ""&amp; ROW(INDIRECT(""1:"" &amp; COUNTA(SPLIT(J19, CHAR(10))))) &amp; "": "" &amp; TRANSPOSE(SPLIT(J19, CHAR(10)))))))"),"Step 1: Navigate to ""My Cart"" page
Step 2: Check the correct display size and position of the (+) button in a product item")</f>
        <v>Step 1: Navigate to "My Cart" page
Step 2: Check the correct display size and position of the (+) button in a product item</v>
      </c>
      <c r="L19" s="14"/>
      <c r="M19" s="12" t="s">
        <v>632</v>
      </c>
      <c r="N19" s="12"/>
      <c r="O19" s="12" t="s">
        <v>1</v>
      </c>
      <c r="P19" s="19"/>
    </row>
    <row r="20">
      <c r="A20" s="28"/>
      <c r="B20" s="28"/>
      <c r="C20" s="28"/>
      <c r="D20" s="28"/>
      <c r="E20" s="18"/>
      <c r="F20" s="12" t="s">
        <v>633</v>
      </c>
      <c r="G20" s="12"/>
      <c r="H20" s="12" t="s">
        <v>634</v>
      </c>
      <c r="I20" s="12" t="s">
        <v>598</v>
      </c>
      <c r="J20" s="12" t="s">
        <v>635</v>
      </c>
      <c r="K20" s="13" t="str">
        <f>IFERROR(__xludf.DUMMYFUNCTION("IF(ISBLANK(J20), ""Input test step"", ARRAYFORMULA(TEXTJOIN(CHAR(10), TRUE, (""Step ""&amp; ROW(INDIRECT(""1:"" &amp; COUNTA(SPLIT(J20, CHAR(10))))) &amp; "": "" &amp; TRANSPOSE(SPLIT(J20, CHAR(10)))))))"),"Step 1: Navigate to ""My Cart"" page
Step 2: Check the correct size and position of the product quantity display area in a product item")</f>
        <v>Step 1: Navigate to "My Cart" page
Step 2: Check the correct size and position of the product quantity display area in a product item</v>
      </c>
      <c r="L20" s="14"/>
      <c r="M20" s="12" t="s">
        <v>636</v>
      </c>
      <c r="N20" s="12" t="s">
        <v>637</v>
      </c>
      <c r="O20" s="12" t="s">
        <v>2</v>
      </c>
      <c r="P20" s="19"/>
    </row>
    <row r="21">
      <c r="A21" s="28"/>
      <c r="B21" s="28"/>
      <c r="C21" s="28"/>
      <c r="D21" s="28"/>
      <c r="E21" s="18"/>
      <c r="F21" s="12" t="s">
        <v>638</v>
      </c>
      <c r="G21" s="12"/>
      <c r="H21" s="12" t="s">
        <v>639</v>
      </c>
      <c r="I21" s="12" t="s">
        <v>598</v>
      </c>
      <c r="J21" s="12" t="s">
        <v>640</v>
      </c>
      <c r="K21" s="13" t="str">
        <f>IFERROR(__xludf.DUMMYFUNCTION("IF(ISBLANK(J21), ""Input test step"", ARRAYFORMULA(TEXTJOIN(CHAR(10), TRUE, (""Step ""&amp; ROW(INDIRECT(""1:"" &amp; COUNTA(SPLIT(J21, CHAR(10))))) &amp; "": "" &amp; TRANSPOSE(SPLIT(J21, CHAR(10)))))))"),"Step 1: Navigate to the ""My Cart"" page
Step 2: Check the correct size, position and font color of the discount amount display area according to the coupon code")</f>
        <v>Step 1: Navigate to the "My Cart" page
Step 2: Check the correct size, position and font color of the discount amount display area according to the coupon code</v>
      </c>
      <c r="L21" s="14"/>
      <c r="M21" s="12" t="s">
        <v>641</v>
      </c>
      <c r="N21" s="12"/>
      <c r="O21" s="12" t="s">
        <v>2</v>
      </c>
      <c r="P21" s="19"/>
    </row>
    <row r="22">
      <c r="A22" s="28"/>
      <c r="B22" s="28"/>
      <c r="C22" s="28"/>
      <c r="D22" s="28"/>
      <c r="E22" s="18"/>
      <c r="F22" s="12" t="s">
        <v>642</v>
      </c>
      <c r="G22" s="12"/>
      <c r="H22" s="12" t="s">
        <v>643</v>
      </c>
      <c r="I22" s="12" t="s">
        <v>598</v>
      </c>
      <c r="J22" s="12" t="s">
        <v>644</v>
      </c>
      <c r="K22" s="13" t="str">
        <f>IFERROR(__xludf.DUMMYFUNCTION("IF(ISBLANK(J22), ""Input test step"", ARRAYFORMULA(TEXTJOIN(CHAR(10), TRUE, (""Step ""&amp; ROW(INDIRECT(""1:"" &amp; COUNTA(SPLIT(J22, CHAR(10))))) &amp; "": "" &amp; TRANSPOSE(SPLIT(J22, CHAR(10)))))))"),"Step 1: Navigate to the ""My Cart"" page
Step 2: Check the correct size, position, and font color of the shipping code discount amount display area")</f>
        <v>Step 1: Navigate to the "My Cart" page
Step 2: Check the correct size, position, and font color of the shipping code discount amount display area</v>
      </c>
      <c r="L22" s="14"/>
      <c r="M22" s="12" t="s">
        <v>645</v>
      </c>
      <c r="N22" s="12"/>
      <c r="O22" s="12" t="s">
        <v>2</v>
      </c>
      <c r="P22" s="19"/>
    </row>
    <row r="23">
      <c r="A23" s="28"/>
      <c r="B23" s="28"/>
      <c r="C23" s="28"/>
      <c r="D23" s="28"/>
      <c r="E23" s="18"/>
      <c r="F23" s="12" t="s">
        <v>646</v>
      </c>
      <c r="G23" s="12"/>
      <c r="H23" s="12" t="s">
        <v>647</v>
      </c>
      <c r="I23" s="12" t="s">
        <v>598</v>
      </c>
      <c r="J23" s="12" t="s">
        <v>648</v>
      </c>
      <c r="K23" s="13" t="str">
        <f>IFERROR(__xludf.DUMMYFUNCTION("IF(ISBLANK(J23), ""Input test step"", ARRAYFORMULA(TEXTJOIN(CHAR(10), TRUE, (""Step ""&amp; ROW(INDIRECT(""1:"" &amp; COUNTA(SPLIT(J23, CHAR(10))))) &amp; "": "" &amp; TRANSPOSE(SPLIT(J23, CHAR(10)))))))"),"Step 1: Navigate to the ""My Cart"" page
Step 2: Check the correct display size and position of the button icon (&gt;) to the right of the discount display area")</f>
        <v>Step 1: Navigate to the "My Cart" page
Step 2: Check the correct display size and position of the button icon (&gt;) to the right of the discount display area</v>
      </c>
      <c r="L23" s="14"/>
      <c r="M23" s="12" t="s">
        <v>649</v>
      </c>
      <c r="N23" s="12"/>
      <c r="O23" s="12" t="s">
        <v>1</v>
      </c>
      <c r="P23" s="19"/>
    </row>
    <row r="24">
      <c r="A24" s="28"/>
      <c r="B24" s="28"/>
      <c r="C24" s="28"/>
      <c r="D24" s="28"/>
      <c r="E24" s="18"/>
      <c r="F24" s="12" t="s">
        <v>650</v>
      </c>
      <c r="G24" s="12"/>
      <c r="H24" s="12" t="s">
        <v>651</v>
      </c>
      <c r="I24" s="12" t="s">
        <v>598</v>
      </c>
      <c r="J24" s="12" t="s">
        <v>652</v>
      </c>
      <c r="K24" s="13" t="str">
        <f>IFERROR(__xludf.DUMMYFUNCTION("IF(ISBLANK(J24), ""Input test step"", ARRAYFORMULA(TEXTJOIN(CHAR(10), TRUE, (""Step ""&amp; ROW(INDIRECT(""1:"" &amp; COUNTA(SPLIT(J24, CHAR(10))))) &amp; "": "" &amp; TRANSPOSE(SPLIT(J24, CHAR(10)))))))"),"Step 1: Navigate to ""My Cart"" page
Step 2: Check the display of the correct size and position of the all checkbox")</f>
        <v>Step 1: Navigate to "My Cart" page
Step 2: Check the display of the correct size and position of the all checkbox</v>
      </c>
      <c r="L24" s="14"/>
      <c r="M24" s="12" t="s">
        <v>653</v>
      </c>
      <c r="N24" s="12" t="s">
        <v>654</v>
      </c>
      <c r="O24" s="12" t="s">
        <v>2</v>
      </c>
      <c r="P24" s="19"/>
    </row>
    <row r="25">
      <c r="A25" s="28"/>
      <c r="B25" s="28"/>
      <c r="C25" s="28"/>
      <c r="D25" s="28"/>
      <c r="E25" s="18"/>
      <c r="F25" s="12" t="s">
        <v>655</v>
      </c>
      <c r="G25" s="12"/>
      <c r="H25" s="12" t="s">
        <v>656</v>
      </c>
      <c r="I25" s="12" t="s">
        <v>598</v>
      </c>
      <c r="J25" s="12" t="s">
        <v>657</v>
      </c>
      <c r="K25" s="13" t="str">
        <f>IFERROR(__xludf.DUMMYFUNCTION("IF(ISBLANK(J25), ""Input test step"", ARRAYFORMULA(TEXTJOIN(CHAR(10), TRUE, (""Step ""&amp; ROW(INDIRECT(""1:"" &amp; COUNTA(SPLIT(J25, CHAR(10))))) &amp; "": "" &amp; TRANSPOSE(SPLIT(J25, CHAR(10)))))))"),"Step 1: Navigate to the ""My Cart"" page
Step 2: Check the total amount display area for correct size, position and font color")</f>
        <v>Step 1: Navigate to the "My Cart" page
Step 2: Check the total amount display area for correct size, position and font color</v>
      </c>
      <c r="L25" s="14"/>
      <c r="M25" s="12" t="s">
        <v>658</v>
      </c>
      <c r="N25" s="12"/>
      <c r="O25" s="12" t="s">
        <v>1</v>
      </c>
      <c r="P25" s="19"/>
    </row>
    <row r="26">
      <c r="A26" s="28"/>
      <c r="B26" s="28"/>
      <c r="C26" s="28"/>
      <c r="D26" s="28"/>
      <c r="E26" s="18"/>
      <c r="F26" s="12" t="s">
        <v>659</v>
      </c>
      <c r="G26" s="12"/>
      <c r="H26" s="12" t="s">
        <v>660</v>
      </c>
      <c r="I26" s="12" t="s">
        <v>598</v>
      </c>
      <c r="J26" s="12" t="s">
        <v>661</v>
      </c>
      <c r="K26" s="13" t="str">
        <f>IFERROR(__xludf.DUMMYFUNCTION("IF(ISBLANK(J26), ""Input test step"", ARRAYFORMULA(TEXTJOIN(CHAR(10), TRUE, (""Step ""&amp; ROW(INDIRECT(""1:"" &amp; COUNTA(SPLIT(J26, CHAR(10))))) &amp; "": "" &amp; TRANSPOSE(SPLIT(J26, CHAR(10)))))))"),"Step 1: Navigate to the ""My Cart"" page
Step 2: Check to see the correct size, position and color of the total discount text")</f>
        <v>Step 1: Navigate to the "My Cart" page
Step 2: Check to see the correct size, position and color of the total discount text</v>
      </c>
      <c r="L26" s="14"/>
      <c r="M26" s="12" t="s">
        <v>662</v>
      </c>
      <c r="N26" s="12" t="s">
        <v>663</v>
      </c>
      <c r="O26" s="12" t="s">
        <v>2</v>
      </c>
      <c r="P26" s="19"/>
    </row>
    <row r="27">
      <c r="A27" s="28"/>
      <c r="B27" s="28"/>
      <c r="C27" s="28"/>
      <c r="D27" s="28"/>
      <c r="E27" s="18"/>
      <c r="F27" s="12" t="s">
        <v>664</v>
      </c>
      <c r="G27" s="12"/>
      <c r="H27" s="12" t="s">
        <v>665</v>
      </c>
      <c r="I27" s="12" t="s">
        <v>598</v>
      </c>
      <c r="J27" s="12" t="s">
        <v>666</v>
      </c>
      <c r="K27" s="13" t="str">
        <f>IFERROR(__xludf.DUMMYFUNCTION("IF(ISBLANK(J27), ""Input test step"", ARRAYFORMULA(TEXTJOIN(CHAR(10), TRUE, (""Step ""&amp; ROW(INDIRECT(""1:"" &amp; COUNTA(SPLIT(J27, CHAR(10))))) &amp; "": "" &amp; TRANSPOSE(SPLIT(J27, CHAR(10)))))))"),"Step 1: Navigate to the ""My Cart"" page
Step 2: Check the ""Checkout"" button's size, position, and background color are displayed correctly")</f>
        <v>Step 1: Navigate to the "My Cart" page
Step 2: Check the "Checkout" button's size, position, and background color are displayed correctly</v>
      </c>
      <c r="L27" s="14"/>
      <c r="M27" s="12" t="s">
        <v>667</v>
      </c>
      <c r="N27" s="12" t="s">
        <v>668</v>
      </c>
      <c r="O27" s="12" t="s">
        <v>2</v>
      </c>
      <c r="P27" s="19"/>
    </row>
    <row r="28">
      <c r="A28" s="28"/>
      <c r="B28" s="28"/>
      <c r="C28" s="28"/>
      <c r="D28" s="28"/>
      <c r="E28" s="18"/>
      <c r="F28" s="12" t="s">
        <v>669</v>
      </c>
      <c r="G28" s="12"/>
      <c r="H28" s="12" t="s">
        <v>670</v>
      </c>
      <c r="I28" s="12" t="s">
        <v>598</v>
      </c>
      <c r="J28" s="12" t="s">
        <v>671</v>
      </c>
      <c r="K28" s="13" t="str">
        <f>IFERROR(__xludf.DUMMYFUNCTION("IF(ISBLANK(J28), ""Input test step"", ARRAYFORMULA(TEXTJOIN(CHAR(10), TRUE, (""Step ""&amp; ROW(INDIRECT(""1:"" &amp; COUNTA(SPLIT(J28, CHAR(10))))) &amp; "": "" &amp; TRANSPOSE(SPLIT(J28, CHAR(10)))))))"),"Step 1: Navigate to ""My Cart"" page
Step 2: Check the correct size and position of the ""Clear All"" dialog box")</f>
        <v>Step 1: Navigate to "My Cart" page
Step 2: Check the correct size and position of the "Clear All" dialog box</v>
      </c>
      <c r="L28" s="14"/>
      <c r="M28" s="12" t="s">
        <v>672</v>
      </c>
      <c r="N28" s="12" t="s">
        <v>673</v>
      </c>
      <c r="O28" s="12" t="s">
        <v>2</v>
      </c>
      <c r="P28" s="19"/>
    </row>
    <row r="29">
      <c r="A29" s="28"/>
      <c r="B29" s="28"/>
      <c r="C29" s="28"/>
      <c r="D29" s="28"/>
      <c r="E29" s="18"/>
      <c r="F29" s="12" t="s">
        <v>674</v>
      </c>
      <c r="G29" s="12"/>
      <c r="H29" s="12" t="s">
        <v>675</v>
      </c>
      <c r="I29" s="12" t="s">
        <v>598</v>
      </c>
      <c r="J29" s="12" t="s">
        <v>676</v>
      </c>
      <c r="K29" s="13" t="str">
        <f>IFERROR(__xludf.DUMMYFUNCTION("IF(ISBLANK(J29), ""Input test step"", ARRAYFORMULA(TEXTJOIN(CHAR(10), TRUE, (""Step ""&amp; ROW(INDIRECT(""1:"" &amp; COUNTA(SPLIT(J29, CHAR(10))))) &amp; "": "" &amp; TRANSPOSE(SPLIT(J29, CHAR(10)))))))"),"Step 1: Navigate to the ""My Cart"" page
Step 2: Check that the ""Are you sure you want to delete this x item"" message is displayed correctly.")</f>
        <v>Step 1: Navigate to the "My Cart" page
Step 2: Check that the "Are you sure you want to delete this x item" message is displayed correctly.</v>
      </c>
      <c r="L29" s="14"/>
      <c r="M29" s="12" t="s">
        <v>677</v>
      </c>
      <c r="N29" s="12" t="s">
        <v>673</v>
      </c>
      <c r="O29" s="12" t="s">
        <v>2</v>
      </c>
      <c r="P29" s="19"/>
    </row>
    <row r="30">
      <c r="A30" s="28"/>
      <c r="B30" s="28"/>
      <c r="C30" s="28"/>
      <c r="D30" s="28"/>
      <c r="E30" s="18"/>
      <c r="F30" s="12" t="s">
        <v>678</v>
      </c>
      <c r="G30" s="12"/>
      <c r="H30" s="12" t="s">
        <v>679</v>
      </c>
      <c r="I30" s="12" t="s">
        <v>598</v>
      </c>
      <c r="J30" s="12" t="s">
        <v>680</v>
      </c>
      <c r="K30" s="13" t="str">
        <f>IFERROR(__xludf.DUMMYFUNCTION("IF(ISBLANK(J30), ""Input test step"", ARRAYFORMULA(TEXTJOIN(CHAR(10), TRUE, (""Step ""&amp; ROW(INDIRECT(""1:"" &amp; COUNTA(SPLIT(J30, CHAR(10))))) &amp; "": "" &amp; TRANSPOSE(SPLIT(J30, CHAR(10)))))))"),"Step 1: Navigate to the ""My Cart"" page
Step 2: Check the correct size, position, background color and border color of the ""OK"" button in the ""Clear All"" dialog")</f>
        <v>Step 1: Navigate to the "My Cart" page
Step 2: Check the correct size, position, background color and border color of the "OK" button in the "Clear All" dialog</v>
      </c>
      <c r="L30" s="14"/>
      <c r="M30" s="12" t="s">
        <v>681</v>
      </c>
      <c r="N30" s="12" t="s">
        <v>673</v>
      </c>
      <c r="O30" s="12" t="s">
        <v>2</v>
      </c>
      <c r="P30" s="19"/>
    </row>
    <row r="31">
      <c r="A31" s="28"/>
      <c r="B31" s="28"/>
      <c r="C31" s="28"/>
      <c r="D31" s="28"/>
      <c r="E31" s="18"/>
      <c r="F31" s="12" t="s">
        <v>682</v>
      </c>
      <c r="G31" s="12"/>
      <c r="H31" s="12" t="s">
        <v>683</v>
      </c>
      <c r="I31" s="12" t="s">
        <v>598</v>
      </c>
      <c r="J31" s="12" t="s">
        <v>684</v>
      </c>
      <c r="K31" s="13" t="str">
        <f>IFERROR(__xludf.DUMMYFUNCTION("IF(ISBLANK(J31), ""Input test step"", ARRAYFORMULA(TEXTJOIN(CHAR(10), TRUE, (""Step ""&amp; ROW(INDIRECT(""1:"" &amp; COUNTA(SPLIT(J31, CHAR(10))))) &amp; "": "" &amp; TRANSPOSE(SPLIT(J31, CHAR(10)))))))"),"Step 1: Navigate to the ""My Cart"" page
Step 2: Check the correct size, position, background color and border color of the ""No"" button in the ""Clear All"" dialog")</f>
        <v>Step 1: Navigate to the "My Cart" page
Step 2: Check the correct size, position, background color and border color of the "No" button in the "Clear All" dialog</v>
      </c>
      <c r="L31" s="14"/>
      <c r="M31" s="12" t="s">
        <v>685</v>
      </c>
      <c r="N31" s="12" t="s">
        <v>673</v>
      </c>
      <c r="O31" s="12" t="s">
        <v>2</v>
      </c>
      <c r="P31" s="19"/>
    </row>
    <row r="32">
      <c r="A32" s="28"/>
      <c r="B32" s="28"/>
      <c r="C32" s="28"/>
      <c r="D32" s="28"/>
      <c r="E32" s="18"/>
      <c r="F32" s="12" t="s">
        <v>686</v>
      </c>
      <c r="G32" s="12"/>
      <c r="H32" s="12" t="s">
        <v>687</v>
      </c>
      <c r="I32" s="12" t="s">
        <v>598</v>
      </c>
      <c r="J32" s="12" t="s">
        <v>688</v>
      </c>
      <c r="K32" s="13" t="str">
        <f>IFERROR(__xludf.DUMMYFUNCTION("IF(ISBLANK(J32), ""Input test step"", ARRAYFORMULA(TEXTJOIN(CHAR(10), TRUE, (""Step ""&amp; ROW(INDIRECT(""1:"" &amp; COUNTA(SPLIT(J32, CHAR(10))))) &amp; "": "" &amp; TRANSPOSE(SPLIT(J32, CHAR(10)))))))"),"Step 1: Navigate to the ""My Cart"" page
Step 2: Check the correct position, size, and font color of the options when clicking the three-dot menu in each product")</f>
        <v>Step 1: Navigate to the "My Cart" page
Step 2: Check the correct position, size, and font color of the options when clicking the three-dot menu in each product</v>
      </c>
      <c r="L32" s="14"/>
      <c r="M32" s="12" t="s">
        <v>689</v>
      </c>
      <c r="N32" s="12" t="s">
        <v>673</v>
      </c>
      <c r="O32" s="12" t="s">
        <v>2</v>
      </c>
      <c r="P32" s="19"/>
    </row>
    <row r="33">
      <c r="A33" s="28"/>
      <c r="B33" s="28"/>
      <c r="C33" s="28"/>
      <c r="D33" s="28"/>
      <c r="E33" s="18"/>
      <c r="F33" s="12" t="s">
        <v>690</v>
      </c>
      <c r="G33" s="12"/>
      <c r="H33" s="12" t="s">
        <v>691</v>
      </c>
      <c r="I33" s="12" t="s">
        <v>598</v>
      </c>
      <c r="J33" s="12" t="s">
        <v>692</v>
      </c>
      <c r="K33" s="13" t="str">
        <f>IFERROR(__xludf.DUMMYFUNCTION("IF(ISBLANK(J33), ""Input test step"", ARRAYFORMULA(TEXTJOIN(CHAR(10), TRUE, (""Step ""&amp; ROW(INDIRECT(""1:"" &amp; COUNTA(SPLIT(J33, CHAR(10))))) &amp; "": "" &amp; TRANSPOSE(SPLIT(J33, CHAR(10)))))))"),"Step 1: Navigate to the ""My Cart"" page
Step 2: Check the ""Added to Favorites"" message displays correctly in size, position, and font color")</f>
        <v>Step 1: Navigate to the "My Cart" page
Step 2: Check the "Added to Favorites" message displays correctly in size, position, and font color</v>
      </c>
      <c r="L33" s="14"/>
      <c r="M33" s="12" t="s">
        <v>693</v>
      </c>
      <c r="N33" s="12" t="s">
        <v>673</v>
      </c>
      <c r="O33" s="12" t="s">
        <v>2</v>
      </c>
      <c r="P33" s="19"/>
    </row>
    <row r="34">
      <c r="A34" s="28"/>
      <c r="B34" s="28"/>
      <c r="C34" s="28"/>
      <c r="D34" s="28"/>
      <c r="E34" s="18"/>
      <c r="F34" s="12" t="s">
        <v>694</v>
      </c>
      <c r="G34" s="12"/>
      <c r="H34" s="12" t="s">
        <v>695</v>
      </c>
      <c r="I34" s="12" t="s">
        <v>598</v>
      </c>
      <c r="J34" s="12" t="s">
        <v>696</v>
      </c>
      <c r="K34" s="13" t="str">
        <f>IFERROR(__xludf.DUMMYFUNCTION("IF(ISBLANK(J34), ""Input test step"", ARRAYFORMULA(TEXTJOIN(CHAR(10), TRUE, (""Step ""&amp; ROW(INDIRECT(""1:"" &amp; COUNTA(SPLIT(J34, CHAR(10))))) &amp; "": "" &amp; TRANSPOSE(SPLIT(J34, CHAR(10)))))))"),"Step 1: Navigate to ""My Cart""
Step 2: Check the checkbox of any product in the cart list
Step 3: Verify checkbox of the corresponding product successfully")</f>
        <v>Step 1: Navigate to "My Cart"
Step 2: Check the checkbox of any product in the cart list
Step 3: Verify checkbox of the corresponding product successfully</v>
      </c>
      <c r="L34" s="14"/>
      <c r="M34" s="12" t="s">
        <v>697</v>
      </c>
      <c r="N34" s="12" t="s">
        <v>697</v>
      </c>
      <c r="O34" s="12" t="s">
        <v>1</v>
      </c>
      <c r="P34" s="19"/>
    </row>
    <row r="35">
      <c r="A35" s="28"/>
      <c r="B35" s="28"/>
      <c r="C35" s="28"/>
      <c r="D35" s="28"/>
      <c r="E35" s="18"/>
      <c r="F35" s="12" t="s">
        <v>698</v>
      </c>
      <c r="G35" s="12" t="s">
        <v>699</v>
      </c>
      <c r="H35" s="12" t="s">
        <v>700</v>
      </c>
      <c r="I35" s="12" t="s">
        <v>598</v>
      </c>
      <c r="J35" s="12" t="s">
        <v>701</v>
      </c>
      <c r="K35" s="13" t="str">
        <f>IFERROR(__xludf.DUMMYFUNCTION("IF(ISBLANK(J35), ""Input test step"", ARRAYFORMULA(TEXTJOIN(CHAR(10), TRUE, (""Step ""&amp; ROW(INDIRECT(""1:"" &amp; COUNTA(SPLIT(J35, CHAR(10))))) &amp; "": "" &amp; TRANSPOSE(SPLIT(J35, CHAR(10)))))))"),"Step 1: Navigate to the ""My Cart"" page
Step 2: Select (&gt;) to the right of the discount display area
Step 3: Check the correct size, position and font color of the ""Select Voucher"" heading")</f>
        <v>Step 1: Navigate to the "My Cart" page
Step 2: Select (&gt;) to the right of the discount display area
Step 3: Check the correct size, position and font color of the "Select Voucher" heading</v>
      </c>
      <c r="L35" s="14"/>
      <c r="M35" s="12" t="s">
        <v>702</v>
      </c>
      <c r="N35" s="12" t="s">
        <v>673</v>
      </c>
      <c r="O35" s="12" t="s">
        <v>2</v>
      </c>
      <c r="P35" s="19"/>
    </row>
    <row r="36">
      <c r="A36" s="28"/>
      <c r="B36" s="28"/>
      <c r="C36" s="28"/>
      <c r="D36" s="28"/>
      <c r="E36" s="18"/>
      <c r="F36" s="12" t="s">
        <v>703</v>
      </c>
      <c r="G36" s="12"/>
      <c r="H36" s="12" t="s">
        <v>575</v>
      </c>
      <c r="I36" s="12" t="s">
        <v>598</v>
      </c>
      <c r="J36" s="12" t="s">
        <v>704</v>
      </c>
      <c r="K36" s="13" t="str">
        <f>IFERROR(__xludf.DUMMYFUNCTION("IF(ISBLANK(J36), ""Input test step"", ARRAYFORMULA(TEXTJOIN(CHAR(10), TRUE, (""Step ""&amp; ROW(INDIRECT(""1:"" &amp; COUNTA(SPLIT(J36, CHAR(10))))) &amp; "": "" &amp; TRANSPOSE(SPLIT(J36, CHAR(10)))))))"),"Step 1: Navigate to the ""My Cart"" page
Step 2: Select (&gt;) to the right of the discount display area
Step 3: Check the size and position of the search box displays correctly ")</f>
        <v>Step 1: Navigate to the "My Cart" page
Step 2: Select (&gt;) to the right of the discount display area
Step 3: Check the size and position of the search box displays correctly </v>
      </c>
      <c r="L36" s="14"/>
      <c r="M36" s="12" t="s">
        <v>705</v>
      </c>
      <c r="N36" s="12" t="s">
        <v>673</v>
      </c>
      <c r="O36" s="12" t="s">
        <v>2</v>
      </c>
      <c r="P36" s="19"/>
    </row>
    <row r="37">
      <c r="A37" s="28"/>
      <c r="B37" s="28"/>
      <c r="C37" s="28"/>
      <c r="D37" s="28"/>
      <c r="E37" s="18"/>
      <c r="F37" s="12" t="s">
        <v>706</v>
      </c>
      <c r="G37" s="12"/>
      <c r="H37" s="12" t="s">
        <v>707</v>
      </c>
      <c r="I37" s="12" t="s">
        <v>598</v>
      </c>
      <c r="J37" s="12" t="s">
        <v>708</v>
      </c>
      <c r="K37" s="13" t="str">
        <f>IFERROR(__xludf.DUMMYFUNCTION("IF(ISBLANK(J37), ""Input test step"", ARRAYFORMULA(TEXTJOIN(CHAR(10), TRUE, (""Step ""&amp; ROW(INDIRECT(""1:"" &amp; COUNTA(SPLIT(J37, CHAR(10))))) &amp; "": "" &amp; TRANSPOSE(SPLIT(J37, CHAR(10)))))))"),"Step 1: Navigate to the ""My Cart"" page
Step 2: Select (&gt;) to the right of the discount display area
Step 3: Check the plahoder of the search dialog displays correctly ")</f>
        <v>Step 1: Navigate to the "My Cart" page
Step 2: Select (&gt;) to the right of the discount display area
Step 3: Check the plahoder of the search dialog displays correctly </v>
      </c>
      <c r="L37" s="14"/>
      <c r="M37" s="12" t="s">
        <v>709</v>
      </c>
      <c r="N37" s="12" t="s">
        <v>673</v>
      </c>
      <c r="O37" s="12" t="s">
        <v>2</v>
      </c>
      <c r="P37" s="19"/>
    </row>
    <row r="38">
      <c r="A38" s="28"/>
      <c r="B38" s="28"/>
      <c r="C38" s="28"/>
      <c r="D38" s="28"/>
      <c r="E38" s="18"/>
      <c r="F38" s="12" t="s">
        <v>710</v>
      </c>
      <c r="G38" s="12"/>
      <c r="H38" s="12" t="s">
        <v>711</v>
      </c>
      <c r="I38" s="12" t="s">
        <v>598</v>
      </c>
      <c r="J38" s="12" t="s">
        <v>712</v>
      </c>
      <c r="K38" s="13" t="str">
        <f>IFERROR(__xludf.DUMMYFUNCTION("IF(ISBLANK(J38), ""Input test step"", ARRAYFORMULA(TEXTJOIN(CHAR(10), TRUE, (""Step ""&amp; ROW(INDIRECT(""1:"" &amp; COUNTA(SPLIT(J38, CHAR(10))))) &amp; "": "" &amp; TRANSPOSE(SPLIT(J38, CHAR(10)))))))"),"Step 1: Navigate to the ""My Cart"" page
Step 2: Select (&gt;) to the right of the discount display area
Step 3: Check the correct display of the size, position, text color, background color of the ""Apply"" button")</f>
        <v>Step 1: Navigate to the "My Cart" page
Step 2: Select (&gt;) to the right of the discount display area
Step 3: Check the correct display of the size, position, text color, background color of the "Apply" button</v>
      </c>
      <c r="L38" s="14"/>
      <c r="M38" s="12" t="s">
        <v>713</v>
      </c>
      <c r="N38" s="12" t="s">
        <v>673</v>
      </c>
      <c r="O38" s="12" t="s">
        <v>2</v>
      </c>
      <c r="P38" s="19"/>
    </row>
    <row r="39">
      <c r="A39" s="28"/>
      <c r="B39" s="28"/>
      <c r="C39" s="28"/>
      <c r="D39" s="28"/>
      <c r="E39" s="18"/>
      <c r="F39" s="12" t="s">
        <v>714</v>
      </c>
      <c r="G39" s="12"/>
      <c r="H39" s="12" t="s">
        <v>715</v>
      </c>
      <c r="I39" s="12" t="s">
        <v>598</v>
      </c>
      <c r="J39" s="12" t="s">
        <v>716</v>
      </c>
      <c r="K39" s="13" t="str">
        <f>IFERROR(__xludf.DUMMYFUNCTION("IF(ISBLANK(J39), ""Input test step"", ARRAYFORMULA(TEXTJOIN(CHAR(10), TRUE, (""Step ""&amp; ROW(INDIRECT(""1:"" &amp; COUNTA(SPLIT(J39, CHAR(10))))) &amp; "": "" &amp; TRANSPOSE(SPLIT(J39, CHAR(10)))))))"),"Step 1: Navigate to the ""My Cart"" page
Step 2: Select (&gt;) to the right of the discount display area
Step 3: Check the correct display of the text size, position, and color of the ""Shipping Discount"" text")</f>
        <v>Step 1: Navigate to the "My Cart" page
Step 2: Select (&gt;) to the right of the discount display area
Step 3: Check the correct display of the text size, position, and color of the "Shipping Discount" text</v>
      </c>
      <c r="L39" s="14"/>
      <c r="M39" s="12" t="s">
        <v>717</v>
      </c>
      <c r="N39" s="12" t="s">
        <v>673</v>
      </c>
      <c r="O39" s="12" t="s">
        <v>2</v>
      </c>
      <c r="P39" s="19"/>
    </row>
    <row r="40">
      <c r="A40" s="28"/>
      <c r="B40" s="28"/>
      <c r="C40" s="28"/>
      <c r="D40" s="28"/>
      <c r="E40" s="18"/>
      <c r="F40" s="12" t="s">
        <v>718</v>
      </c>
      <c r="G40" s="12"/>
      <c r="H40" s="12" t="s">
        <v>719</v>
      </c>
      <c r="I40" s="12" t="s">
        <v>598</v>
      </c>
      <c r="J40" s="12" t="s">
        <v>720</v>
      </c>
      <c r="K40" s="13" t="str">
        <f>IFERROR(__xludf.DUMMYFUNCTION("IF(ISBLANK(J40), ""Input test step"", ARRAYFORMULA(TEXTJOIN(CHAR(10), TRUE, (""Step ""&amp; ROW(INDIRECT(""1:"" &amp; COUNTA(SPLIT(J40, CHAR(10))))) &amp; "": "" &amp; TRANSPOSE(SPLIT(J40, CHAR(10)))))))"),"Step 1: Navigate to the ""My Cart"" page
Step 2: Select (&gt;) to the right of the discount display area
Step 3: Check the correct display of the text ""Only 1 voucher can be selected""")</f>
        <v>Step 1: Navigate to the "My Cart" page
Step 2: Select (&gt;) to the right of the discount display area
Step 3: Check the correct display of the text "Only 1 voucher can be selected"</v>
      </c>
      <c r="L40" s="14"/>
      <c r="M40" s="12" t="s">
        <v>721</v>
      </c>
      <c r="N40" s="12" t="s">
        <v>673</v>
      </c>
      <c r="O40" s="12" t="s">
        <v>2</v>
      </c>
      <c r="P40" s="19"/>
    </row>
    <row r="41">
      <c r="A41" s="28"/>
      <c r="B41" s="28"/>
      <c r="C41" s="28"/>
      <c r="D41" s="28"/>
      <c r="E41" s="18"/>
      <c r="F41" s="12" t="s">
        <v>722</v>
      </c>
      <c r="G41" s="12"/>
      <c r="H41" s="12" t="s">
        <v>723</v>
      </c>
      <c r="I41" s="12" t="s">
        <v>598</v>
      </c>
      <c r="J41" s="12" t="s">
        <v>724</v>
      </c>
      <c r="K41" s="13" t="str">
        <f>IFERROR(__xludf.DUMMYFUNCTION("IF(ISBLANK(J41), ""Input test step"", ARRAYFORMULA(TEXTJOIN(CHAR(10), TRUE, (""Step ""&amp; ROW(INDIRECT(""1:"" &amp; COUNTA(SPLIT(J41, CHAR(10))))) &amp; "": "" &amp; TRANSPOSE(SPLIT(J41, CHAR(10)))))))"),"Step 1: Navigate to the ""My Cart"" page
Step 2: Select (&gt;) to the right of the discount display area
Step 3: Check the correct display size and position of the voucher list")</f>
        <v>Step 1: Navigate to the "My Cart" page
Step 2: Select (&gt;) to the right of the discount display area
Step 3: Check the correct display size and position of the voucher list</v>
      </c>
      <c r="L41" s="14"/>
      <c r="M41" s="12" t="s">
        <v>725</v>
      </c>
      <c r="N41" s="12" t="s">
        <v>673</v>
      </c>
      <c r="O41" s="12" t="s">
        <v>2</v>
      </c>
      <c r="P41" s="19"/>
    </row>
    <row r="42">
      <c r="A42" s="28"/>
      <c r="B42" s="28"/>
      <c r="C42" s="28"/>
      <c r="D42" s="28"/>
      <c r="E42" s="18"/>
      <c r="F42" s="12" t="s">
        <v>726</v>
      </c>
      <c r="G42" s="12"/>
      <c r="H42" s="12" t="s">
        <v>727</v>
      </c>
      <c r="I42" s="12" t="s">
        <v>598</v>
      </c>
      <c r="J42" s="12" t="s">
        <v>728</v>
      </c>
      <c r="K42" s="13" t="str">
        <f>IFERROR(__xludf.DUMMYFUNCTION("IF(ISBLANK(J42), ""Input test step"", ARRAYFORMULA(TEXTJOIN(CHAR(10), TRUE, (""Step ""&amp; ROW(INDIRECT(""1:"" &amp; COUNTA(SPLIT(J42, CHAR(10))))) &amp; "": "" &amp; TRANSPOSE(SPLIT(J42, CHAR(10)))))))"),"Step 1: Navigate to the ""My Cart"" page
Step 2: Select (&gt;) to the right of the discount display area
Step 3: Check to display the correct spacing between voucher items")</f>
        <v>Step 1: Navigate to the "My Cart" page
Step 2: Select (&gt;) to the right of the discount display area
Step 3: Check to display the correct spacing between voucher items</v>
      </c>
      <c r="L42" s="14"/>
      <c r="M42" s="12" t="s">
        <v>729</v>
      </c>
      <c r="N42" s="12" t="s">
        <v>673</v>
      </c>
      <c r="O42" s="12" t="s">
        <v>2</v>
      </c>
      <c r="P42" s="19"/>
    </row>
    <row r="43">
      <c r="A43" s="28"/>
      <c r="B43" s="28"/>
      <c r="C43" s="28"/>
      <c r="D43" s="28"/>
      <c r="E43" s="18"/>
      <c r="F43" s="12" t="s">
        <v>730</v>
      </c>
      <c r="G43" s="12"/>
      <c r="H43" s="12" t="s">
        <v>731</v>
      </c>
      <c r="I43" s="12" t="s">
        <v>598</v>
      </c>
      <c r="J43" s="12" t="s">
        <v>732</v>
      </c>
      <c r="K43" s="13" t="str">
        <f>IFERROR(__xludf.DUMMYFUNCTION("IF(ISBLANK(J43), ""Input test step"", ARRAYFORMULA(TEXTJOIN(CHAR(10), TRUE, (""Step ""&amp; ROW(INDIRECT(""1:"" &amp; COUNTA(SPLIT(J43, CHAR(10))))) &amp; "": "" &amp; TRANSPOSE(SPLIT(J43, CHAR(10)))))))"),"Step 1: Navigate to the ""My Cart"" page
Step 2: Select (&gt;) to the right of the discount display area
Step 3: Check to display the full content of a voucher, including the discount percentage, voucher name, discount conditions and expiry date")</f>
        <v>Step 1: Navigate to the "My Cart" page
Step 2: Select (&gt;) to the right of the discount display area
Step 3: Check to display the full content of a voucher, including the discount percentage, voucher name, discount conditions and expiry date</v>
      </c>
      <c r="L43" s="14"/>
      <c r="M43" s="12" t="s">
        <v>733</v>
      </c>
      <c r="N43" s="12" t="s">
        <v>673</v>
      </c>
      <c r="O43" s="12" t="s">
        <v>2</v>
      </c>
      <c r="P43" s="19"/>
    </row>
    <row r="44">
      <c r="A44" s="28"/>
      <c r="B44" s="28"/>
      <c r="C44" s="28"/>
      <c r="D44" s="28"/>
      <c r="E44" s="18"/>
      <c r="F44" s="12" t="s">
        <v>734</v>
      </c>
      <c r="G44" s="12"/>
      <c r="H44" s="12" t="s">
        <v>735</v>
      </c>
      <c r="I44" s="12" t="s">
        <v>598</v>
      </c>
      <c r="J44" s="12" t="s">
        <v>736</v>
      </c>
      <c r="K44" s="13" t="str">
        <f>IFERROR(__xludf.DUMMYFUNCTION("IF(ISBLANK(J44), ""Input test step"", ARRAYFORMULA(TEXTJOIN(CHAR(10), TRUE, (""Step ""&amp; ROW(INDIRECT(""1:"" &amp; COUNTA(SPLIT(J44, CHAR(10))))) &amp; "": "" &amp; TRANSPOSE(SPLIT(J44, CHAR(10)))))))"),"Step 1: Navigate to the ""My Cart"" page
Step 2: Select (&gt;) to the right of the discount display area
Step 3: Check the correct background color of the display areas, the right side of the card displays gray, the left side of the card displays green")</f>
        <v>Step 1: Navigate to the "My Cart" page
Step 2: Select (&gt;) to the right of the discount display area
Step 3: Check the correct background color of the display areas, the right side of the card displays gray, the left side of the card displays green</v>
      </c>
      <c r="L44" s="14"/>
      <c r="M44" s="12" t="s">
        <v>737</v>
      </c>
      <c r="N44" s="12" t="s">
        <v>673</v>
      </c>
      <c r="O44" s="12" t="s">
        <v>2</v>
      </c>
      <c r="P44" s="19"/>
    </row>
    <row r="45">
      <c r="A45" s="28"/>
      <c r="B45" s="28"/>
      <c r="C45" s="28"/>
      <c r="D45" s="28"/>
      <c r="E45" s="18"/>
      <c r="F45" s="12" t="s">
        <v>738</v>
      </c>
      <c r="G45" s="12"/>
      <c r="H45" s="12" t="s">
        <v>739</v>
      </c>
      <c r="I45" s="12" t="s">
        <v>598</v>
      </c>
      <c r="J45" s="12" t="s">
        <v>740</v>
      </c>
      <c r="K45" s="13" t="str">
        <f>IFERROR(__xludf.DUMMYFUNCTION("IF(ISBLANK(J45), ""Input test step"", ARRAYFORMULA(TEXTJOIN(CHAR(10), TRUE, (""Step ""&amp; ROW(INDIRECT(""1:"" &amp; COUNTA(SPLIT(J45, CHAR(10))))) &amp; "": "" &amp; TRANSPOSE(SPLIT(J45, CHAR(10)))))))"),"Step 1: Navigate to the ""My Cart"" page
Step 2: Select (&gt;) to the right of the discount display area
Step 3: Check the correct size and position of the radio box in a voucher item")</f>
        <v>Step 1: Navigate to the "My Cart" page
Step 2: Select (&gt;) to the right of the discount display area
Step 3: Check the correct size and position of the radio box in a voucher item</v>
      </c>
      <c r="L45" s="14"/>
      <c r="M45" s="12" t="s">
        <v>741</v>
      </c>
      <c r="N45" s="12" t="s">
        <v>673</v>
      </c>
      <c r="O45" s="12" t="s">
        <v>2</v>
      </c>
      <c r="P45" s="19"/>
    </row>
    <row r="46">
      <c r="A46" s="28"/>
      <c r="B46" s="28"/>
      <c r="C46" s="28"/>
      <c r="D46" s="28"/>
      <c r="E46" s="18"/>
      <c r="F46" s="12" t="s">
        <v>742</v>
      </c>
      <c r="G46" s="12"/>
      <c r="H46" s="12" t="s">
        <v>743</v>
      </c>
      <c r="I46" s="12" t="s">
        <v>598</v>
      </c>
      <c r="J46" s="12" t="s">
        <v>744</v>
      </c>
      <c r="K46" s="13" t="str">
        <f>IFERROR(__xludf.DUMMYFUNCTION("IF(ISBLANK(J46), ""Input test step"", ARRAYFORMULA(TEXTJOIN(CHAR(10), TRUE, (""Step ""&amp; ROW(INDIRECT(""1:"" &amp; COUNTA(SPLIT(J46, CHAR(10))))) &amp; "": "" &amp; TRANSPOSE(SPLIT(J46, CHAR(10)))))))"),"Step 1: Navigate to the ""My Cart"" page
Step 2: Select (&gt;) to the right of the discount display area
Step 3: Click on a radio box on any voucher item
Step 4: Check the selectability on each voucher item")</f>
        <v>Step 1: Navigate to the "My Cart" page
Step 2: Select (&gt;) to the right of the discount display area
Step 3: Click on a radio box on any voucher item
Step 4: Check the selectability on each voucher item</v>
      </c>
      <c r="L46" s="14"/>
      <c r="M46" s="12" t="s">
        <v>745</v>
      </c>
      <c r="N46" s="12" t="s">
        <v>673</v>
      </c>
      <c r="O46" s="12" t="s">
        <v>2</v>
      </c>
      <c r="P46" s="19"/>
    </row>
    <row r="47">
      <c r="A47" s="28"/>
      <c r="B47" s="28"/>
      <c r="C47" s="28"/>
      <c r="D47" s="28"/>
      <c r="E47" s="18"/>
      <c r="F47" s="12" t="s">
        <v>746</v>
      </c>
      <c r="G47" s="12"/>
      <c r="H47" s="12" t="s">
        <v>747</v>
      </c>
      <c r="I47" s="12" t="s">
        <v>598</v>
      </c>
      <c r="J47" s="12" t="s">
        <v>748</v>
      </c>
      <c r="K47" s="13" t="str">
        <f>IFERROR(__xludf.DUMMYFUNCTION("IF(ISBLANK(J47), ""Input test step"", ARRAYFORMULA(TEXTJOIN(CHAR(10), TRUE, (""Step ""&amp; ROW(INDIRECT(""1:"" &amp; COUNTA(SPLIT(J47, CHAR(10))))) &amp; "": "" &amp; TRANSPOSE(SPLIT(J47, CHAR(10)))))))"),"Step 1: Navigate to the ""My Cart"" page
Step 2: Select (&gt;) to the right of the discount display area
Step 3: Click on a radio box on any voucher item
Step 4: Continue to click on another radio box on another voucher item
Step 5: Check the ability to "&amp;"select only 1 voucher from the voucher list")</f>
        <v>Step 1: Navigate to the "My Cart" page
Step 2: Select (&gt;) to the right of the discount display area
Step 3: Click on a radio box on any voucher item
Step 4: Continue to click on another radio box on another voucher item
Step 5: Check the ability to select only 1 voucher from the voucher list</v>
      </c>
      <c r="L47" s="14"/>
      <c r="M47" s="12" t="s">
        <v>749</v>
      </c>
      <c r="N47" s="12" t="s">
        <v>673</v>
      </c>
      <c r="O47" s="12" t="s">
        <v>2</v>
      </c>
      <c r="P47" s="19"/>
    </row>
    <row r="48">
      <c r="A48" s="28"/>
      <c r="B48" s="28"/>
      <c r="C48" s="28"/>
      <c r="D48" s="28"/>
      <c r="E48" s="18"/>
      <c r="F48" s="12" t="s">
        <v>750</v>
      </c>
      <c r="G48" s="12"/>
      <c r="H48" s="12" t="s">
        <v>751</v>
      </c>
      <c r="I48" s="12" t="s">
        <v>598</v>
      </c>
      <c r="J48" s="12" t="s">
        <v>752</v>
      </c>
      <c r="K48" s="13" t="str">
        <f>IFERROR(__xludf.DUMMYFUNCTION("IF(ISBLANK(J48), ""Input test step"", ARRAYFORMULA(TEXTJOIN(CHAR(10), TRUE, (""Step ""&amp; ROW(INDIRECT(""1:"" &amp; COUNTA(SPLIT(J48, CHAR(10))))) &amp; "": "" &amp; TRANSPOSE(SPLIT(J48, CHAR(10)))))))"),"Step 1: Navigate to the ""Mycart"" page
Step 2: Click on the discount display area of ​​a product item
Step 3: Observe and check the color of the voucher when the order is not eligible to apply
Step 4: Click on the selected voucher
Step 5: Observe and"&amp;" check the user is not capable of operating the voucher that is not eligible to apply")</f>
        <v>Step 1: Navigate to the "Mycart" page
Step 2: Click on the discount display area of ​​a product item
Step 3: Observe and check the color of the voucher when the order is not eligible to apply
Step 4: Click on the selected voucher
Step 5: Observe and check the user is not capable of operating the voucher that is not eligible to apply</v>
      </c>
      <c r="L48" s="14"/>
      <c r="M48" s="12" t="s">
        <v>753</v>
      </c>
      <c r="N48" s="12" t="s">
        <v>673</v>
      </c>
      <c r="O48" s="12" t="s">
        <v>2</v>
      </c>
      <c r="P48" s="19"/>
    </row>
    <row r="49">
      <c r="A49" s="28"/>
      <c r="B49" s="28"/>
      <c r="C49" s="28"/>
      <c r="D49" s="28"/>
      <c r="E49" s="18"/>
      <c r="F49" s="12" t="s">
        <v>754</v>
      </c>
      <c r="G49" s="12"/>
      <c r="H49" s="12" t="s">
        <v>755</v>
      </c>
      <c r="I49" s="12" t="s">
        <v>598</v>
      </c>
      <c r="J49" s="12" t="s">
        <v>756</v>
      </c>
      <c r="K49" s="13" t="str">
        <f>IFERROR(__xludf.DUMMYFUNCTION("IF(ISBLANK(J49), ""Input test step"", ARRAYFORMULA(TEXTJOIN(CHAR(10), TRUE, (""Step ""&amp; ROW(INDIRECT(""1:"" &amp; COUNTA(SPLIT(J49, CHAR(10))))) &amp; "": "" &amp; TRANSPOSE(SPLIT(J49, CHAR(10)))))))"),"Step 1: Navigate to the ""My Cart"" page
Step 2: Select (&gt;) to the right of the discount display area
Step 3: Check the correct display of the Voucher name size, position and font color on each voucher item")</f>
        <v>Step 1: Navigate to the "My Cart" page
Step 2: Select (&gt;) to the right of the discount display area
Step 3: Check the correct display of the Voucher name size, position and font color on each voucher item</v>
      </c>
      <c r="L49" s="14"/>
      <c r="M49" s="12" t="s">
        <v>757</v>
      </c>
      <c r="N49" s="12" t="s">
        <v>673</v>
      </c>
      <c r="O49" s="12" t="s">
        <v>2</v>
      </c>
      <c r="P49" s="19"/>
    </row>
    <row r="50">
      <c r="A50" s="28"/>
      <c r="B50" s="28"/>
      <c r="C50" s="28"/>
      <c r="D50" s="28"/>
      <c r="E50" s="18"/>
      <c r="F50" s="12" t="s">
        <v>758</v>
      </c>
      <c r="G50" s="12"/>
      <c r="H50" s="12" t="s">
        <v>759</v>
      </c>
      <c r="I50" s="12" t="s">
        <v>598</v>
      </c>
      <c r="J50" s="12" t="s">
        <v>760</v>
      </c>
      <c r="K50" s="13" t="str">
        <f>IFERROR(__xludf.DUMMYFUNCTION("IF(ISBLANK(J50), ""Input test step"", ARRAYFORMULA(TEXTJOIN(CHAR(10), TRUE, (""Step ""&amp; ROW(INDIRECT(""1:"" &amp; COUNTA(SPLIT(J50, CHAR(10))))) &amp; "": "" &amp; TRANSPOSE(SPLIT(J50, CHAR(10)))))))"),"Step 1: Navigate to the ""My Cart"" page
Step 2: Select (&gt;) to the right of the discount display area
Step 3: Check the correct display of the size, position and color of the discount percentage text in a voucher item")</f>
        <v>Step 1: Navigate to the "My Cart" page
Step 2: Select (&gt;) to the right of the discount display area
Step 3: Check the correct display of the size, position and color of the discount percentage text in a voucher item</v>
      </c>
      <c r="L50" s="14"/>
      <c r="M50" s="12" t="s">
        <v>761</v>
      </c>
      <c r="N50" s="12" t="s">
        <v>673</v>
      </c>
      <c r="O50" s="12" t="s">
        <v>2</v>
      </c>
      <c r="P50" s="19"/>
    </row>
    <row r="51">
      <c r="A51" s="28"/>
      <c r="B51" s="28"/>
      <c r="C51" s="28"/>
      <c r="D51" s="28"/>
      <c r="E51" s="18"/>
      <c r="F51" s="12" t="s">
        <v>762</v>
      </c>
      <c r="G51" s="12"/>
      <c r="H51" s="12" t="s">
        <v>763</v>
      </c>
      <c r="I51" s="12" t="s">
        <v>598</v>
      </c>
      <c r="J51" s="12" t="s">
        <v>764</v>
      </c>
      <c r="K51" s="13" t="str">
        <f>IFERROR(__xludf.DUMMYFUNCTION("IF(ISBLANK(J51), ""Input test step"", ARRAYFORMULA(TEXTJOIN(CHAR(10), TRUE, (""Step ""&amp; ROW(INDIRECT(""1:"" &amp; COUNTA(SPLIT(J51, CHAR(10))))) &amp; "": "" &amp; TRANSPOSE(SPLIT(J51, CHAR(10)))))))"),"Step 1: Navigate to the ""My Cart"" page
Step 2: Select (&gt;) to the right of the discount display area
Step 3: Check the correct display of the voucher condition position, size, and font color in a voucher item")</f>
        <v>Step 1: Navigate to the "My Cart" page
Step 2: Select (&gt;) to the right of the discount display area
Step 3: Check the correct display of the voucher condition position, size, and font color in a voucher item</v>
      </c>
      <c r="L51" s="14"/>
      <c r="M51" s="12" t="s">
        <v>765</v>
      </c>
      <c r="N51" s="12" t="s">
        <v>673</v>
      </c>
      <c r="O51" s="12" t="s">
        <v>2</v>
      </c>
      <c r="P51" s="19"/>
    </row>
    <row r="52">
      <c r="A52" s="28"/>
      <c r="B52" s="28"/>
      <c r="C52" s="28"/>
      <c r="D52" s="28"/>
      <c r="E52" s="18"/>
      <c r="F52" s="12" t="s">
        <v>766</v>
      </c>
      <c r="G52" s="12"/>
      <c r="H52" s="12" t="s">
        <v>767</v>
      </c>
      <c r="I52" s="12" t="s">
        <v>598</v>
      </c>
      <c r="J52" s="12" t="s">
        <v>768</v>
      </c>
      <c r="K52" s="13" t="str">
        <f>IFERROR(__xludf.DUMMYFUNCTION("IF(ISBLANK(J52), ""Input test step"", ARRAYFORMULA(TEXTJOIN(CHAR(10), TRUE, (""Step ""&amp; ROW(INDIRECT(""1:"" &amp; COUNTA(SPLIT(J52, CHAR(10))))) &amp; "": "" &amp; TRANSPOSE(SPLIT(J52, CHAR(10)))))))"),"Step 1: Navigate to the ""My Cart"" page
Step 2: Select (&gt;) to the right of the discount display area
Step 3: Check the correct display of the size, position and color of the expiration date text in a voucher item")</f>
        <v>Step 1: Navigate to the "My Cart" page
Step 2: Select (&gt;) to the right of the discount display area
Step 3: Check the correct display of the size, position and color of the expiration date text in a voucher item</v>
      </c>
      <c r="L52" s="14"/>
      <c r="M52" s="12" t="s">
        <v>769</v>
      </c>
      <c r="N52" s="12" t="s">
        <v>673</v>
      </c>
      <c r="O52" s="12" t="s">
        <v>2</v>
      </c>
      <c r="P52" s="19"/>
    </row>
    <row r="53">
      <c r="A53" s="28"/>
      <c r="B53" s="28"/>
      <c r="C53" s="28"/>
      <c r="D53" s="28"/>
      <c r="E53" s="18"/>
      <c r="F53" s="12" t="s">
        <v>770</v>
      </c>
      <c r="G53" s="12"/>
      <c r="H53" s="12" t="s">
        <v>771</v>
      </c>
      <c r="I53" s="12" t="s">
        <v>598</v>
      </c>
      <c r="J53" s="12" t="s">
        <v>772</v>
      </c>
      <c r="K53" s="13" t="str">
        <f>IFERROR(__xludf.DUMMYFUNCTION("IF(ISBLANK(J53), ""Input test step"", ARRAYFORMULA(TEXTJOIN(CHAR(10), TRUE, (""Step ""&amp; ROW(INDIRECT(""1:"" &amp; COUNTA(SPLIT(J53, CHAR(10))))) &amp; "": "" &amp; TRANSPOSE(SPLIT(J53, CHAR(10)))))))"),"Step 1: Navigate to the ""My Cart"" page
Step 2: Select (&gt;) to the right of the discount display area
Step 3: Check the correct display size, position and font color of ""See More""")</f>
        <v>Step 1: Navigate to the "My Cart" page
Step 2: Select (&gt;) to the right of the discount display area
Step 3: Check the correct display size, position and font color of "See More"</v>
      </c>
      <c r="L53" s="14"/>
      <c r="M53" s="12" t="s">
        <v>773</v>
      </c>
      <c r="N53" s="12" t="s">
        <v>673</v>
      </c>
      <c r="O53" s="12" t="s">
        <v>2</v>
      </c>
      <c r="P53" s="19"/>
    </row>
    <row r="54">
      <c r="A54" s="28"/>
      <c r="B54" s="28"/>
      <c r="C54" s="28"/>
      <c r="D54" s="28"/>
      <c r="E54" s="18"/>
      <c r="F54" s="12" t="s">
        <v>774</v>
      </c>
      <c r="G54" s="12"/>
      <c r="H54" s="12" t="s">
        <v>775</v>
      </c>
      <c r="I54" s="12" t="s">
        <v>598</v>
      </c>
      <c r="J54" s="12" t="s">
        <v>776</v>
      </c>
      <c r="K54" s="13" t="str">
        <f>IFERROR(__xludf.DUMMYFUNCTION("IF(ISBLANK(J54), ""Input test step"", ARRAYFORMULA(TEXTJOIN(CHAR(10), TRUE, (""Step ""&amp; ROW(INDIRECT(""1:"" &amp; COUNTA(SPLIT(J54, CHAR(10))))) &amp; "": "" &amp; TRANSPOSE(SPLIT(J54, CHAR(10)))))))"),"Step 1: Navigate to the ""My Cart"" page
Step 2: Select (&gt;) to the right of the discount display area
Step 3: Check the correct display of the ""Collapse"" font size, position and color")</f>
        <v>Step 1: Navigate to the "My Cart" page
Step 2: Select (&gt;) to the right of the discount display area
Step 3: Check the correct display of the "Collapse" font size, position and color</v>
      </c>
      <c r="L54" s="14"/>
      <c r="M54" s="12" t="s">
        <v>777</v>
      </c>
      <c r="N54" s="12" t="s">
        <v>673</v>
      </c>
      <c r="O54" s="12" t="s">
        <v>2</v>
      </c>
      <c r="P54" s="19"/>
    </row>
    <row r="55">
      <c r="A55" s="28"/>
      <c r="B55" s="28"/>
      <c r="C55" s="28"/>
      <c r="D55" s="28"/>
      <c r="E55" s="18"/>
      <c r="F55" s="12" t="s">
        <v>778</v>
      </c>
      <c r="G55" s="12"/>
      <c r="H55" s="12" t="s">
        <v>779</v>
      </c>
      <c r="I55" s="12" t="s">
        <v>598</v>
      </c>
      <c r="J55" s="12" t="s">
        <v>780</v>
      </c>
      <c r="K55" s="13" t="str">
        <f>IFERROR(__xludf.DUMMYFUNCTION("IF(ISBLANK(J55), ""Input test step"", ARRAYFORMULA(TEXTJOIN(CHAR(10), TRUE, (""Step ""&amp; ROW(INDIRECT(""1:"" &amp; COUNTA(SPLIT(J55, CHAR(10))))) &amp; "": "" &amp; TRANSPOSE(SPLIT(J55, CHAR(10)))))))"),"Step 1: Navigate to the ""My Cart"" page
Step 2: Select (&gt;) to the right of the discount display area
Step 3: Check the correct size, position and color of the ""Product Discount Code"" text")</f>
        <v>Step 1: Navigate to the "My Cart" page
Step 2: Select (&gt;) to the right of the discount display area
Step 3: Check the correct size, position and color of the "Product Discount Code" text</v>
      </c>
      <c r="L55" s="14"/>
      <c r="M55" s="12" t="s">
        <v>781</v>
      </c>
      <c r="N55" s="12" t="s">
        <v>673</v>
      </c>
      <c r="O55" s="12" t="s">
        <v>2</v>
      </c>
      <c r="P55" s="19"/>
    </row>
    <row r="56">
      <c r="A56" s="28"/>
      <c r="B56" s="28"/>
      <c r="C56" s="28"/>
      <c r="D56" s="28"/>
      <c r="E56" s="18"/>
      <c r="F56" s="12" t="s">
        <v>782</v>
      </c>
      <c r="G56" s="12"/>
      <c r="H56" s="12" t="s">
        <v>783</v>
      </c>
      <c r="I56" s="12" t="s">
        <v>598</v>
      </c>
      <c r="J56" s="12" t="s">
        <v>784</v>
      </c>
      <c r="K56" s="13" t="str">
        <f>IFERROR(__xludf.DUMMYFUNCTION("IF(ISBLANK(J56), ""Input test step"", ARRAYFORMULA(TEXTJOIN(CHAR(10), TRUE, (""Step ""&amp; ROW(INDIRECT(""1:"" &amp; COUNTA(SPLIT(J56, CHAR(10))))) &amp; "": "" &amp; TRANSPOSE(SPLIT(J56, CHAR(10)))))))"),"Step 1: Navigate to the ""My Cart"" page
Step 2: Select (&gt;) to the right of the discount display area
Step 3: Test the ability to scroll up and down the coupon list by scrolling up the list or scrolling down the list")</f>
        <v>Step 1: Navigate to the "My Cart" page
Step 2: Select (&gt;) to the right of the discount display area
Step 3: Test the ability to scroll up and down the coupon list by scrolling up the list or scrolling down the list</v>
      </c>
      <c r="L56" s="14"/>
      <c r="M56" s="12" t="s">
        <v>785</v>
      </c>
      <c r="N56" s="12" t="s">
        <v>673</v>
      </c>
      <c r="O56" s="12" t="s">
        <v>2</v>
      </c>
      <c r="P56" s="19"/>
    </row>
    <row r="57">
      <c r="A57" s="28"/>
      <c r="B57" s="28"/>
      <c r="C57" s="28"/>
      <c r="D57" s="28"/>
      <c r="E57" s="18"/>
      <c r="F57" s="12" t="s">
        <v>786</v>
      </c>
      <c r="G57" s="12"/>
      <c r="H57" s="12" t="s">
        <v>787</v>
      </c>
      <c r="I57" s="12" t="s">
        <v>598</v>
      </c>
      <c r="J57" s="12" t="s">
        <v>788</v>
      </c>
      <c r="K57" s="13" t="str">
        <f>IFERROR(__xludf.DUMMYFUNCTION("IF(ISBLANK(J57), ""Input test step"", ARRAYFORMULA(TEXTJOIN(CHAR(10), TRUE, (""Step ""&amp; ROW(INDIRECT(""1:"" &amp; COUNTA(SPLIT(J57, CHAR(10))))) &amp; "": "" &amp; TRANSPOSE(SPLIT(J57, CHAR(10)))))))"),"Step 1: Navigate to the ""My Cart"" page
Step 2: Select (&gt;) to the right of the discount display area
Step 3: Check the spacing between items in the coupon list")</f>
        <v>Step 1: Navigate to the "My Cart" page
Step 2: Select (&gt;) to the right of the discount display area
Step 3: Check the spacing between items in the coupon list</v>
      </c>
      <c r="L57" s="14"/>
      <c r="M57" s="12" t="s">
        <v>789</v>
      </c>
      <c r="N57" s="12" t="s">
        <v>673</v>
      </c>
      <c r="O57" s="12" t="s">
        <v>2</v>
      </c>
      <c r="P57" s="19"/>
    </row>
    <row r="58">
      <c r="A58" s="28"/>
      <c r="B58" s="28"/>
      <c r="C58" s="28"/>
      <c r="D58" s="28"/>
      <c r="E58" s="18"/>
      <c r="F58" s="12" t="s">
        <v>790</v>
      </c>
      <c r="G58" s="12"/>
      <c r="H58" s="12" t="s">
        <v>791</v>
      </c>
      <c r="I58" s="12" t="s">
        <v>598</v>
      </c>
      <c r="J58" s="12" t="s">
        <v>792</v>
      </c>
      <c r="K58" s="13" t="str">
        <f>IFERROR(__xludf.DUMMYFUNCTION("IF(ISBLANK(J58), ""Input test step"", ARRAYFORMULA(TEXTJOIN(CHAR(10), TRUE, (""Step ""&amp; ROW(INDIRECT(""1:"" &amp; COUNTA(SPLIT(J58, CHAR(10))))) &amp; "": "" &amp; TRANSPOSE(SPLIT(J58, CHAR(10)))))))"),"Step 1: Navigate to the ""My Cart"" page
Step 2: Select (&gt;) to the right of the discount display area
Step 3: Check to display the full content in a voucher according to the discount code including, contents such as percentage discount, voucher name, di"&amp;"scount conditions and expiry date")</f>
        <v>Step 1: Navigate to the "My Cart" page
Step 2: Select (&gt;) to the right of the discount display area
Step 3: Check to display the full content in a voucher according to the discount code including, contents such as percentage discount, voucher name, discount conditions and expiry date</v>
      </c>
      <c r="L58" s="14"/>
      <c r="M58" s="12" t="s">
        <v>793</v>
      </c>
      <c r="N58" s="12" t="s">
        <v>673</v>
      </c>
      <c r="O58" s="12" t="s">
        <v>2</v>
      </c>
      <c r="P58" s="19"/>
    </row>
    <row r="59">
      <c r="A59" s="28"/>
      <c r="B59" s="28"/>
      <c r="C59" s="28"/>
      <c r="D59" s="28"/>
      <c r="E59" s="18"/>
      <c r="F59" s="12" t="s">
        <v>794</v>
      </c>
      <c r="G59" s="12"/>
      <c r="H59" s="12" t="s">
        <v>795</v>
      </c>
      <c r="I59" s="12" t="s">
        <v>598</v>
      </c>
      <c r="J59" s="12" t="s">
        <v>796</v>
      </c>
      <c r="K59" s="13" t="str">
        <f>IFERROR(__xludf.DUMMYFUNCTION("IF(ISBLANK(J59), ""Input test step"", ARRAYFORMULA(TEXTJOIN(CHAR(10), TRUE, (""Step ""&amp; ROW(INDIRECT(""1:"" &amp; COUNTA(SPLIT(J59, CHAR(10))))) &amp; "": "" &amp; TRANSPOSE(SPLIT(J59, CHAR(10)))))))"),"Step 1: Navigate to the ""My Cart"" page
Step 2: Select (&gt;) to the right of the discount display area
Step 3: Check the correct size, position, text color and background color of a ""Use"" button")</f>
        <v>Step 1: Navigate to the "My Cart" page
Step 2: Select (&gt;) to the right of the discount display area
Step 3: Check the correct size, position, text color and background color of a "Use" button</v>
      </c>
      <c r="L59" s="14"/>
      <c r="M59" s="12" t="s">
        <v>797</v>
      </c>
      <c r="N59" s="12" t="s">
        <v>673</v>
      </c>
      <c r="O59" s="12" t="s">
        <v>2</v>
      </c>
      <c r="P59" s="19"/>
    </row>
    <row r="60">
      <c r="A60" s="28"/>
      <c r="B60" s="28"/>
      <c r="C60" s="28"/>
      <c r="D60" s="28"/>
      <c r="E60" s="18"/>
      <c r="F60" s="12" t="s">
        <v>798</v>
      </c>
      <c r="G60" s="12"/>
      <c r="H60" s="12" t="s">
        <v>799</v>
      </c>
      <c r="I60" s="12" t="s">
        <v>598</v>
      </c>
      <c r="J60" s="12" t="s">
        <v>800</v>
      </c>
      <c r="K60" s="13" t="str">
        <f>IFERROR(__xludf.DUMMYFUNCTION("IF(ISBLANK(J60), ""Input test step"", ARRAYFORMULA(TEXTJOIN(CHAR(10), TRUE, (""Step ""&amp; ROW(INDIRECT(""1:"" &amp; COUNTA(SPLIT(J60, CHAR(10))))) &amp; "": "" &amp; TRANSPOSE(SPLIT(J60, CHAR(10)))))))"),"Step 1: Navigate to the ""My Cart"" page
Step 2: Select (&gt;) to the right of the discount display area
Step 3: Scroll the list up or down
Step 4: Check that the ""Use"" button remains the same when the user scrolls up and down the list")</f>
        <v>Step 1: Navigate to the "My Cart" page
Step 2: Select (&gt;) to the right of the discount display area
Step 3: Scroll the list up or down
Step 4: Check that the "Use" button remains the same when the user scrolls up and down the list</v>
      </c>
      <c r="L60" s="14"/>
      <c r="M60" s="12" t="s">
        <v>801</v>
      </c>
      <c r="N60" s="12" t="s">
        <v>673</v>
      </c>
      <c r="O60" s="12" t="s">
        <v>2</v>
      </c>
      <c r="P60" s="19"/>
    </row>
    <row r="61">
      <c r="A61" s="28"/>
      <c r="B61" s="28"/>
      <c r="C61" s="28"/>
      <c r="D61" s="28"/>
      <c r="E61" s="18"/>
      <c r="F61" s="12" t="s">
        <v>802</v>
      </c>
      <c r="G61" s="12"/>
      <c r="H61" s="12" t="s">
        <v>803</v>
      </c>
      <c r="I61" s="12" t="s">
        <v>598</v>
      </c>
      <c r="J61" s="12" t="s">
        <v>804</v>
      </c>
      <c r="K61" s="13" t="str">
        <f>IFERROR(__xludf.DUMMYFUNCTION("IF(ISBLANK(J61), ""Input test step"", ARRAYFORMULA(TEXTJOIN(CHAR(10), TRUE, (""Step ""&amp; ROW(INDIRECT(""1:"" &amp; COUNTA(SPLIT(J61, CHAR(10))))) &amp; "": "" &amp; TRANSPOSE(SPLIT(J61, CHAR(10)))))))"),"Step 1: Navigate to the ""My Cart"" page
Step 2: Select (&gt;) to the right of the discount display area
Step 3: Check 1 voucher code radio in the discount code list
Step 4: Check the voucher code is successfully checked")</f>
        <v>Step 1: Navigate to the "My Cart" page
Step 2: Select (&gt;) to the right of the discount display area
Step 3: Check 1 voucher code radio in the discount code list
Step 4: Check the voucher code is successfully checked</v>
      </c>
      <c r="L61" s="14"/>
      <c r="M61" s="12" t="s">
        <v>805</v>
      </c>
      <c r="N61" s="12" t="s">
        <v>673</v>
      </c>
      <c r="O61" s="12" t="s">
        <v>2</v>
      </c>
      <c r="P61" s="19"/>
    </row>
    <row r="62">
      <c r="A62" s="28"/>
      <c r="B62" s="28"/>
      <c r="C62" s="28"/>
      <c r="D62" s="28"/>
      <c r="E62" s="18"/>
      <c r="F62" s="12" t="s">
        <v>806</v>
      </c>
      <c r="G62" s="12" t="s">
        <v>807</v>
      </c>
      <c r="H62" s="12" t="s">
        <v>808</v>
      </c>
      <c r="I62" s="12" t="s">
        <v>598</v>
      </c>
      <c r="J62" s="12" t="s">
        <v>809</v>
      </c>
      <c r="K62" s="13" t="str">
        <f>IFERROR(__xludf.DUMMYFUNCTION("IF(ISBLANK(J62), ""Input test step"", ARRAYFORMULA(TEXTJOIN(CHAR(10), TRUE, (""Step ""&amp; ROW(INDIRECT(""1:"" &amp; COUNTA(SPLIT(J62, CHAR(10))))) &amp; "": "" &amp; TRANSPOSE(SPLIT(J62, CHAR(10)))))))"),"Step 1: Navigate to the ""My Cart"" page
Step 2: Count the number of products in the cart
Step 3: Check that the number of products in the title corresponds to the number of products in the cart")</f>
        <v>Step 1: Navigate to the "My Cart" page
Step 2: Count the number of products in the cart
Step 3: Check that the number of products in the title corresponds to the number of products in the cart</v>
      </c>
      <c r="L62" s="14"/>
      <c r="M62" s="12" t="s">
        <v>810</v>
      </c>
      <c r="N62" s="12" t="s">
        <v>673</v>
      </c>
      <c r="O62" s="12" t="s">
        <v>2</v>
      </c>
      <c r="P62" s="19"/>
    </row>
    <row r="63">
      <c r="A63" s="28"/>
      <c r="B63" s="28"/>
      <c r="C63" s="28"/>
      <c r="D63" s="28"/>
      <c r="E63" s="18"/>
      <c r="F63" s="12" t="s">
        <v>811</v>
      </c>
      <c r="G63" s="12" t="s">
        <v>812</v>
      </c>
      <c r="H63" s="12" t="s">
        <v>813</v>
      </c>
      <c r="I63" s="12" t="s">
        <v>598</v>
      </c>
      <c r="J63" s="12" t="s">
        <v>814</v>
      </c>
      <c r="K63" s="13" t="str">
        <f>IFERROR(__xludf.DUMMYFUNCTION("IF(ISBLANK(J63), ""Input test step"", ARRAYFORMULA(TEXTJOIN(CHAR(10), TRUE, (""Step ""&amp; ROW(INDIRECT(""1:"" &amp; COUNTA(SPLIT(J63, CHAR(10))))) &amp; "": "" &amp; TRANSPOSE(SPLIT(J63, CHAR(10)))))))"),"Step 1: Navigate to ""My Cart"" page
Step 2: Click the ""Back"" button
Step 3: Check the system returns to the previous parent screen when click the ""Back"" button")</f>
        <v>Step 1: Navigate to "My Cart" page
Step 2: Click the "Back" button
Step 3: Check the system returns to the previous parent screen when click the "Back" button</v>
      </c>
      <c r="L63" s="14"/>
      <c r="M63" s="12" t="s">
        <v>815</v>
      </c>
      <c r="N63" s="12"/>
      <c r="O63" s="12"/>
      <c r="P63" s="19"/>
    </row>
    <row r="64">
      <c r="A64" s="28"/>
      <c r="B64" s="28"/>
      <c r="C64" s="28"/>
      <c r="D64" s="28"/>
      <c r="E64" s="18"/>
      <c r="F64" s="12" t="s">
        <v>816</v>
      </c>
      <c r="G64" s="12" t="s">
        <v>817</v>
      </c>
      <c r="H64" s="12" t="s">
        <v>818</v>
      </c>
      <c r="I64" s="12" t="s">
        <v>598</v>
      </c>
      <c r="J64" s="12" t="s">
        <v>819</v>
      </c>
      <c r="K64" s="13" t="str">
        <f>IFERROR(__xludf.DUMMYFUNCTION("IF(ISBLANK(J64), ""Input test step"", ARRAYFORMULA(TEXTJOIN(CHAR(10), TRUE, (""Step ""&amp; ROW(INDIRECT(""1:"" &amp; COUNTA(SPLIT(J64, CHAR(10))))) &amp; "": "" &amp; TRANSPOSE(SPLIT(J64, CHAR(10)))))))"),"Step 1: Navigate to the ""My Cart"" page
Step 2: Enter search keyword in the search bar
Step 3: Check the list of products in cart containing search keyword displays successfully")</f>
        <v>Step 1: Navigate to the "My Cart" page
Step 2: Enter search keyword in the search bar
Step 3: Check the list of products in cart containing search keyword displays successfully</v>
      </c>
      <c r="L64" s="14" t="s">
        <v>820</v>
      </c>
      <c r="M64" s="31" t="s">
        <v>821</v>
      </c>
      <c r="N64" s="31"/>
      <c r="O64" s="12"/>
      <c r="P64" s="32"/>
    </row>
    <row r="65">
      <c r="A65" s="28"/>
      <c r="B65" s="28"/>
      <c r="C65" s="28"/>
      <c r="D65" s="28"/>
      <c r="E65" s="18"/>
      <c r="F65" s="12" t="s">
        <v>822</v>
      </c>
      <c r="G65" s="12"/>
      <c r="H65" s="12" t="s">
        <v>823</v>
      </c>
      <c r="I65" s="12" t="s">
        <v>598</v>
      </c>
      <c r="J65" s="12" t="s">
        <v>824</v>
      </c>
      <c r="K65" s="13" t="str">
        <f>IFERROR(__xludf.DUMMYFUNCTION("IF(ISBLANK(J65), ""Input test step"", ARRAYFORMULA(TEXTJOIN(CHAR(10), TRUE, (""Step ""&amp; ROW(INDIRECT(""1:"" &amp; COUNTA(SPLIT(J65, CHAR(10))))) &amp; "": "" &amp; TRANSPOSE(SPLIT(J65, CHAR(10)))))))"),"Step 1: Navigate to the ""My Cart"" page
Step 2: Enter search keywords in the search bar
Step 3: Check show ""No results found"" message when entering keywords that do not exist in the system")</f>
        <v>Step 1: Navigate to the "My Cart" page
Step 2: Enter search keywords in the search bar
Step 3: Check show "No results found" message when entering keywords that do not exist in the system</v>
      </c>
      <c r="L65" s="61" t="s">
        <v>825</v>
      </c>
      <c r="M65" s="31" t="s">
        <v>826</v>
      </c>
      <c r="N65" s="31"/>
      <c r="O65" s="12"/>
      <c r="P65" s="32"/>
    </row>
    <row r="66">
      <c r="A66" s="28"/>
      <c r="B66" s="28"/>
      <c r="C66" s="28"/>
      <c r="D66" s="28"/>
      <c r="E66" s="18"/>
      <c r="F66" s="12" t="s">
        <v>827</v>
      </c>
      <c r="G66" s="12"/>
      <c r="H66" s="12" t="s">
        <v>828</v>
      </c>
      <c r="I66" s="12" t="s">
        <v>598</v>
      </c>
      <c r="J66" s="12" t="s">
        <v>829</v>
      </c>
      <c r="K66" s="13" t="str">
        <f>IFERROR(__xludf.DUMMYFUNCTION("IF(ISBLANK(J66), ""Input test step"", ARRAYFORMULA(TEXTJOIN(CHAR(10), TRUE, (""Step ""&amp; ROW(INDIRECT(""1:"" &amp; COUNTA(SPLIT(J66, CHAR(10))))) &amp; "": "" &amp; TRANSPOSE(SPLIT(J66, CHAR(10)))))))"),"Step 1: Navigate to ""My Cart"" page
Step 2: Enter search keywords as spaces
Step 3: Check the system to keep the screen when entering keywords as spaces")</f>
        <v>Step 1: Navigate to "My Cart" page
Step 2: Enter search keywords as spaces
Step 3: Check the system to keep the screen when entering keywords as spaces</v>
      </c>
      <c r="M66" s="31" t="s">
        <v>830</v>
      </c>
      <c r="N66" s="31"/>
      <c r="O66" s="12"/>
      <c r="P66" s="32"/>
    </row>
    <row r="67">
      <c r="A67" s="28"/>
      <c r="B67" s="28"/>
      <c r="C67" s="28"/>
      <c r="D67" s="28"/>
      <c r="E67" s="18"/>
      <c r="F67" s="12" t="s">
        <v>831</v>
      </c>
      <c r="G67" s="12"/>
      <c r="H67" s="12" t="s">
        <v>832</v>
      </c>
      <c r="I67" s="12" t="s">
        <v>598</v>
      </c>
      <c r="J67" s="12" t="s">
        <v>833</v>
      </c>
      <c r="K67" s="13" t="str">
        <f>IFERROR(__xludf.DUMMYFUNCTION("IF(ISBLANK(J67), ""Input test step"", ARRAYFORMULA(TEXTJOIN(CHAR(10), TRUE, (""Step ""&amp; ROW(INDIRECT(""1:"" &amp; COUNTA(SPLIT(J67, CHAR(10))))) &amp; "": "" &amp; TRANSPOSE(SPLIT(J67, CHAR(10)))))))"),"Step 1: Navigate to the ""My Cart"" page
Step 2: Enter search keywords in upper or lower case
Step 3: Check the system to display the corresponding product list regardless of upper or lower case")</f>
        <v>Step 1: Navigate to the "My Cart" page
Step 2: Enter search keywords in upper or lower case
Step 3: Check the system to display the corresponding product list regardless of upper or lower case</v>
      </c>
      <c r="L67" s="61" t="s">
        <v>834</v>
      </c>
      <c r="M67" s="31" t="s">
        <v>835</v>
      </c>
      <c r="N67" s="31"/>
      <c r="O67" s="12"/>
      <c r="P67" s="32"/>
    </row>
    <row r="68">
      <c r="A68" s="28"/>
      <c r="B68" s="28"/>
      <c r="C68" s="28"/>
      <c r="D68" s="28"/>
      <c r="E68" s="18"/>
      <c r="F68" s="12" t="s">
        <v>836</v>
      </c>
      <c r="G68" s="39" t="s">
        <v>837</v>
      </c>
      <c r="H68" s="12" t="s">
        <v>838</v>
      </c>
      <c r="I68" s="12" t="s">
        <v>598</v>
      </c>
      <c r="J68" s="12" t="s">
        <v>839</v>
      </c>
      <c r="K68" s="13" t="str">
        <f>IFERROR(__xludf.DUMMYFUNCTION("IF(ISBLANK(J68), ""Input test step"", ARRAYFORMULA(TEXTJOIN(CHAR(10), TRUE, (""Step ""&amp; ROW(INDIRECT(""1:"" &amp; COUNTA(SPLIT(J68, CHAR(10))))) &amp; "": "" &amp; TRANSPOSE(SPLIT(J68, CHAR(10)))))))"),"Step 1: Navigate to the ""My Cart"" page
Step 2: Check the product list for duplicates")</f>
        <v>Step 1: Navigate to the "My Cart" page
Step 2: Check the product list for duplicates</v>
      </c>
      <c r="L68" s="34"/>
      <c r="M68" s="31" t="s">
        <v>840</v>
      </c>
      <c r="N68" s="31"/>
      <c r="O68" s="12"/>
      <c r="P68" s="32"/>
    </row>
    <row r="69">
      <c r="C69" s="35"/>
      <c r="D69" s="35"/>
      <c r="E69" s="18"/>
      <c r="F69" s="12" t="s">
        <v>841</v>
      </c>
      <c r="G69" s="12"/>
      <c r="H69" s="12" t="s">
        <v>842</v>
      </c>
      <c r="I69" s="12" t="s">
        <v>598</v>
      </c>
      <c r="J69" s="12" t="s">
        <v>843</v>
      </c>
      <c r="K69" s="13" t="str">
        <f>IFERROR(__xludf.DUMMYFUNCTION("IF(ISBLANK(J69), ""Input test step"", ARRAYFORMULA(TEXTJOIN(CHAR(10), TRUE, (""Step ""&amp; ROW(INDIRECT(""1:"" &amp; COUNTA(SPLIT(J69, CHAR(10))))) &amp; "": "" &amp; TRANSPOSE(SPLIT(J69, CHAR(10)))))))"),"Step 1: Navigate to the ""My Cart"" page
Step 2: Check the checkbox of any corresponding product
Step 3: Click on the ""Payment"" button
Step 4: Click on the ""Place Order"" button
Step 5: Click on the Button containing the shopping cart icon in the menu
"&amp;"Step 6: Check if the product just paid for appears in the shopping cart list")</f>
        <v>Step 1: Navigate to the "My Cart" page
Step 2: Check the checkbox of any corresponding product
Step 3: Click on the "Payment" button
Step 4: Click on the "Place Order" button
Step 5: Click on the Button containing the shopping cart icon in the menu
Step 6: Check if the product just paid for appears in the shopping cart list</v>
      </c>
      <c r="L69" s="34"/>
      <c r="M69" s="31" t="s">
        <v>844</v>
      </c>
      <c r="N69" s="31"/>
      <c r="O69" s="12"/>
      <c r="P69" s="32"/>
    </row>
    <row r="70">
      <c r="A70" s="35"/>
      <c r="B70" s="35"/>
      <c r="C70" s="35"/>
      <c r="D70" s="35"/>
      <c r="E70" s="18"/>
      <c r="F70" s="12" t="s">
        <v>845</v>
      </c>
      <c r="G70" s="12" t="s">
        <v>274</v>
      </c>
      <c r="H70" s="62" t="s">
        <v>846</v>
      </c>
      <c r="I70" s="12" t="s">
        <v>598</v>
      </c>
      <c r="J70" s="12" t="s">
        <v>847</v>
      </c>
      <c r="K70" s="13" t="str">
        <f>IFERROR(__xludf.DUMMYFUNCTION("IF(ISBLANK(J70), ""Input test step"", ARRAYFORMULA(TEXTJOIN(CHAR(10), TRUE, (""Step ""&amp; ROW(INDIRECT(""1:"" &amp; COUNTA(SPLIT(J70, CHAR(10))))) &amp; "": "" &amp; TRANSPOSE(SPLIT(J70, CHAR(10)))))))"),"Step 1: Navigate to the home page
Step 2: Click on the cart icon on an existing product item in the cart
Step 3: Click on the button containing the cart icon under the menu to navigate to the ""Cart"" page
Step 4: Check the updated product quantity whe"&amp;"n the user adds a new product that already exists in the cart")</f>
        <v>Step 1: Navigate to the home page
Step 2: Click on the cart icon on an existing product item in the cart
Step 3: Click on the button containing the cart icon under the menu to navigate to the "Cart" page
Step 4: Check the updated product quantity when the user adds a new product that already exists in the cart</v>
      </c>
      <c r="L70" s="34"/>
      <c r="M70" s="12" t="s">
        <v>848</v>
      </c>
      <c r="N70" s="12"/>
      <c r="O70" s="12"/>
      <c r="P70" s="32"/>
    </row>
    <row r="71">
      <c r="A71" s="35"/>
      <c r="B71" s="35"/>
      <c r="C71" s="35"/>
      <c r="D71" s="35"/>
      <c r="E71" s="18"/>
      <c r="F71" s="12" t="s">
        <v>849</v>
      </c>
      <c r="G71" s="12"/>
      <c r="H71" s="39" t="s">
        <v>850</v>
      </c>
      <c r="I71" s="12" t="s">
        <v>598</v>
      </c>
      <c r="J71" s="12" t="s">
        <v>851</v>
      </c>
      <c r="K71" s="13" t="str">
        <f>IFERROR(__xludf.DUMMYFUNCTION("IF(ISBLANK(J71), ""Input test step"", ARRAYFORMULA(TEXTJOIN(CHAR(10), TRUE, (""Step ""&amp; ROW(INDIRECT(""1:"" &amp; COUNTA(SPLIT(J71, CHAR(10))))) &amp; "": "" &amp; TRANSPOSE(SPLIT(J71, CHAR(10)))))))"),"Step 1: Navigate to the home page
Step 2: Click on the cart icon on a product item that does not exist in the cart
Step 3: Click on the button containing the cart icon under the menu to navigate to the ""Cart"" page
Step 4: Check the updated product qu"&amp;"antity is 1 when the user adds a new product that does not exist in the cart")</f>
        <v>Step 1: Navigate to the home page
Step 2: Click on the cart icon on a product item that does not exist in the cart
Step 3: Click on the button containing the cart icon under the menu to navigate to the "Cart" page
Step 4: Check the updated product quantity is 1 when the user adds a new product that does not exist in the cart</v>
      </c>
      <c r="L71" s="34"/>
      <c r="M71" s="12" t="s">
        <v>852</v>
      </c>
      <c r="N71" s="12"/>
      <c r="O71" s="12"/>
      <c r="P71" s="32"/>
    </row>
    <row r="72">
      <c r="A72" s="35"/>
      <c r="B72" s="35"/>
      <c r="C72" s="35"/>
      <c r="D72" s="35"/>
      <c r="E72" s="18"/>
      <c r="F72" s="12" t="s">
        <v>853</v>
      </c>
      <c r="G72" s="12"/>
      <c r="H72" s="12" t="s">
        <v>854</v>
      </c>
      <c r="I72" s="12" t="s">
        <v>598</v>
      </c>
      <c r="J72" s="12" t="s">
        <v>855</v>
      </c>
      <c r="K72" s="13" t="str">
        <f>IFERROR(__xludf.DUMMYFUNCTION("IF(ISBLANK(J72), ""Input test step"", ARRAYFORMULA(TEXTJOIN(CHAR(10), TRUE, (""Step ""&amp; ROW(INDIRECT(""1:"" &amp; COUNTA(SPLIT(J72, CHAR(10))))) &amp; "": "" &amp; TRANSPOSE(SPLIT(J72, CHAR(10)))))))"),"Step 1: Navigate to ""My Cart""
Step 2: Click the (-) button on a product item
Step 3: Check the quantity of the product decreases when clicking the (-) button")</f>
        <v>Step 1: Navigate to "My Cart"
Step 2: Click the (-) button on a product item
Step 3: Check the quantity of the product decreases when clicking the (-) button</v>
      </c>
      <c r="L72" s="34"/>
      <c r="M72" s="12" t="s">
        <v>856</v>
      </c>
      <c r="N72" s="12"/>
      <c r="O72" s="12"/>
      <c r="P72" s="32"/>
    </row>
    <row r="73">
      <c r="A73" s="36"/>
      <c r="B73" s="36"/>
      <c r="C73" s="36"/>
      <c r="D73" s="36"/>
      <c r="E73" s="27"/>
      <c r="F73" s="12" t="s">
        <v>857</v>
      </c>
      <c r="G73" s="12"/>
      <c r="H73" s="12" t="s">
        <v>858</v>
      </c>
      <c r="I73" s="12" t="s">
        <v>598</v>
      </c>
      <c r="J73" s="12" t="s">
        <v>859</v>
      </c>
      <c r="K73" s="13" t="str">
        <f>IFERROR(__xludf.DUMMYFUNCTION("IF(ISBLANK(J73), ""Input test step"", ARRAYFORMULA(TEXTJOIN(CHAR(10), TRUE, (""Step ""&amp; ROW(INDIRECT(""1:"" &amp; COUNTA(SPLIT(J73, CHAR(10))))) &amp; "": "" &amp; TRANSPOSE(SPLIT(J73, CHAR(10)))))))"),"Step 1: Navigate to ""My Cart""
Step 2: Click the (+) button on a product item
Step 3: Check the quantity of the product increases when clicking the (+) button")</f>
        <v>Step 1: Navigate to "My Cart"
Step 2: Click the (+) button on a product item
Step 3: Check the quantity of the product increases when clicking the (+) button</v>
      </c>
      <c r="L73" s="14"/>
      <c r="M73" s="12" t="s">
        <v>860</v>
      </c>
      <c r="N73" s="12"/>
      <c r="O73" s="12"/>
      <c r="P73" s="32"/>
    </row>
    <row r="74">
      <c r="A74" s="36"/>
      <c r="B74" s="36"/>
      <c r="C74" s="36"/>
      <c r="D74" s="36"/>
      <c r="E74" s="27"/>
      <c r="F74" s="12" t="s">
        <v>861</v>
      </c>
      <c r="G74" s="12"/>
      <c r="H74" s="12" t="s">
        <v>862</v>
      </c>
      <c r="I74" s="12" t="s">
        <v>598</v>
      </c>
      <c r="J74" s="12" t="s">
        <v>863</v>
      </c>
      <c r="K74" s="13" t="str">
        <f>IFERROR(__xludf.DUMMYFUNCTION("IF(ISBLANK(J74), ""Input test step"", ARRAYFORMULA(TEXTJOIN(CHAR(10), TRUE, (""Step ""&amp; ROW(INDIRECT(""1:"" &amp; COUNTA(SPLIT(J74, CHAR(10))))) &amp; "": "" &amp; TRANSPOSE(SPLIT(J74, CHAR(10)))))))"),"Step 1: Navigate to ""My Cart""
Step 2: Enter quantity as special characters or negative numbers
Step 3: Check the default product quantity is 1 when user enters special characters or negative number")</f>
        <v>Step 1: Navigate to "My Cart"
Step 2: Enter quantity as special characters or negative numbers
Step 3: Check the default product quantity is 1 when user enters special characters or negative number</v>
      </c>
      <c r="L74" s="14" t="s">
        <v>864</v>
      </c>
      <c r="M74" s="12" t="s">
        <v>865</v>
      </c>
      <c r="N74" s="12"/>
      <c r="O74" s="12"/>
      <c r="P74" s="32"/>
    </row>
    <row r="75">
      <c r="A75" s="36"/>
      <c r="B75" s="36"/>
      <c r="C75" s="36"/>
      <c r="D75" s="36"/>
      <c r="E75" s="27"/>
      <c r="F75" s="12" t="s">
        <v>866</v>
      </c>
      <c r="G75" s="12"/>
      <c r="H75" s="12" t="s">
        <v>867</v>
      </c>
      <c r="I75" s="12" t="s">
        <v>598</v>
      </c>
      <c r="J75" s="12" t="s">
        <v>868</v>
      </c>
      <c r="K75" s="13" t="str">
        <f>IFERROR(__xludf.DUMMYFUNCTION("IF(ISBLANK(J75), ""Input test step"", ARRAYFORMULA(TEXTJOIN(CHAR(10), TRUE, (""Step ""&amp; ROW(INDIRECT(""1:"" &amp; COUNTA(SPLIT(J75, CHAR(10))))) &amp; "": "" &amp; TRANSPOSE(SPLIT(J75, CHAR(10)))))))"),"Step 1: Navigate to ""My Cart""
Step 2: Enter quantity as 0
Step 3: Check the default product quantity is 1 when the user enters 0")</f>
        <v>Step 1: Navigate to "My Cart"
Step 2: Enter quantity as 0
Step 3: Check the default product quantity is 1 when the user enters 0</v>
      </c>
      <c r="L75" s="14"/>
      <c r="M75" s="12" t="s">
        <v>869</v>
      </c>
      <c r="N75" s="12"/>
      <c r="O75" s="12"/>
      <c r="P75" s="32"/>
    </row>
    <row r="76">
      <c r="A76" s="36"/>
      <c r="B76" s="36"/>
      <c r="C76" s="36"/>
      <c r="D76" s="36"/>
      <c r="E76" s="27"/>
      <c r="F76" s="12" t="s">
        <v>870</v>
      </c>
      <c r="G76" s="12"/>
      <c r="H76" s="12" t="s">
        <v>871</v>
      </c>
      <c r="I76" s="12" t="s">
        <v>598</v>
      </c>
      <c r="J76" s="12" t="s">
        <v>872</v>
      </c>
      <c r="K76" s="13" t="str">
        <f>IFERROR(__xludf.DUMMYFUNCTION("IF(ISBLANK(J76), ""Input test step"", ARRAYFORMULA(TEXTJOIN(CHAR(10), TRUE, (""Step ""&amp; ROW(INDIRECT(""1:"" &amp; COUNTA(SPLIT(J76, CHAR(10))))) &amp; "": "" &amp; TRANSPOSE(SPLIT(J76, CHAR(10)))))))"),"Step 1: Navigate to ""My Cart""
Step 2: Enter quantity greater than stock
Step 3: Check for ""Exceeded Stock"" message")</f>
        <v>Step 1: Navigate to "My Cart"
Step 2: Enter quantity greater than stock
Step 3: Check for "Exceeded Stock" message</v>
      </c>
      <c r="L76" s="14" t="s">
        <v>873</v>
      </c>
      <c r="M76" s="12" t="s">
        <v>874</v>
      </c>
      <c r="N76" s="12"/>
      <c r="O76" s="12"/>
      <c r="P76" s="32"/>
    </row>
    <row r="77">
      <c r="A77" s="36"/>
      <c r="B77" s="36"/>
      <c r="C77" s="36"/>
      <c r="D77" s="36"/>
      <c r="E77" s="27"/>
      <c r="F77" s="12" t="s">
        <v>875</v>
      </c>
      <c r="G77" s="12"/>
      <c r="H77" s="12" t="s">
        <v>876</v>
      </c>
      <c r="I77" s="12" t="s">
        <v>598</v>
      </c>
      <c r="J77" s="12" t="s">
        <v>877</v>
      </c>
      <c r="K77" s="13" t="str">
        <f>IFERROR(__xludf.DUMMYFUNCTION("IF(ISBLANK(J77), ""Input test step"", ARRAYFORMULA(TEXTJOIN(CHAR(10), TRUE, (""Step ""&amp; ROW(INDIRECT(""1:"" &amp; COUNTA(SPLIT(J77, CHAR(10))))) &amp; "": "" &amp; TRANSPOSE(SPLIT(J77, CHAR(10)))))))"),"Step 1: Navigate to ""My Cart""
Step 2: Click on the product area
Step 3: Check the system to display product details when clicking on a product item in the cart")</f>
        <v>Step 1: Navigate to "My Cart"
Step 2: Click on the product area
Step 3: Check the system to display product details when clicking on a product item in the cart</v>
      </c>
      <c r="L77" s="14"/>
      <c r="M77" s="12" t="s">
        <v>878</v>
      </c>
      <c r="N77" s="12"/>
      <c r="O77" s="12"/>
      <c r="P77" s="32"/>
    </row>
    <row r="78">
      <c r="A78" s="36"/>
      <c r="B78" s="36"/>
      <c r="C78" s="36"/>
      <c r="D78" s="36"/>
      <c r="E78" s="27"/>
      <c r="F78" s="12" t="s">
        <v>879</v>
      </c>
      <c r="G78" s="12"/>
      <c r="H78" s="12" t="s">
        <v>880</v>
      </c>
      <c r="I78" s="12" t="s">
        <v>598</v>
      </c>
      <c r="J78" s="12" t="s">
        <v>881</v>
      </c>
      <c r="K78" s="13" t="str">
        <f>IFERROR(__xludf.DUMMYFUNCTION("IF(ISBLANK(J78), ""Input test step"", ARRAYFORMULA(TEXTJOIN(CHAR(10), TRUE, (""Step ""&amp; ROW(INDIRECT(""1:"" &amp; COUNTA(SPLIT(J78, CHAR(10))))) &amp; "": "" &amp; TRANSPOSE(SPLIT(J78, CHAR(10)))))))"),"Step 1: Navigate to ""My Cart""
Step 2: Check the checkbox of a product
Step 3: Verify the total price displayed correctly when successfully checking a product checkbox")</f>
        <v>Step 1: Navigate to "My Cart"
Step 2: Check the checkbox of a product
Step 3: Verify the total price displayed correctly when successfully checking a product checkbox</v>
      </c>
      <c r="L78" s="14"/>
      <c r="M78" s="12" t="s">
        <v>882</v>
      </c>
      <c r="N78" s="12"/>
      <c r="O78" s="12"/>
      <c r="P78" s="32"/>
    </row>
    <row r="79">
      <c r="A79" s="36"/>
      <c r="B79" s="36"/>
      <c r="C79" s="36"/>
      <c r="D79" s="36"/>
      <c r="E79" s="27"/>
      <c r="F79" s="12" t="s">
        <v>883</v>
      </c>
      <c r="G79" s="12"/>
      <c r="H79" s="12" t="s">
        <v>884</v>
      </c>
      <c r="I79" s="12" t="s">
        <v>598</v>
      </c>
      <c r="J79" s="12" t="s">
        <v>885</v>
      </c>
      <c r="K79" s="13" t="str">
        <f>IFERROR(__xludf.DUMMYFUNCTION("IF(ISBLANK(J79), ""Input test step"", ARRAYFORMULA(TEXTJOIN(CHAR(10), TRUE, (""Step ""&amp; ROW(INDIRECT(""1:"" &amp; COUNTA(SPLIT(J79, CHAR(10))))) &amp; "": "" &amp; TRANSPOSE(SPLIT(J79, CHAR(10)))))))"),"Step 1: Navigate to ""My Cart""
Step 2: Click on the three-dots button
Step 3: Check to successfully display 2 select items including ""Add to favorites"" or ""Remove from cart"" when clicking on the menu three-dots button in the upper right corner of e"&amp;"ach product item")</f>
        <v>Step 1: Navigate to "My Cart"
Step 2: Click on the three-dots button
Step 3: Check to successfully display 2 select items including "Add to favorites" or "Remove from cart" when clicking on the menu three-dots button in the upper right corner of each product item</v>
      </c>
      <c r="L79" s="14"/>
      <c r="M79" s="12" t="s">
        <v>886</v>
      </c>
      <c r="N79" s="12"/>
      <c r="O79" s="12"/>
      <c r="P79" s="32"/>
    </row>
    <row r="80">
      <c r="A80" s="36"/>
      <c r="B80" s="36"/>
      <c r="C80" s="36"/>
      <c r="D80" s="36"/>
      <c r="E80" s="27"/>
      <c r="F80" s="12" t="s">
        <v>887</v>
      </c>
      <c r="G80" s="12"/>
      <c r="H80" s="31" t="s">
        <v>888</v>
      </c>
      <c r="I80" s="12" t="s">
        <v>598</v>
      </c>
      <c r="J80" s="12" t="s">
        <v>889</v>
      </c>
      <c r="K80" s="13" t="str">
        <f>IFERROR(__xludf.DUMMYFUNCTION("IF(ISBLANK(J80), ""Input test step"", ARRAYFORMULA(TEXTJOIN(CHAR(10), TRUE, (""Step ""&amp; ROW(INDIRECT(""1:"" &amp; COUNTA(SPLIT(J80, CHAR(10))))) &amp; "": "" &amp; TRANSPOSE(SPLIT(J80, CHAR(10)))))))"),"Step 1: Navigate to ""My Cart""
Step 2: Select (&gt;) to the right of the discount display area
Step 3: Check the eligible discount voucher to apply
Step 4: Click the ""Apply"" button
Step 5: Check to display the correct discount amount corresponding to "&amp;"the discount percentage when applying the voucher")</f>
        <v>Step 1: Navigate to "My Cart"
Step 2: Select (&gt;) to the right of the discount display area
Step 3: Check the eligible discount voucher to apply
Step 4: Click the "Apply" button
Step 5: Check to display the correct discount amount corresponding to the discount percentage when applying the voucher</v>
      </c>
      <c r="L80" s="14"/>
      <c r="M80" s="12" t="s">
        <v>890</v>
      </c>
      <c r="N80" s="12"/>
      <c r="O80" s="12"/>
      <c r="P80" s="32"/>
    </row>
    <row r="81">
      <c r="A81" s="36"/>
      <c r="B81" s="36"/>
      <c r="C81" s="36"/>
      <c r="D81" s="36"/>
      <c r="E81" s="27"/>
      <c r="F81" s="12" t="s">
        <v>891</v>
      </c>
      <c r="G81" s="12"/>
      <c r="H81" s="54" t="s">
        <v>892</v>
      </c>
      <c r="I81" s="12" t="s">
        <v>598</v>
      </c>
      <c r="J81" s="12" t="s">
        <v>893</v>
      </c>
      <c r="K81" s="13" t="str">
        <f>IFERROR(__xludf.DUMMYFUNCTION("IF(ISBLANK(J81), ""Input test step"", ARRAYFORMULA(TEXTJOIN(CHAR(10), TRUE, (""Step ""&amp; ROW(INDIRECT(""1:"" &amp; COUNTA(SPLIT(J81, CHAR(10))))) &amp; "": "" &amp; TRANSPOSE(SPLIT(J81, CHAR(10)))))))"),"Step 1: Navigate to ""My Cart""
Step 2: Select (&gt;) to the right of the discount display area
Step 3: Select the eligible shipping voucher to apply
Step 4: Click the ""Apply"" button
Step 5: Verify the exact shipping discount amount corresponding to th"&amp;"e discount percentage when applying the voucher")</f>
        <v>Step 1: Navigate to "My Cart"
Step 2: Select (&gt;) to the right of the discount display area
Step 3: Select the eligible shipping voucher to apply
Step 4: Click the "Apply" button
Step 5: Verify the exact shipping discount amount corresponding to the discount percentage when applying the voucher</v>
      </c>
      <c r="L81" s="14"/>
      <c r="M81" s="12" t="s">
        <v>894</v>
      </c>
      <c r="N81" s="12"/>
      <c r="O81" s="12"/>
      <c r="P81" s="32"/>
    </row>
    <row r="82">
      <c r="A82" s="36"/>
      <c r="B82" s="36"/>
      <c r="C82" s="36"/>
      <c r="D82" s="36"/>
      <c r="E82" s="27"/>
      <c r="F82" s="12" t="s">
        <v>895</v>
      </c>
      <c r="G82" s="12"/>
      <c r="H82" s="53" t="s">
        <v>896</v>
      </c>
      <c r="I82" s="12" t="s">
        <v>598</v>
      </c>
      <c r="J82" s="12" t="s">
        <v>897</v>
      </c>
      <c r="K82" s="13" t="str">
        <f>IFERROR(__xludf.DUMMYFUNCTION("IF(ISBLANK(J82), ""Input test step"", ARRAYFORMULA(TEXTJOIN(CHAR(10), TRUE, (""Step ""&amp; ROW(INDIRECT(""1:"" &amp; COUNTA(SPLIT(J82, CHAR(10))))) &amp; "": "" &amp; TRANSPOSE(SPLIT(J82, CHAR(10)))))))"),"Step 1: Navigate to the ""My Cart"" page
Step 2: Select (&gt;) to the right of the discount display area
Step 3: Check the ""Select Voucher"" page display when clicking on the discount amount display area")</f>
        <v>Step 1: Navigate to the "My Cart" page
Step 2: Select (&gt;) to the right of the discount display area
Step 3: Check the "Select Voucher" page display when clicking on the discount amount display area</v>
      </c>
      <c r="L82" s="14"/>
      <c r="M82" s="12" t="s">
        <v>898</v>
      </c>
      <c r="N82" s="12"/>
      <c r="O82" s="12"/>
      <c r="P82" s="32"/>
    </row>
    <row r="83">
      <c r="A83" s="36"/>
      <c r="B83" s="36"/>
      <c r="C83" s="36"/>
      <c r="D83" s="36"/>
      <c r="E83" s="27"/>
      <c r="F83" s="12" t="s">
        <v>899</v>
      </c>
      <c r="G83" s="12"/>
      <c r="H83" s="53" t="s">
        <v>900</v>
      </c>
      <c r="I83" s="12" t="s">
        <v>598</v>
      </c>
      <c r="J83" s="12" t="s">
        <v>901</v>
      </c>
      <c r="K83" s="13" t="str">
        <f>IFERROR(__xludf.DUMMYFUNCTION("IF(ISBLANK(J83), ""Input test step"", ARRAYFORMULA(TEXTJOIN(CHAR(10), TRUE, (""Step ""&amp; ROW(INDIRECT(""1:"" &amp; COUNTA(SPLIT(J83, CHAR(10))))) &amp; "": "" &amp; TRANSPOSE(SPLIT(J83, CHAR(10)))))))"),"Step 1: Navigate to ""My Cart"" page
Step 2: Check 2 or more products
Step 3: Test to display ""Delete"" button when user checks 2 or more products")</f>
        <v>Step 1: Navigate to "My Cart" page
Step 2: Check 2 or more products
Step 3: Test to display "Delete" button when user checks 2 or more products</v>
      </c>
      <c r="L83" s="14"/>
      <c r="M83" s="12" t="s">
        <v>902</v>
      </c>
      <c r="N83" s="12"/>
      <c r="O83" s="12"/>
      <c r="P83" s="32"/>
    </row>
    <row r="84">
      <c r="A84" s="36"/>
      <c r="B84" s="36"/>
      <c r="C84" s="36"/>
      <c r="D84" s="36"/>
      <c r="E84" s="27"/>
      <c r="F84" s="12" t="s">
        <v>903</v>
      </c>
      <c r="G84" s="12"/>
      <c r="H84" s="53" t="s">
        <v>904</v>
      </c>
      <c r="I84" s="12" t="s">
        <v>598</v>
      </c>
      <c r="J84" s="12" t="s">
        <v>905</v>
      </c>
      <c r="K84" s="13" t="str">
        <f>IFERROR(__xludf.DUMMYFUNCTION("IF(ISBLANK(J84), ""Input test step"", ARRAYFORMULA(TEXTJOIN(CHAR(10), TRUE, (""Step ""&amp; ROW(INDIRECT(""1:"" &amp; COUNTA(SPLIT(J84, CHAR(10))))) &amp; "": "" &amp; TRANSPOSE(SPLIT(J84, CHAR(10)))))))"),"Step 1: Navigate to the ""My Cart"" page
Step 2: Check 2 or more products
Step 3: Click the ""Delete"" button
Step 4: Click the ""OK"" button on the ""Delete Products"" dialog box
Step 5: Check that the system has successfully deleted the products che"&amp;"cked when clicking the ""Delete"" button from the cart")</f>
        <v>Step 1: Navigate to the "My Cart" page
Step 2: Check 2 or more products
Step 3: Click the "Delete" button
Step 4: Click the "OK" button on the "Delete Products" dialog box
Step 5: Check that the system has successfully deleted the products checked when clicking the "Delete" button from the cart</v>
      </c>
      <c r="L84" s="14"/>
      <c r="M84" s="12" t="s">
        <v>906</v>
      </c>
      <c r="N84" s="12"/>
      <c r="O84" s="12"/>
      <c r="P84" s="32"/>
    </row>
    <row r="85">
      <c r="A85" s="36"/>
      <c r="B85" s="36"/>
      <c r="C85" s="36"/>
      <c r="D85" s="36"/>
      <c r="E85" s="27"/>
      <c r="F85" s="12" t="s">
        <v>907</v>
      </c>
      <c r="G85" s="12"/>
      <c r="H85" s="53" t="s">
        <v>908</v>
      </c>
      <c r="I85" s="12" t="s">
        <v>598</v>
      </c>
      <c r="J85" s="12" t="s">
        <v>909</v>
      </c>
      <c r="K85" s="13" t="str">
        <f>IFERROR(__xludf.DUMMYFUNCTION("IF(ISBLANK(J85), ""Input test step"", ARRAYFORMULA(TEXTJOIN(CHAR(10), TRUE, (""Step ""&amp; ROW(INDIRECT(""1:"" &amp; COUNTA(SPLIT(J85, CHAR(10))))) &amp; "": "" &amp; TRANSPOSE(SPLIT(J85, CHAR(10)))))))"),"Step 1: Navigate to ""My Cart"" page
Step 2: Check the checkbox of all products in the cart
Step 3: Verify the system to automatically check ""All"" checkbox")</f>
        <v>Step 1: Navigate to "My Cart" page
Step 2: Check the checkbox of all products in the cart
Step 3: Verify the system to automatically check "All" checkbox</v>
      </c>
      <c r="L85" s="14"/>
      <c r="M85" s="39" t="s">
        <v>910</v>
      </c>
      <c r="N85" s="12"/>
      <c r="O85" s="12"/>
      <c r="P85" s="32"/>
    </row>
    <row r="86">
      <c r="A86" s="36"/>
      <c r="B86" s="36"/>
      <c r="C86" s="36"/>
      <c r="D86" s="36"/>
      <c r="E86" s="27"/>
      <c r="F86" s="12" t="s">
        <v>911</v>
      </c>
      <c r="G86" s="12"/>
      <c r="H86" s="53" t="s">
        <v>912</v>
      </c>
      <c r="I86" s="12" t="s">
        <v>598</v>
      </c>
      <c r="J86" s="12" t="s">
        <v>913</v>
      </c>
      <c r="K86" s="13" t="str">
        <f>IFERROR(__xludf.DUMMYFUNCTION("IF(ISBLANK(J86), ""Input test step"", ARRAYFORMULA(TEXTJOIN(CHAR(10), TRUE, (""Step ""&amp; ROW(INDIRECT(""1:"" &amp; COUNTA(SPLIT(J86, CHAR(10))))) &amp; "": "" &amp; TRANSPOSE(SPLIT(J86, CHAR(10)))))))"),"Step 1: Navigate to ""My Cart"" page
Step 2: Uncheck the checkboxes of the products until the number of checked products is less than 2
Step 3: Check the system to automatically uncheck all checkboxes")</f>
        <v>Step 1: Navigate to "My Cart" page
Step 2: Uncheck the checkboxes of the products until the number of checked products is less than 2
Step 3: Check the system to automatically uncheck all checkboxes</v>
      </c>
      <c r="L86" s="14"/>
      <c r="M86" s="12" t="s">
        <v>914</v>
      </c>
      <c r="N86" s="12"/>
      <c r="O86" s="12"/>
      <c r="P86" s="32"/>
    </row>
    <row r="87">
      <c r="A87" s="36"/>
      <c r="B87" s="36"/>
      <c r="C87" s="36"/>
      <c r="D87" s="36"/>
      <c r="E87" s="27"/>
      <c r="F87" s="12" t="s">
        <v>915</v>
      </c>
      <c r="G87" s="12"/>
      <c r="H87" s="53" t="s">
        <v>916</v>
      </c>
      <c r="I87" s="12" t="s">
        <v>598</v>
      </c>
      <c r="J87" s="12" t="s">
        <v>917</v>
      </c>
      <c r="K87" s="13" t="str">
        <f>IFERROR(__xludf.DUMMYFUNCTION("IF(ISBLANK(J87), ""Input test step"", ARRAYFORMULA(TEXTJOIN(CHAR(10), TRUE, (""Step ""&amp; ROW(INDIRECT(""1:"" &amp; COUNTA(SPLIT(J87, CHAR(10))))) &amp; "": "" &amp; TRANSPOSE(SPLIT(J87, CHAR(10)))))))"),"Step 1: Navigate to the ""My Cart"" page
Step 2: Select the product that is out of stock or discontinued
Step 3: Check the system for the message ""This product cannot be selected""")</f>
        <v>Step 1: Navigate to the "My Cart" page
Step 2: Select the product that is out of stock or discontinued
Step 3: Check the system for the message "This product cannot be selected"</v>
      </c>
      <c r="L87" s="14"/>
      <c r="M87" s="12" t="s">
        <v>918</v>
      </c>
      <c r="N87" s="12"/>
      <c r="O87" s="12"/>
      <c r="P87" s="32"/>
    </row>
    <row r="88">
      <c r="A88" s="36"/>
      <c r="B88" s="36"/>
      <c r="C88" s="36"/>
      <c r="D88" s="36"/>
      <c r="E88" s="27"/>
      <c r="F88" s="12" t="s">
        <v>919</v>
      </c>
      <c r="G88" s="12" t="s">
        <v>920</v>
      </c>
      <c r="H88" s="12" t="s">
        <v>921</v>
      </c>
      <c r="I88" s="12" t="s">
        <v>598</v>
      </c>
      <c r="J88" s="12" t="s">
        <v>922</v>
      </c>
      <c r="K88" s="13" t="str">
        <f>IFERROR(__xludf.DUMMYFUNCTION("IF(ISBLANK(J88), ""Input test step"", ARRAYFORMULA(TEXTJOIN(CHAR(10), TRUE, (""Step ""&amp; ROW(INDIRECT(""1:"" &amp; COUNTA(SPLIT(J88, CHAR(10))))) &amp; "": "" &amp; TRANSPOSE(SPLIT(J88, CHAR(10)))))))"),"Step 1: Navigate to the ""My Cart"" page
Step 2: Click the three dots on any product item
Step 3: Click the ""Add to Favorites"" option
Step 4: Display the ""Added to Favorites"" message")</f>
        <v>Step 1: Navigate to the "My Cart" page
Step 2: Click the three dots on any product item
Step 3: Click the "Add to Favorites" option
Step 4: Display the "Added to Favorites" message</v>
      </c>
      <c r="L88" s="14"/>
      <c r="M88" s="12" t="s">
        <v>923</v>
      </c>
      <c r="N88" s="12"/>
      <c r="O88" s="12"/>
      <c r="P88" s="32"/>
    </row>
    <row r="89">
      <c r="A89" s="36"/>
      <c r="B89" s="36"/>
      <c r="C89" s="36"/>
      <c r="D89" s="36"/>
      <c r="E89" s="27"/>
      <c r="F89" s="12" t="s">
        <v>924</v>
      </c>
      <c r="G89" s="63"/>
      <c r="H89" s="42" t="s">
        <v>925</v>
      </c>
      <c r="I89" s="12" t="s">
        <v>598</v>
      </c>
      <c r="J89" s="12" t="s">
        <v>926</v>
      </c>
      <c r="K89" s="13" t="str">
        <f>IFERROR(__xludf.DUMMYFUNCTION("IF(ISBLANK(J89), ""Input test step"", ARRAYFORMULA(TEXTJOIN(CHAR(10), TRUE, (""Step ""&amp; ROW(INDIRECT(""1:"" &amp; COUNTA(SPLIT(J89, CHAR(10))))) &amp; "": "" &amp; TRANSPOSE(SPLIT(J89, CHAR(10)))))))"),"Step 1: Navigate to the ""My Cart"" page
Step 2: Click the menu three-dots in any product category
Step 3: Click the ""Add to Favorites"" option
Step 4: Click the ""Personal"" option under the menu bar
Step 5: Click the ""Favorites"" option
Step 6: C"&amp;"heck if the newly added product exists in the favorites list")</f>
        <v>Step 1: Navigate to the "My Cart" page
Step 2: Click the menu three-dots in any product category
Step 3: Click the "Add to Favorites" option
Step 4: Click the "Personal" option under the menu bar
Step 5: Click the "Favorites" option
Step 6: Check if the newly added product exists in the favorites list</v>
      </c>
      <c r="L89" s="14"/>
      <c r="M89" s="12" t="s">
        <v>927</v>
      </c>
      <c r="N89" s="12"/>
      <c r="O89" s="12"/>
      <c r="P89" s="32"/>
    </row>
    <row r="90">
      <c r="A90" s="36"/>
      <c r="B90" s="36"/>
      <c r="C90" s="36"/>
      <c r="D90" s="36"/>
      <c r="E90" s="27"/>
      <c r="F90" s="12" t="s">
        <v>928</v>
      </c>
      <c r="G90" s="12"/>
      <c r="H90" s="64" t="s">
        <v>929</v>
      </c>
      <c r="I90" s="12" t="s">
        <v>598</v>
      </c>
      <c r="J90" s="12" t="s">
        <v>930</v>
      </c>
      <c r="K90" s="13" t="str">
        <f>IFERROR(__xludf.DUMMYFUNCTION("IF(ISBLANK(J90), ""Input test step"", ARRAYFORMULA(TEXTJOIN(CHAR(10), TRUE, (""Step ""&amp; ROW(INDIRECT(""1:"" &amp; COUNTA(SPLIT(J90, CHAR(10))))) &amp; "": "" &amp; TRANSPOSE(SPLIT(J90, CHAR(10)))))))"),"Step 1: Navigate to the ""My Cart"" page
Step 2: Click the menu three-dots in any product category
Step 3: Click on the ""Unfavorite"" option
Step 4: Check that the system displays ""Unfavorite successfully""
Step 5: Click on the ""Personal"" item und"&amp;"er the menu bar
Step 6: Click on the ""Favorites"" item
Step 7: Check that the product that was just deleted does not exist in the favorites list")</f>
        <v>Step 1: Navigate to the "My Cart" page
Step 2: Click the menu three-dots in any product category
Step 3: Click on the "Unfavorite" option
Step 4: Check that the system displays "Unfavorite successfully"
Step 5: Click on the "Personal" item under the menu bar
Step 6: Click on the "Favorites" item
Step 7: Check that the product that was just deleted does not exist in the favorites list</v>
      </c>
      <c r="L90" s="14"/>
      <c r="M90" s="12" t="s">
        <v>931</v>
      </c>
      <c r="N90" s="12"/>
      <c r="O90" s="12"/>
      <c r="P90" s="32"/>
    </row>
    <row r="91">
      <c r="A91" s="36"/>
      <c r="B91" s="36"/>
      <c r="C91" s="36"/>
      <c r="D91" s="36"/>
      <c r="E91" s="27"/>
      <c r="F91" s="12" t="s">
        <v>932</v>
      </c>
      <c r="G91" s="12" t="s">
        <v>933</v>
      </c>
      <c r="H91" s="42" t="s">
        <v>934</v>
      </c>
      <c r="I91" s="12" t="s">
        <v>598</v>
      </c>
      <c r="J91" s="12" t="s">
        <v>935</v>
      </c>
      <c r="K91" s="13" t="str">
        <f>IFERROR(__xludf.DUMMYFUNCTION("IF(ISBLANK(J91), ""Input test step"", ARRAYFORMULA(TEXTJOIN(CHAR(10), TRUE, (""Step ""&amp; ROW(INDIRECT(""1:"" &amp; COUNTA(SPLIT(J91, CHAR(10))))) &amp; "": "" &amp; TRANSPOSE(SPLIT(J91, CHAR(10)))))))"),"Step 1: Navigate to the ""My Cart"" page
Step 2: Click the menu three-dots in any product category
Step 3: Click the ""Remove from Cart"" option
Step 4: Verify the ""Remove Product"" dialog box displays")</f>
        <v>Step 1: Navigate to the "My Cart" page
Step 2: Click the menu three-dots in any product category
Step 3: Click the "Remove from Cart" option
Step 4: Verify the "Remove Product" dialog box displays</v>
      </c>
      <c r="L91" s="14"/>
      <c r="M91" s="12" t="s">
        <v>936</v>
      </c>
      <c r="N91" s="12"/>
      <c r="O91" s="12"/>
      <c r="P91" s="32"/>
    </row>
    <row r="92">
      <c r="A92" s="36"/>
      <c r="B92" s="36"/>
      <c r="C92" s="36"/>
      <c r="D92" s="36"/>
      <c r="E92" s="27"/>
      <c r="F92" s="12" t="s">
        <v>937</v>
      </c>
      <c r="G92" s="63"/>
      <c r="H92" s="12" t="s">
        <v>938</v>
      </c>
      <c r="I92" s="12" t="s">
        <v>598</v>
      </c>
      <c r="J92" s="12" t="s">
        <v>939</v>
      </c>
      <c r="K92" s="13" t="str">
        <f>IFERROR(__xludf.DUMMYFUNCTION("IF(ISBLANK(J92), ""Input test step"", ARRAYFORMULA(TEXTJOIN(CHAR(10), TRUE, (""Step ""&amp; ROW(INDIRECT(""1:"" &amp; COUNTA(SPLIT(J92, CHAR(10))))) &amp; "": "" &amp; TRANSPOSE(SPLIT(J92, CHAR(10)))))))"),"Step 1: ""Navigate to the """"My Cart"""" page
Step 2: Click the menu three-dots in any product category
Step 3: Click the """"Remove from Cart"""" option
Step 4: Click the ""OK"" button on the product deletion dialog box
Step 5: Check the system to r"&amp;"emove the product from the cart list")</f>
        <v>Step 1: "Navigate to the ""My Cart"" page
Step 2: Click the menu three-dots in any product category
Step 3: Click the ""Remove from Cart"" option
Step 4: Click the "OK" button on the product deletion dialog box
Step 5: Check the system to remove the product from the cart list</v>
      </c>
      <c r="L92" s="14"/>
      <c r="M92" s="12" t="s">
        <v>940</v>
      </c>
      <c r="N92" s="12"/>
      <c r="O92" s="12"/>
      <c r="P92" s="32"/>
    </row>
    <row r="93">
      <c r="A93" s="36"/>
      <c r="B93" s="36"/>
      <c r="C93" s="36"/>
      <c r="D93" s="36"/>
      <c r="E93" s="27"/>
      <c r="F93" s="12" t="s">
        <v>941</v>
      </c>
      <c r="G93" s="42" t="s">
        <v>942</v>
      </c>
      <c r="H93" s="30" t="s">
        <v>943</v>
      </c>
      <c r="I93" s="12" t="s">
        <v>598</v>
      </c>
      <c r="J93" s="30" t="s">
        <v>944</v>
      </c>
      <c r="K93" s="65" t="str">
        <f>IFERROR(__xludf.DUMMYFUNCTION("IF(ISBLANK(J93), ""Input test step"", ARRAYFORMULA(TEXTJOIN(CHAR(10), TRUE, (""Step ""&amp; ROW(INDIRECT(""1:"" &amp; COUNTA(SPLIT(J93, CHAR(10))))) &amp; "": "" &amp; TRANSPOSE(SPLIT(J93, CHAR(10)))))))"),"Step 1: ""Navigate to the """"My Cart"""" page
Step 2: Click the menu three-dots in any product category
Step 3: Click the """"Remove from cart"""" option
Step 4: Click the ""No"" button on the delete product dialog
Step 5: Check the system to close t"&amp;"he delete product dialog")</f>
        <v>Step 1: "Navigate to the ""My Cart"" page
Step 2: Click the menu three-dots in any product category
Step 3: Click the ""Remove from cart"" option
Step 4: Click the "No" button on the delete product dialog
Step 5: Check the system to close the delete product dialog</v>
      </c>
      <c r="L93" s="66"/>
      <c r="M93" s="30" t="s">
        <v>945</v>
      </c>
      <c r="N93" s="12"/>
      <c r="O93" s="12"/>
      <c r="P93" s="32"/>
    </row>
    <row r="94">
      <c r="A94" s="36"/>
      <c r="B94" s="36"/>
      <c r="C94" s="36"/>
      <c r="D94" s="36"/>
      <c r="E94" s="27"/>
      <c r="F94" s="12" t="s">
        <v>946</v>
      </c>
      <c r="G94" s="47" t="s">
        <v>947</v>
      </c>
      <c r="H94" s="39" t="s">
        <v>948</v>
      </c>
      <c r="I94" s="12" t="s">
        <v>598</v>
      </c>
      <c r="J94" s="12" t="s">
        <v>949</v>
      </c>
      <c r="K94" s="13" t="str">
        <f>IFERROR(__xludf.DUMMYFUNCTION("IF(ISBLANK(J94), ""Input test step"", ARRAYFORMULA(TEXTJOIN(CHAR(10), TRUE, (""Step ""&amp; ROW(INDIRECT(""1:"" &amp; COUNTA(SPLIT(J94, CHAR(10))))) &amp; "": "" &amp; TRANSPOSE(SPLIT(J94, CHAR(10)))))))"),"Step 1: Navigate to the ""My Cart"" page
Step 2: Select (&gt;) to the right of the discount display area
Step 3: Select the voucher in the voucher list
Step 4: Press the ""Use"" button
Step 5: Press the ""Payment"" button
Step 6: Press the ""Place Order"&amp;""" button
Step 7: Press the Cart icon button under the Menu bar
Step 8: Select (&gt;) to the right of the discount display area
Step 9: Check if the voucher just applied is still in the voucher list")</f>
        <v>Step 1: Navigate to the "My Cart" page
Step 2: Select (&gt;) to the right of the discount display area
Step 3: Select the voucher in the voucher list
Step 4: Press the "Use" button
Step 5: Press the "Payment" button
Step 6: Press the "Place Order" button
Step 7: Press the Cart icon button under the Menu bar
Step 8: Select (&gt;) to the right of the discount display area
Step 9: Check if the voucher just applied is still in the voucher list</v>
      </c>
      <c r="L94" s="14"/>
      <c r="M94" s="12" t="s">
        <v>950</v>
      </c>
      <c r="N94" s="12"/>
      <c r="O94" s="12"/>
      <c r="P94" s="32"/>
    </row>
    <row r="95">
      <c r="A95" s="36"/>
      <c r="B95" s="36"/>
      <c r="C95" s="36"/>
      <c r="D95" s="36"/>
      <c r="E95" s="27"/>
      <c r="F95" s="12" t="s">
        <v>951</v>
      </c>
      <c r="G95" s="38"/>
      <c r="H95" s="31" t="s">
        <v>952</v>
      </c>
      <c r="I95" s="12" t="s">
        <v>598</v>
      </c>
      <c r="J95" s="12" t="s">
        <v>953</v>
      </c>
      <c r="K95" s="13" t="str">
        <f>IFERROR(__xludf.DUMMYFUNCTION("IF(ISBLANK(J95), ""Input test step"", ARRAYFORMULA(TEXTJOIN(CHAR(10), TRUE, (""Step ""&amp; ROW(INDIRECT(""1:"" &amp; COUNTA(SPLIT(J95, CHAR(10))))) &amp; "": "" &amp; TRANSPOSE(SPLIT(J95, CHAR(10)))))))"),"Step 1: Navigate to the ""My Cart"" page
Step 2: Select (&gt;) to the right of the discount display area
Step 3: Enter the discount code on the search bar
Step 4: Click the ""Apply"" button
Step 5: Discount code is successfully displayed when the user en"&amp;"ters the correct discount code information")</f>
        <v>Step 1: Navigate to the "My Cart" page
Step 2: Select (&gt;) to the right of the discount display area
Step 3: Enter the discount code on the search bar
Step 4: Click the "Apply" button
Step 5: Discount code is successfully displayed when the user enters the correct discount code information</v>
      </c>
      <c r="L95" s="14"/>
      <c r="M95" s="12" t="s">
        <v>954</v>
      </c>
      <c r="N95" s="12"/>
      <c r="O95" s="12"/>
      <c r="P95" s="32"/>
    </row>
    <row r="96">
      <c r="A96" s="36"/>
      <c r="B96" s="36"/>
      <c r="C96" s="36"/>
      <c r="D96" s="36"/>
      <c r="E96" s="27"/>
      <c r="F96" s="12" t="s">
        <v>955</v>
      </c>
      <c r="G96" s="12"/>
      <c r="H96" s="31" t="s">
        <v>956</v>
      </c>
      <c r="I96" s="12" t="s">
        <v>598</v>
      </c>
      <c r="J96" s="12" t="s">
        <v>957</v>
      </c>
      <c r="K96" s="13" t="str">
        <f>IFERROR(__xludf.DUMMYFUNCTION("IF(ISBLANK(J96), ""Input test step"", ARRAYFORMULA(TEXTJOIN(CHAR(10), TRUE, (""Step ""&amp; ROW(INDIRECT(""1:"" &amp; COUNTA(SPLIT(J96, CHAR(10))))) &amp; "": "" &amp; TRANSPOSE(SPLIT(J96, CHAR(10)))))))"),"Step 1: Navigate to the ""My Cart"" page
Step 2: Select (&gt;) to the right of the discount display area
Step 3: Enter the discount code in the search bar
Step 4: Press the ""Apply"" button
Step 5: Check Show ""No results found"" message when the user enters"&amp;" a non-existent or incorrect discount code")</f>
        <v>Step 1: Navigate to the "My Cart" page
Step 2: Select (&gt;) to the right of the discount display area
Step 3: Enter the discount code in the search bar
Step 4: Press the "Apply" button
Step 5: Check Show "No results found" message when the user enters a non-existent or incorrect discount code</v>
      </c>
      <c r="L96" s="14" t="s">
        <v>958</v>
      </c>
      <c r="M96" s="12" t="s">
        <v>959</v>
      </c>
      <c r="N96" s="12"/>
      <c r="O96" s="12"/>
      <c r="P96" s="32"/>
    </row>
    <row r="97">
      <c r="A97" s="36"/>
      <c r="B97" s="36"/>
      <c r="C97" s="36"/>
      <c r="D97" s="36"/>
      <c r="E97" s="27"/>
      <c r="F97" s="12" t="s">
        <v>960</v>
      </c>
      <c r="H97" s="12" t="s">
        <v>961</v>
      </c>
      <c r="I97" s="12" t="s">
        <v>598</v>
      </c>
      <c r="J97" s="12" t="s">
        <v>962</v>
      </c>
      <c r="K97" s="13" t="str">
        <f>IFERROR(__xludf.DUMMYFUNCTION("IF(ISBLANK(J97), ""Input test step"", ARRAYFORMULA(TEXTJOIN(CHAR(10), TRUE, (""Step ""&amp; ROW(INDIRECT(""1:"" &amp; COUNTA(SPLIT(J97, CHAR(10))))) &amp; "": "" &amp; TRANSPOSE(SPLIT(J97, CHAR(10)))))))"),"Step 1: Navigate to the ""My Cart"" page
Step 2: Select (&gt;) to the right of the discount display area
Step 3: Check 1 voucher code radio in the shipping code list
Step 4: Check the voucher code is successfully checked")</f>
        <v>Step 1: Navigate to the "My Cart" page
Step 2: Select (&gt;) to the right of the discount display area
Step 3: Check 1 voucher code radio in the shipping code list
Step 4: Check the voucher code is successfully checked</v>
      </c>
      <c r="L97" s="14"/>
      <c r="M97" s="12" t="s">
        <v>805</v>
      </c>
      <c r="N97" s="12"/>
      <c r="O97" s="12"/>
      <c r="P97" s="32"/>
    </row>
    <row r="98">
      <c r="A98" s="36"/>
      <c r="B98" s="36"/>
      <c r="C98" s="36"/>
      <c r="D98" s="36"/>
      <c r="E98" s="27"/>
      <c r="F98" s="12" t="s">
        <v>963</v>
      </c>
      <c r="G98" s="12"/>
      <c r="H98" s="12" t="s">
        <v>964</v>
      </c>
      <c r="I98" s="12" t="s">
        <v>598</v>
      </c>
      <c r="J98" s="12" t="s">
        <v>965</v>
      </c>
      <c r="K98" s="13" t="str">
        <f>IFERROR(__xludf.DUMMYFUNCTION("IF(ISBLANK(J98), ""Input test step"", ARRAYFORMULA(TEXTJOIN(CHAR(10), TRUE, (""Step ""&amp; ROW(INDIRECT(""1:"" &amp; COUNTA(SPLIT(J98, CHAR(10))))) &amp; "": "" &amp; TRANSPOSE(SPLIT(J98, CHAR(10)))))))"),"Step 1: Navigate to the ""My Cart"" page
Step 2: Select (&gt;) to the right of the discount display area
Step 3: Check multiple voucher codes radio in the shipping code list
Step 4: Check the ability when the user selects multiple shipping code vouchers")</f>
        <v>Step 1: Navigate to the "My Cart" page
Step 2: Select (&gt;) to the right of the discount display area
Step 3: Check multiple voucher codes radio in the shipping code list
Step 4: Check the ability when the user selects multiple shipping code vouchers</v>
      </c>
      <c r="M98" s="14" t="s">
        <v>966</v>
      </c>
      <c r="N98" s="12"/>
      <c r="O98" s="12"/>
      <c r="P98" s="32"/>
    </row>
    <row r="99">
      <c r="A99" s="36"/>
      <c r="B99" s="36"/>
      <c r="C99" s="36"/>
      <c r="D99" s="36"/>
      <c r="E99" s="27"/>
      <c r="F99" s="12" t="s">
        <v>967</v>
      </c>
      <c r="G99" s="12"/>
      <c r="H99" s="12" t="s">
        <v>968</v>
      </c>
      <c r="I99" s="12" t="s">
        <v>598</v>
      </c>
      <c r="J99" s="12" t="s">
        <v>969</v>
      </c>
      <c r="K99" s="13" t="str">
        <f>IFERROR(__xludf.DUMMYFUNCTION("IF(ISBLANK(J99), ""Input test step"", ARRAYFORMULA(TEXTJOIN(CHAR(10), TRUE, (""Step ""&amp; ROW(INDIRECT(""1:"" &amp; COUNTA(SPLIT(J99, CHAR(10))))) &amp; "": "" &amp; TRANSPOSE(SPLIT(J99, CHAR(10)))))))"),"Step 1: Navigate to the ""My Cart"" page
Step 2: Select (&gt;) to the right of the discount display area
Step 3: Check another voucher code radio
Step 4: Check when the user ticks another voucher radio")</f>
        <v>Step 1: Navigate to the "My Cart" page
Step 2: Select (&gt;) to the right of the discount display area
Step 3: Check another voucher code radio
Step 4: Check when the user ticks another voucher radio</v>
      </c>
      <c r="M99" s="14" t="s">
        <v>970</v>
      </c>
      <c r="N99" s="12"/>
      <c r="O99" s="12"/>
      <c r="P99" s="32"/>
    </row>
    <row r="100">
      <c r="A100" s="36"/>
      <c r="B100" s="36"/>
      <c r="C100" s="36"/>
      <c r="D100" s="36"/>
      <c r="E100" s="27"/>
      <c r="F100" s="12" t="s">
        <v>971</v>
      </c>
      <c r="G100" s="12"/>
      <c r="H100" s="12" t="s">
        <v>972</v>
      </c>
      <c r="I100" s="12" t="s">
        <v>598</v>
      </c>
      <c r="J100" s="12" t="s">
        <v>973</v>
      </c>
      <c r="K100" s="13" t="str">
        <f>IFERROR(__xludf.DUMMYFUNCTION("IF(ISBLANK(J100), ""Input test step"", ARRAYFORMULA(TEXTJOIN(CHAR(10), TRUE, (""Step ""&amp; ROW(INDIRECT(""1:"" &amp; COUNTA(SPLIT(J100, CHAR(10))))) &amp; "": "" &amp; TRANSPOSE(SPLIT(J100, CHAR(10)))))))"),"Step 1: Navigate to the ""My Cart"" page
Step 2: Select (&gt;) to the right of the discount display area
Step 3: Select 1 shipping voucher and 1 discount voucher
Step 4: Press the ""Apply"" button
Step 5: Check the discount total displays if the voucher is s"&amp;"uccessfully applied ")</f>
        <v>Step 1: Navigate to the "My Cart" page
Step 2: Select (&gt;) to the right of the discount display area
Step 3: Select 1 shipping voucher and 1 discount voucher
Step 4: Press the "Apply" button
Step 5: Check the discount total displays if the voucher is successfully applied </v>
      </c>
      <c r="L100" s="14"/>
      <c r="M100" s="12" t="s">
        <v>974</v>
      </c>
      <c r="N100" s="12"/>
      <c r="O100" s="12"/>
      <c r="P100" s="32"/>
    </row>
    <row r="101">
      <c r="A101" s="36"/>
      <c r="B101" s="36"/>
      <c r="C101" s="36"/>
      <c r="D101" s="36"/>
      <c r="E101" s="27"/>
      <c r="F101" s="12" t="s">
        <v>975</v>
      </c>
      <c r="G101" s="12"/>
      <c r="H101" s="12" t="s">
        <v>976</v>
      </c>
      <c r="I101" s="12" t="s">
        <v>598</v>
      </c>
      <c r="J101" s="12" t="s">
        <v>977</v>
      </c>
      <c r="K101" s="13" t="str">
        <f>IFERROR(__xludf.DUMMYFUNCTION("IF(ISBLANK(J101), ""Input test step"", ARRAYFORMULA(TEXTJOIN(CHAR(10), TRUE, (""Step ""&amp; ROW(INDIRECT(""1:"" &amp; COUNTA(SPLIT(J101, CHAR(10))))) &amp; "": "" &amp; TRANSPOSE(SPLIT(J101, CHAR(10)))))))"),"Step 1: Navigate to the ""My Cart"" page
Step 2: Select (&gt;) to the right of the discount display area
Step 3: Check multiple voucher codes radio in the discount code list
Step 4: Check the ability when the user selects multiple discount code vouchers")</f>
        <v>Step 1: Navigate to the "My Cart" page
Step 2: Select (&gt;) to the right of the discount display area
Step 3: Check multiple voucher codes radio in the discount code list
Step 4: Check the ability when the user selects multiple discount code vouchers</v>
      </c>
      <c r="L101" s="14"/>
      <c r="M101" s="12" t="s">
        <v>978</v>
      </c>
      <c r="N101" s="12"/>
      <c r="O101" s="12"/>
      <c r="P101" s="32"/>
    </row>
    <row r="102">
      <c r="A102" s="36"/>
      <c r="B102" s="36"/>
      <c r="C102" s="36"/>
      <c r="D102" s="36"/>
      <c r="E102" s="27"/>
      <c r="F102" s="12" t="s">
        <v>979</v>
      </c>
      <c r="G102" s="12"/>
      <c r="H102" s="12" t="s">
        <v>980</v>
      </c>
      <c r="I102" s="12" t="s">
        <v>598</v>
      </c>
      <c r="J102" s="12" t="s">
        <v>981</v>
      </c>
      <c r="K102" s="13" t="str">
        <f>IFERROR(__xludf.DUMMYFUNCTION("IF(ISBLANK(J102), ""Input test step"", ARRAYFORMULA(TEXTJOIN(CHAR(10), TRUE, (""Step ""&amp; ROW(INDIRECT(""1:"" &amp; COUNTA(SPLIT(J102, CHAR(10))))) &amp; "": "" &amp; TRANSPOSE(SPLIT(J102, CHAR(10)))))))"),"Step 1: Navigate to the ""My Cart"" page
Step 2: Select (&gt;) to the right of the discount display area
Step 3: Select 1 shipping voucher and 1 discount voucher
Step 4: Press the ""Use"" button
Step 5: Check the discount amount of the shipping code and "&amp;"the discount code corresponding to the discount percentage in the voucher")</f>
        <v>Step 1: Navigate to the "My Cart" page
Step 2: Select (&gt;) to the right of the discount display area
Step 3: Select 1 shipping voucher and 1 discount voucher
Step 4: Press the "Use" button
Step 5: Check the discount amount of the shipping code and the discount code corresponding to the discount percentage in the voucher</v>
      </c>
      <c r="L102" s="14"/>
      <c r="M102" s="12" t="s">
        <v>982</v>
      </c>
      <c r="N102" s="12"/>
      <c r="O102" s="12"/>
      <c r="P102" s="32"/>
    </row>
    <row r="103">
      <c r="A103" s="36"/>
      <c r="B103" s="36"/>
      <c r="C103" s="36"/>
      <c r="D103" s="36"/>
      <c r="E103" s="27"/>
      <c r="F103" s="12" t="s">
        <v>983</v>
      </c>
      <c r="G103" s="12"/>
      <c r="H103" s="12" t="s">
        <v>984</v>
      </c>
      <c r="I103" s="12" t="s">
        <v>598</v>
      </c>
      <c r="J103" s="12" t="s">
        <v>985</v>
      </c>
      <c r="K103" s="13" t="str">
        <f>IFERROR(__xludf.DUMMYFUNCTION("IF(ISBLANK(J103), ""Input test step"", ARRAYFORMULA(TEXTJOIN(CHAR(10), TRUE, (""Step ""&amp; ROW(INDIRECT(""1:"" &amp; COUNTA(SPLIT(J103, CHAR(10))))) &amp; "": "" &amp; TRANSPOSE(SPLIT(J103, CHAR(10)))))))"),"Step 1: Navigate to the ""My Cart"" page
Step 2: Select (&gt;) to the right of the discount display area
Step 3: Check that the voucher information data in the display list is correct")</f>
        <v>Step 1: Navigate to the "My Cart" page
Step 2: Select (&gt;) to the right of the discount display area
Step 3: Check that the voucher information data in the display list is correct</v>
      </c>
      <c r="L103" s="14"/>
      <c r="M103" s="12" t="s">
        <v>986</v>
      </c>
      <c r="N103" s="12"/>
      <c r="O103" s="12"/>
      <c r="P103" s="32"/>
    </row>
    <row r="104">
      <c r="A104" s="36"/>
      <c r="B104" s="36"/>
      <c r="C104" s="36"/>
      <c r="D104" s="36"/>
      <c r="E104" s="27"/>
      <c r="F104" s="12" t="s">
        <v>987</v>
      </c>
      <c r="G104" s="12"/>
      <c r="H104" s="12" t="s">
        <v>988</v>
      </c>
      <c r="I104" s="12" t="s">
        <v>598</v>
      </c>
      <c r="J104" s="12" t="s">
        <v>989</v>
      </c>
      <c r="K104" s="13" t="str">
        <f>IFERROR(__xludf.DUMMYFUNCTION("IF(ISBLANK(J104), ""Input test step"", ARRAYFORMULA(TEXTJOIN(CHAR(10), TRUE, (""Step ""&amp; ROW(INDIRECT(""1:"" &amp; COUNTA(SPLIT(J104, CHAR(10))))) &amp; "": "" &amp; TRANSPOSE(SPLIT(J104, CHAR(10)))))))"),"Step 1: Navigate to the ""My Cart"" page
Step 2: Select (&gt;) to the right of the discount display area
Step 3: Press the ""Use"" button
Step 4: Check and confirm the system redirects to the ""Payment"" page")</f>
        <v>Step 1: Navigate to the "My Cart" page
Step 2: Select (&gt;) to the right of the discount display area
Step 3: Press the "Use" button
Step 4: Check and confirm the system redirects to the "Payment" page</v>
      </c>
      <c r="L104" s="14"/>
      <c r="M104" s="12" t="s">
        <v>990</v>
      </c>
      <c r="N104" s="12"/>
      <c r="O104" s="12"/>
      <c r="P104" s="32"/>
    </row>
    <row r="105">
      <c r="A105" s="37"/>
      <c r="B105" s="37"/>
      <c r="C105" s="37"/>
      <c r="D105" s="37"/>
      <c r="E105" s="37"/>
      <c r="F105" s="12" t="s">
        <v>991</v>
      </c>
      <c r="G105" s="12" t="s">
        <v>992</v>
      </c>
      <c r="H105" s="12" t="s">
        <v>993</v>
      </c>
      <c r="I105" s="12" t="s">
        <v>598</v>
      </c>
      <c r="J105" s="12" t="s">
        <v>994</v>
      </c>
      <c r="K105" s="13" t="str">
        <f>IFERROR(__xludf.DUMMYFUNCTION("IF(ISBLANK(J105), ""Input test step"", ARRAYFORMULA(TEXTJOIN(CHAR(10), TRUE, (""Step ""&amp; ROW(INDIRECT(""1:"" &amp; COUNTA(SPLIT(J105, CHAR(10))))) &amp; "": "" &amp; TRANSPOSE(SPLIT(J105, CHAR(10)))))))"),"Step 1: Navigate to the ""My Cart"" page
Step 2: Check all checkboxes
Step 3: Check and confirm that the corresponding checkboxes in the cart list are checked
Step 4: Check the all checkboxes a second time
Step 5: Check and confirm that the correspond"&amp;"ing checkboxes in the cart list are unchecked")</f>
        <v>Step 1: Navigate to the "My Cart" page
Step 2: Check all checkboxes
Step 3: Check and confirm that the corresponding checkboxes in the cart list are checked
Step 4: Check the all checkboxes a second time
Step 5: Check and confirm that the corresponding checkboxes in the cart list are unchecked</v>
      </c>
      <c r="L105" s="14"/>
      <c r="M105" s="21" t="s">
        <v>995</v>
      </c>
      <c r="N105" s="22"/>
      <c r="O105" s="12"/>
      <c r="P105" s="38"/>
    </row>
    <row r="106">
      <c r="A106" s="37"/>
      <c r="B106" s="37"/>
      <c r="C106" s="37"/>
      <c r="D106" s="37"/>
      <c r="E106" s="37"/>
      <c r="F106" s="12" t="s">
        <v>996</v>
      </c>
      <c r="G106" s="12"/>
      <c r="H106" s="12" t="s">
        <v>997</v>
      </c>
      <c r="I106" s="12" t="s">
        <v>598</v>
      </c>
      <c r="J106" s="12" t="s">
        <v>998</v>
      </c>
      <c r="K106" s="13" t="str">
        <f>IFERROR(__xludf.DUMMYFUNCTION("IF(ISBLANK(J106), ""Input test step"", ARRAYFORMULA(TEXTJOIN(CHAR(10), TRUE, (""Step ""&amp; ROW(INDIRECT(""1:"" &amp; COUNTA(SPLIT(J106, CHAR(10))))) &amp; "": "" &amp; TRANSPOSE(SPLIT(J106, CHAR(10)))))))"),"Step 1: Navigate to the ""My Cart"" page
Step 2: Check the all checkboxes 
Step 3: Verify the system displays the total amount corresponding to the total amount of all products multiplied by the quantity of products in the cart")</f>
        <v>Step 1: Navigate to the "My Cart" page
Step 2: Check the all checkboxes 
Step 3: Verify the system displays the total amount corresponding to the total amount of all products multiplied by the quantity of products in the cart</v>
      </c>
      <c r="L106" s="14"/>
      <c r="M106" s="12" t="s">
        <v>999</v>
      </c>
      <c r="N106" s="12"/>
      <c r="O106" s="12"/>
      <c r="P106" s="38"/>
    </row>
    <row r="107">
      <c r="A107" s="37"/>
      <c r="B107" s="37"/>
      <c r="C107" s="37"/>
      <c r="D107" s="37"/>
      <c r="E107" s="37"/>
      <c r="F107" s="12" t="s">
        <v>1000</v>
      </c>
      <c r="G107" s="12"/>
      <c r="H107" s="12" t="s">
        <v>1001</v>
      </c>
      <c r="I107" s="12" t="s">
        <v>598</v>
      </c>
      <c r="J107" s="12" t="s">
        <v>1002</v>
      </c>
      <c r="K107" s="13" t="str">
        <f>IFERROR(__xludf.DUMMYFUNCTION("IF(ISBLANK(J107), ""Input test step"", ARRAYFORMULA(TEXTJOIN(CHAR(10), TRUE, (""Step ""&amp; ROW(INDIRECT(""1:"" &amp; COUNTA(SPLIT(J107, CHAR(10))))) &amp; "": "" &amp; TRANSPOSE(SPLIT(J107, CHAR(10)))))))"),"Step 1: Navigate to the ""My Cart"" page
Step 2: Select (&gt;) to the right of the discount display area
Step 3: Select 1 voucher from the shipping list and 1 voucher from the discount list
Step 4: Check to display the exact discount amount equal to the d"&amp;"iscount amount and shipping amount of all checked products")</f>
        <v>Step 1: Navigate to the "My Cart" page
Step 2: Select (&gt;) to the right of the discount display area
Step 3: Select 1 voucher from the shipping list and 1 voucher from the discount list
Step 4: Check to display the exact discount amount equal to the discount amount and shipping amount of all checked products</v>
      </c>
      <c r="L107" s="14"/>
      <c r="M107" s="12" t="s">
        <v>1003</v>
      </c>
      <c r="N107" s="12"/>
      <c r="O107" s="12"/>
      <c r="P107" s="38"/>
    </row>
    <row r="108">
      <c r="A108" s="37"/>
      <c r="B108" s="37"/>
      <c r="C108" s="37"/>
      <c r="D108" s="37"/>
      <c r="E108" s="37"/>
      <c r="F108" s="12" t="s">
        <v>1004</v>
      </c>
      <c r="G108" s="12"/>
      <c r="H108" s="12" t="s">
        <v>1005</v>
      </c>
      <c r="I108" s="12" t="s">
        <v>598</v>
      </c>
      <c r="J108" s="12" t="s">
        <v>1006</v>
      </c>
      <c r="K108" s="13" t="str">
        <f>IFERROR(__xludf.DUMMYFUNCTION("IF(ISBLANK(J108), ""Input test step"", ARRAYFORMULA(TEXTJOIN(CHAR(10), TRUE, (""Step ""&amp; ROW(INDIRECT(""1:"" &amp; COUNTA(SPLIT(J108, CHAR(10))))) &amp; "": "" &amp; TRANSPOSE(SPLIT(J108, CHAR(10)))))))"),"Step 1: Navigate to ""My Cart"" page
Step 2: Check all checkboxes
Step 3: Verify display ""Delete"" button")</f>
        <v>Step 1: Navigate to "My Cart" page
Step 2: Check all checkboxes
Step 3: Verify display "Delete" button</v>
      </c>
      <c r="L108" s="14"/>
      <c r="M108" s="12" t="s">
        <v>1007</v>
      </c>
      <c r="N108" s="12"/>
      <c r="O108" s="12"/>
      <c r="P108" s="38"/>
    </row>
    <row r="109">
      <c r="A109" s="37"/>
      <c r="B109" s="37"/>
      <c r="C109" s="37"/>
      <c r="D109" s="37"/>
      <c r="E109" s="37"/>
      <c r="F109" s="12" t="s">
        <v>1008</v>
      </c>
      <c r="G109" s="12"/>
      <c r="H109" s="12" t="s">
        <v>1009</v>
      </c>
      <c r="I109" s="12" t="s">
        <v>598</v>
      </c>
      <c r="J109" s="12" t="s">
        <v>1010</v>
      </c>
      <c r="K109" s="13" t="str">
        <f>IFERROR(__xludf.DUMMYFUNCTION("IF(ISBLANK(J109), ""Input test step"", ARRAYFORMULA(TEXTJOIN(CHAR(10), TRUE, (""Step ""&amp; ROW(INDIRECT(""1:"" &amp; COUNTA(SPLIT(J109, CHAR(10))))) &amp; "": "" &amp; TRANSPOSE(SPLIT(J109, CHAR(10)))))))"),"Step 1: Navigate to the ""My Cart"" page
Step 2: Check the all checkbox
Step 3: Click the ""Delete"" button
Step 4: Check the system displays the ""Delete All"" dialog box")</f>
        <v>Step 1: Navigate to the "My Cart" page
Step 2: Check the all checkbox
Step 3: Click the "Delete" button
Step 4: Check the system displays the "Delete All" dialog box</v>
      </c>
      <c r="L109" s="14"/>
      <c r="M109" s="12" t="s">
        <v>1011</v>
      </c>
      <c r="N109" s="12"/>
      <c r="O109" s="12"/>
      <c r="P109" s="38"/>
    </row>
    <row r="110">
      <c r="A110" s="37"/>
      <c r="B110" s="37"/>
      <c r="C110" s="37"/>
      <c r="D110" s="37"/>
      <c r="E110" s="37"/>
      <c r="F110" s="12" t="s">
        <v>1012</v>
      </c>
      <c r="G110" s="12"/>
      <c r="H110" s="12" t="s">
        <v>1013</v>
      </c>
      <c r="I110" s="12" t="s">
        <v>598</v>
      </c>
      <c r="J110" s="12" t="s">
        <v>1014</v>
      </c>
      <c r="K110" s="13" t="str">
        <f>IFERROR(__xludf.DUMMYFUNCTION("IF(ISBLANK(J110), ""Input test step"", ARRAYFORMULA(TEXTJOIN(CHAR(10), TRUE, (""Step ""&amp; ROW(INDIRECT(""1:"" &amp; COUNTA(SPLIT(J110, CHAR(10))))) &amp; "": "" &amp; TRANSPOSE(SPLIT(J110, CHAR(10)))))))"),"Step 1: Navigate to the ""My Cart"" page
Step 2: Check the checkbox all
Step 3: Click the ""Delete"" button
Step 4: Click the ""OK"" button on the ""Delete All"" dialog box
Step 5: Check and confirm that the system deletes all product in the cart")</f>
        <v>Step 1: Navigate to the "My Cart" page
Step 2: Check the checkbox all
Step 3: Click the "Delete" button
Step 4: Click the "OK" button on the "Delete All" dialog box
Step 5: Check and confirm that the system deletes all product in the cart</v>
      </c>
      <c r="L110" s="14"/>
      <c r="M110" s="12" t="s">
        <v>1015</v>
      </c>
      <c r="N110" s="12"/>
      <c r="O110" s="12"/>
      <c r="P110" s="38"/>
    </row>
    <row r="111">
      <c r="A111" s="37"/>
      <c r="B111" s="37"/>
      <c r="C111" s="37"/>
      <c r="D111" s="37"/>
      <c r="E111" s="37"/>
      <c r="F111" s="12" t="s">
        <v>1016</v>
      </c>
      <c r="G111" s="12"/>
      <c r="H111" s="12" t="s">
        <v>1017</v>
      </c>
      <c r="I111" s="12" t="s">
        <v>598</v>
      </c>
      <c r="J111" s="12" t="s">
        <v>1018</v>
      </c>
      <c r="K111" s="13" t="str">
        <f>IFERROR(__xludf.DUMMYFUNCTION("IF(ISBLANK(J111), ""Input test step"", ARRAYFORMULA(TEXTJOIN(CHAR(10), TRUE, (""Step ""&amp; ROW(INDIRECT(""1:"" &amp; COUNTA(SPLIT(J111, CHAR(10))))) &amp; "": "" &amp; TRANSPOSE(SPLIT(J111, CHAR(10)))))))"),"Step 1: Điều hướng tới trang ""Giỏ hàng của tôi""
Step 2: Check vào ô checkbox tất cả
Step 3: Nhấn vào button ""Xoá""
Step 4: Nhấn vào button 'Không"" trên hộp thoại ""Xoá tất cả""
Step 5: Kiểm tra và xác nhận hệ thống đóng hộp thoại xoá tất cả")</f>
        <v>Step 1: Điều hướng tới trang "Giỏ hàng của tôi"
Step 2: Check vào ô checkbox tất cả
Step 3: Nhấn vào button "Xoá"
Step 4: Nhấn vào button 'Không" trên hộp thoại "Xoá tất cả"
Step 5: Kiểm tra và xác nhận hệ thống đóng hộp thoại xoá tất cả</v>
      </c>
      <c r="L111" s="14"/>
      <c r="M111" s="12" t="s">
        <v>1019</v>
      </c>
      <c r="N111" s="12"/>
      <c r="O111" s="12"/>
      <c r="P111" s="38"/>
    </row>
    <row r="112">
      <c r="A112" s="37"/>
      <c r="B112" s="37"/>
      <c r="C112" s="37"/>
      <c r="D112" s="37"/>
      <c r="E112" s="37"/>
      <c r="F112" s="12" t="s">
        <v>1020</v>
      </c>
      <c r="G112" s="12"/>
      <c r="H112" s="12" t="s">
        <v>1021</v>
      </c>
      <c r="I112" s="12" t="s">
        <v>598</v>
      </c>
      <c r="J112" s="12" t="s">
        <v>1022</v>
      </c>
      <c r="K112" s="13" t="str">
        <f>IFERROR(__xludf.DUMMYFUNCTION("IF(ISBLANK(J112), ""Input test step"", ARRAYFORMULA(TEXTJOIN(CHAR(10), TRUE, (""Step ""&amp; ROW(INDIRECT(""1:"" &amp; COUNTA(SPLIT(J112, CHAR(10))))) &amp; "": "" &amp; TRANSPOSE(SPLIT(J112, CHAR(10)))))))"),"Step 1: Navigate to the ""My Cart"" page
Step 2: Check and confirm that the default all"" checkbox is initially unchecked""")</f>
        <v>Step 1: Navigate to the "My Cart" page
Step 2: Check and confirm that the default all" checkbox is initially unchecked"</v>
      </c>
      <c r="L112" s="14"/>
      <c r="M112" s="12" t="s">
        <v>1023</v>
      </c>
      <c r="N112" s="12"/>
      <c r="O112" s="12"/>
      <c r="P112" s="38"/>
    </row>
    <row r="113">
      <c r="A113" s="37"/>
      <c r="B113" s="37"/>
      <c r="C113" s="37"/>
      <c r="D113" s="37"/>
      <c r="E113" s="37"/>
      <c r="F113" s="12" t="s">
        <v>1024</v>
      </c>
      <c r="G113" s="12"/>
      <c r="H113" s="12" t="s">
        <v>900</v>
      </c>
      <c r="I113" s="12" t="s">
        <v>598</v>
      </c>
      <c r="J113" s="12" t="s">
        <v>1025</v>
      </c>
      <c r="K113" s="13" t="str">
        <f>IFERROR(__xludf.DUMMYFUNCTION("IF(ISBLANK(J113), ""Input test step"", ARRAYFORMULA(TEXTJOIN(CHAR(10), TRUE, (""Step ""&amp; ROW(INDIRECT(""1:"" &amp; COUNTA(SPLIT(J113, CHAR(10))))) &amp; "": "" &amp; TRANSPOSE(SPLIT(J113, CHAR(10)))))))"),"Step 1: Navigate to ""My Cart"" page
Step 2: Check the checkboxes of 2 or more products
Step 3: Check the display of the ""Delete"" button")</f>
        <v>Step 1: Navigate to "My Cart" page
Step 2: Check the checkboxes of 2 or more products
Step 3: Check the display of the "Delete" button</v>
      </c>
      <c r="L113" s="14"/>
      <c r="M113" s="12" t="s">
        <v>902</v>
      </c>
      <c r="N113" s="12"/>
      <c r="O113" s="12"/>
      <c r="P113" s="38"/>
    </row>
    <row r="114">
      <c r="A114" s="37"/>
      <c r="B114" s="37"/>
      <c r="C114" s="37"/>
      <c r="D114" s="37"/>
      <c r="E114" s="37"/>
      <c r="F114" s="12" t="s">
        <v>1026</v>
      </c>
      <c r="G114" s="12"/>
      <c r="H114" s="12" t="s">
        <v>1027</v>
      </c>
      <c r="I114" s="12" t="s">
        <v>598</v>
      </c>
      <c r="J114" s="12" t="s">
        <v>1028</v>
      </c>
      <c r="K114" s="13" t="str">
        <f>IFERROR(__xludf.DUMMYFUNCTION("IF(ISBLANK(J114), ""Input test step"", ARRAYFORMULA(TEXTJOIN(CHAR(10), TRUE, (""Step ""&amp; ROW(INDIRECT(""1:"" &amp; COUNTA(SPLIT(J114, CHAR(10))))) &amp; "": "" &amp; TRANSPOSE(SPLIT(J114, CHAR(10)))))))"),"Step 1: Navigate to the ""My Cart"" page
Step 2: Check all checkboxes
Step 3: Uncheck a product in the cart
Step 4: Check and confirm that the system automatically cancels the check in the ""all"" checkbox""")</f>
        <v>Step 1: Navigate to the "My Cart" page
Step 2: Check all checkboxes
Step 3: Uncheck a product in the cart
Step 4: Check and confirm that the system automatically cancels the check in the "all" checkbox"</v>
      </c>
      <c r="L114" s="14"/>
      <c r="M114" s="12" t="s">
        <v>1029</v>
      </c>
      <c r="N114" s="12"/>
      <c r="O114" s="12"/>
      <c r="P114" s="38"/>
    </row>
    <row r="115">
      <c r="A115" s="37"/>
      <c r="B115" s="37"/>
      <c r="C115" s="37"/>
      <c r="D115" s="37"/>
      <c r="E115" s="37"/>
      <c r="F115" s="12" t="s">
        <v>1030</v>
      </c>
      <c r="G115" s="12" t="s">
        <v>1031</v>
      </c>
      <c r="H115" s="12" t="s">
        <v>1032</v>
      </c>
      <c r="I115" s="12" t="s">
        <v>598</v>
      </c>
      <c r="J115" s="12" t="s">
        <v>1033</v>
      </c>
      <c r="K115" s="13" t="str">
        <f>IFERROR(__xludf.DUMMYFUNCTION("IF(ISBLANK(J115), ""Input test step"", ARRAYFORMULA(TEXTJOIN(CHAR(10), TRUE, (""Step ""&amp; ROW(INDIRECT(""1:"" &amp; COUNTA(SPLIT(J115, CHAR(10))))) &amp; "": "" &amp; TRANSPOSE(SPLIT(J115, CHAR(10)))))))"),"Step 1: Navigate to the ""My Cart"" page
Step 2: Check some products
Step 3: Check that the system displays the correct total corresponding to the total of the checked products")</f>
        <v>Step 1: Navigate to the "My Cart" page
Step 2: Check some products
Step 3: Check that the system displays the correct total corresponding to the total of the checked products</v>
      </c>
      <c r="L115" s="14"/>
      <c r="M115" s="12" t="s">
        <v>1034</v>
      </c>
      <c r="N115" s="12"/>
      <c r="O115" s="12"/>
      <c r="P115" s="38"/>
    </row>
    <row r="116">
      <c r="A116" s="37"/>
      <c r="B116" s="37"/>
      <c r="C116" s="37"/>
      <c r="D116" s="37"/>
      <c r="E116" s="37"/>
      <c r="F116" s="12" t="s">
        <v>1035</v>
      </c>
      <c r="G116" s="12"/>
      <c r="H116" s="12" t="s">
        <v>1036</v>
      </c>
      <c r="I116" s="12" t="s">
        <v>598</v>
      </c>
      <c r="J116" s="12" t="s">
        <v>1037</v>
      </c>
      <c r="K116" s="13" t="str">
        <f>IFERROR(__xludf.DUMMYFUNCTION("IF(ISBLANK(J116), ""Input test step"", ARRAYFORMULA(TEXTJOIN(CHAR(10), TRUE, (""Step ""&amp; ROW(INDIRECT(""1:"" &amp; COUNTA(SPLIT(J116, CHAR(10))))) &amp; "": "" &amp; TRANSPOSE(SPLIT(J116, CHAR(10)))))))"),"Step 1: Navigate to ""My Cart"" page
Step 2: Check optional products (e.g. 5)
Step 3: Uncheck some products (e.g. 2)
Step 4: Check total price is displayed correctly when unchecking some products")</f>
        <v>Step 1: Navigate to "My Cart" page
Step 2: Check optional products (e.g. 5)
Step 3: Uncheck some products (e.g. 2)
Step 4: Check total price is displayed correctly when unchecking some products</v>
      </c>
      <c r="L116" s="14"/>
      <c r="M116" s="12" t="s">
        <v>1038</v>
      </c>
      <c r="N116" s="12"/>
      <c r="O116" s="12"/>
      <c r="P116" s="38"/>
    </row>
    <row r="117">
      <c r="A117" s="37"/>
      <c r="B117" s="37"/>
      <c r="C117" s="37"/>
      <c r="D117" s="37"/>
      <c r="E117" s="37"/>
      <c r="F117" s="12" t="s">
        <v>1039</v>
      </c>
      <c r="G117" s="12"/>
      <c r="H117" s="12" t="s">
        <v>1040</v>
      </c>
      <c r="I117" s="12" t="s">
        <v>598</v>
      </c>
      <c r="J117" s="12" t="s">
        <v>1041</v>
      </c>
      <c r="K117" s="13" t="str">
        <f>IFERROR(__xludf.DUMMYFUNCTION("IF(ISBLANK(J117), ""Input test step"", ARRAYFORMULA(TEXTJOIN(CHAR(10), TRUE, (""Step ""&amp; ROW(INDIRECT(""1:"" &amp; COUNTA(SPLIT(J117, CHAR(10))))) &amp; "": "" &amp; TRANSPOSE(SPLIT(J117, CHAR(10)))))))"),"Step 1: Navigate to ""My Cart"" page
Step 2: Uncheck the products that are being checked
Step 3: Check the system shows the total amount and total discount as 0 when no products are checked")</f>
        <v>Step 1: Navigate to "My Cart" page
Step 2: Uncheck the products that are being checked
Step 3: Check the system shows the total amount and total discount as 0 when no products are checked</v>
      </c>
      <c r="L117" s="14"/>
      <c r="M117" s="12" t="s">
        <v>1042</v>
      </c>
      <c r="N117" s="12"/>
      <c r="O117" s="12"/>
      <c r="P117" s="38"/>
    </row>
    <row r="118">
      <c r="A118" s="37"/>
      <c r="B118" s="37"/>
      <c r="C118" s="37"/>
      <c r="D118" s="37"/>
      <c r="E118" s="37"/>
      <c r="F118" s="12" t="s">
        <v>1043</v>
      </c>
      <c r="G118" s="12" t="s">
        <v>1044</v>
      </c>
      <c r="H118" s="51" t="s">
        <v>1045</v>
      </c>
      <c r="I118" s="12" t="s">
        <v>598</v>
      </c>
      <c r="J118" s="12" t="s">
        <v>1046</v>
      </c>
      <c r="K118" s="13" t="str">
        <f>IFERROR(__xludf.DUMMYFUNCTION("IF(ISBLANK(J118), ""Input test step"", ARRAYFORMULA(TEXTJOIN(CHAR(10), TRUE, (""Step ""&amp; ROW(INDIRECT(""1:"" &amp; COUNTA(SPLIT(J118, CHAR(10))))) &amp; "": "" &amp; TRANSPOSE(SPLIT(J118, CHAR(10)))))))"),"Step 1: Navigate to ""My Cart"" page
Step 2: Uncheck the products that are being checked
Step 3: Press the ""Payment"" button
Step 4: Check the system displays the message ""You have not selected any products""")</f>
        <v>Step 1: Navigate to "My Cart" page
Step 2: Uncheck the products that are being checked
Step 3: Press the "Payment" button
Step 4: Check the system displays the message "You have not selected any products"</v>
      </c>
      <c r="L118" s="14"/>
      <c r="M118" s="12" t="s">
        <v>1047</v>
      </c>
      <c r="N118" s="12"/>
      <c r="O118" s="12"/>
      <c r="P118" s="38"/>
    </row>
    <row r="119">
      <c r="A119" s="37"/>
      <c r="B119" s="37"/>
      <c r="C119" s="37"/>
      <c r="D119" s="37"/>
      <c r="E119" s="37"/>
      <c r="F119" s="12" t="s">
        <v>1048</v>
      </c>
      <c r="G119" s="12"/>
      <c r="H119" s="12" t="s">
        <v>1049</v>
      </c>
      <c r="I119" s="12" t="s">
        <v>598</v>
      </c>
      <c r="J119" s="12" t="s">
        <v>1050</v>
      </c>
      <c r="K119" s="13" t="str">
        <f>IFERROR(__xludf.DUMMYFUNCTION("IF(ISBLANK(J119), ""Input test step"", ARRAYFORMULA(TEXTJOIN(CHAR(10), TRUE, (""Step ""&amp; ROW(INDIRECT(""1:"" &amp; COUNTA(SPLIT(J119, CHAR(10))))) &amp; "": "" &amp; TRANSPOSE(SPLIT(J119, CHAR(10)))))))"),"Step 1: Navigate to the ""My Cart"" page
Step 2: Count the number of products in the checked cart
Step 3: Check the number of products in the ""Payment"" button corresponding to the number of products currently checked in the cart")</f>
        <v>Step 1: Navigate to the "My Cart" page
Step 2: Count the number of products in the checked cart
Step 3: Check the number of products in the "Payment" button corresponding to the number of products currently checked in the cart</v>
      </c>
      <c r="L119" s="14"/>
      <c r="M119" s="12" t="s">
        <v>1051</v>
      </c>
      <c r="N119" s="12"/>
      <c r="O119" s="12"/>
      <c r="P119" s="38"/>
    </row>
    <row r="120">
      <c r="A120" s="37"/>
      <c r="B120" s="37"/>
      <c r="C120" s="37"/>
      <c r="D120" s="37"/>
      <c r="E120" s="37"/>
      <c r="F120" s="12" t="s">
        <v>1052</v>
      </c>
      <c r="G120" s="12"/>
      <c r="H120" s="12" t="s">
        <v>1053</v>
      </c>
      <c r="I120" s="12" t="s">
        <v>598</v>
      </c>
      <c r="J120" s="12" t="s">
        <v>1054</v>
      </c>
      <c r="K120" s="13" t="str">
        <f>IFERROR(__xludf.DUMMYFUNCTION("IF(ISBLANK(J120), ""Input test step"", ARRAYFORMULA(TEXTJOIN(CHAR(10), TRUE, (""Step ""&amp; ROW(INDIRECT(""1:"" &amp; COUNTA(SPLIT(J120, CHAR(10))))) &amp; "": "" &amp; TRANSPOSE(SPLIT(J120, CHAR(10)))))))"),"Step 1: Navigate to the ""My Cart"" page
Step 2: Check some products in the cart
Step 3: Press the ""Payment"" button
Step 4: Check the display of the ""Payment"" page ")</f>
        <v>Step 1: Navigate to the "My Cart" page
Step 2: Check some products in the cart
Step 3: Press the "Payment" button
Step 4: Check the display of the "Payment" page </v>
      </c>
      <c r="L120" s="14"/>
      <c r="M120" s="12" t="s">
        <v>1055</v>
      </c>
      <c r="N120" s="12"/>
      <c r="O120" s="12"/>
      <c r="P120" s="38"/>
    </row>
    <row r="121">
      <c r="A121" s="37"/>
      <c r="B121" s="37"/>
      <c r="C121" s="37"/>
      <c r="D121" s="37"/>
      <c r="E121" s="37"/>
      <c r="F121" s="12" t="s">
        <v>1056</v>
      </c>
      <c r="G121" s="38"/>
      <c r="H121" s="31" t="s">
        <v>1057</v>
      </c>
      <c r="I121" s="12" t="s">
        <v>598</v>
      </c>
      <c r="J121" s="12" t="s">
        <v>1058</v>
      </c>
      <c r="K121" s="13" t="str">
        <f>IFERROR(__xludf.DUMMYFUNCTION("IF(ISBLANK(J121), ""Input test step"", ARRAYFORMULA(TEXTJOIN(CHAR(10), TRUE, (""Step ""&amp; ROW(INDIRECT(""1:"" &amp; COUNTA(SPLIT(J121, CHAR(10))))) &amp; "": "" &amp; TRANSPOSE(SPLIT(J121, CHAR(10)))))))"),"Step 1: Navigate to the ""My Cart"" page
Step 2: Check a few products in the cart
Step 3: Click the ""Payment"" button
Step 4: Check the correct display of information including product information and total order amount in the ""Payment"" page including "&amp;"Product image, product name, product price and product quantity")</f>
        <v>Step 1: Navigate to the "My Cart" page
Step 2: Check a few products in the cart
Step 3: Click the "Payment" button
Step 4: Check the correct display of information including product information and total order amount in the "Payment" page including Product image, product name, product price and product quantity</v>
      </c>
      <c r="L121" s="38"/>
      <c r="M121" s="31" t="s">
        <v>1059</v>
      </c>
      <c r="N121" s="38"/>
      <c r="O121" s="38"/>
      <c r="P121" s="38"/>
    </row>
    <row r="122">
      <c r="A122" s="37"/>
      <c r="B122" s="37"/>
      <c r="C122" s="37"/>
      <c r="D122" s="37"/>
      <c r="E122" s="37"/>
      <c r="F122" s="38"/>
      <c r="G122" s="38"/>
      <c r="H122" s="38"/>
      <c r="I122" s="38"/>
      <c r="J122" s="38"/>
      <c r="K122" s="19"/>
      <c r="L122" s="38"/>
      <c r="M122" s="38"/>
      <c r="N122" s="38"/>
      <c r="O122" s="38"/>
      <c r="P122" s="38"/>
    </row>
    <row r="123">
      <c r="A123" s="37"/>
      <c r="B123" s="37"/>
      <c r="C123" s="37"/>
      <c r="D123" s="37"/>
      <c r="E123" s="37"/>
      <c r="F123" s="38"/>
      <c r="G123" s="38"/>
      <c r="H123" s="38"/>
      <c r="I123" s="38"/>
      <c r="J123" s="38"/>
      <c r="K123" s="19"/>
      <c r="L123" s="38"/>
      <c r="M123" s="38"/>
      <c r="N123" s="38"/>
      <c r="O123" s="38"/>
      <c r="P123" s="38"/>
    </row>
    <row r="124">
      <c r="A124" s="37"/>
      <c r="B124" s="37"/>
      <c r="C124" s="37"/>
      <c r="D124" s="37"/>
      <c r="E124" s="37"/>
      <c r="F124" s="38"/>
      <c r="G124" s="38"/>
      <c r="H124" s="38"/>
      <c r="I124" s="38"/>
      <c r="J124" s="38"/>
      <c r="K124" s="19"/>
      <c r="L124" s="38"/>
      <c r="M124" s="38"/>
      <c r="N124" s="38"/>
      <c r="O124" s="38"/>
      <c r="P124" s="38"/>
    </row>
    <row r="125">
      <c r="A125" s="37"/>
      <c r="B125" s="37"/>
      <c r="C125" s="37"/>
      <c r="D125" s="37"/>
      <c r="E125" s="37"/>
      <c r="F125" s="38"/>
      <c r="G125" s="38"/>
      <c r="H125" s="38"/>
      <c r="I125" s="38"/>
      <c r="J125" s="38"/>
      <c r="K125" s="19"/>
      <c r="L125" s="38"/>
      <c r="M125" s="38"/>
      <c r="N125" s="38"/>
      <c r="O125" s="38"/>
      <c r="P125" s="38"/>
    </row>
    <row r="126">
      <c r="A126" s="37"/>
      <c r="B126" s="37"/>
      <c r="C126" s="37"/>
      <c r="D126" s="37"/>
      <c r="E126" s="37"/>
      <c r="F126" s="38"/>
      <c r="G126" s="38"/>
      <c r="H126" s="38"/>
      <c r="I126" s="38"/>
      <c r="J126" s="38"/>
      <c r="K126" s="19"/>
      <c r="L126" s="38"/>
      <c r="M126" s="38"/>
      <c r="N126" s="38"/>
      <c r="O126" s="38"/>
      <c r="P126" s="38"/>
    </row>
    <row r="127">
      <c r="A127" s="37"/>
      <c r="B127" s="37"/>
      <c r="C127" s="37"/>
      <c r="D127" s="37"/>
      <c r="E127" s="37"/>
      <c r="F127" s="38"/>
      <c r="G127" s="38"/>
      <c r="H127" s="38"/>
      <c r="I127" s="38"/>
      <c r="J127" s="38"/>
      <c r="K127" s="19"/>
      <c r="L127" s="38"/>
      <c r="M127" s="38"/>
      <c r="N127" s="38"/>
      <c r="O127" s="38"/>
      <c r="P127" s="38"/>
    </row>
    <row r="128">
      <c r="A128" s="37"/>
      <c r="B128" s="37"/>
      <c r="C128" s="37"/>
      <c r="D128" s="37"/>
      <c r="E128" s="37"/>
      <c r="F128" s="38"/>
      <c r="G128" s="38"/>
      <c r="H128" s="38"/>
      <c r="I128" s="38"/>
      <c r="J128" s="38"/>
      <c r="K128" s="19"/>
      <c r="L128" s="38"/>
      <c r="M128" s="38"/>
      <c r="N128" s="38"/>
      <c r="O128" s="38"/>
      <c r="P128" s="38"/>
    </row>
    <row r="129">
      <c r="A129" s="37"/>
      <c r="B129" s="37"/>
      <c r="C129" s="37"/>
      <c r="D129" s="37"/>
      <c r="E129" s="37"/>
      <c r="F129" s="38"/>
      <c r="G129" s="38"/>
      <c r="H129" s="38"/>
      <c r="I129" s="38"/>
      <c r="J129" s="38"/>
      <c r="K129" s="19"/>
      <c r="L129" s="38"/>
      <c r="M129" s="38"/>
      <c r="N129" s="38"/>
      <c r="O129" s="38"/>
      <c r="P129" s="38"/>
    </row>
    <row r="130">
      <c r="A130" s="37"/>
      <c r="B130" s="37"/>
      <c r="C130" s="37"/>
      <c r="D130" s="37"/>
      <c r="E130" s="37"/>
      <c r="F130" s="38"/>
      <c r="G130" s="38"/>
      <c r="H130" s="38"/>
      <c r="I130" s="38"/>
      <c r="J130" s="38"/>
      <c r="K130" s="19"/>
      <c r="L130" s="38"/>
      <c r="M130" s="38"/>
      <c r="N130" s="38"/>
      <c r="O130" s="38"/>
      <c r="P130" s="38"/>
    </row>
    <row r="131">
      <c r="A131" s="37"/>
      <c r="B131" s="37"/>
      <c r="C131" s="37"/>
      <c r="D131" s="37"/>
      <c r="E131" s="37"/>
      <c r="F131" s="38"/>
      <c r="G131" s="38"/>
      <c r="H131" s="38"/>
      <c r="I131" s="38"/>
      <c r="J131" s="38"/>
      <c r="K131" s="19"/>
      <c r="L131" s="38"/>
      <c r="M131" s="38"/>
      <c r="N131" s="38"/>
      <c r="O131" s="38"/>
      <c r="P131" s="38"/>
    </row>
    <row r="132">
      <c r="A132" s="37"/>
      <c r="B132" s="37"/>
      <c r="C132" s="37"/>
      <c r="D132" s="37"/>
      <c r="E132" s="37"/>
      <c r="K132" s="48"/>
    </row>
    <row r="133">
      <c r="A133" s="37"/>
      <c r="B133" s="37"/>
      <c r="C133" s="37"/>
      <c r="D133" s="37"/>
      <c r="E133" s="37"/>
      <c r="K133" s="48"/>
    </row>
    <row r="134">
      <c r="A134" s="37"/>
      <c r="B134" s="37"/>
      <c r="C134" s="37"/>
      <c r="D134" s="37"/>
      <c r="E134" s="37"/>
      <c r="K134" s="48"/>
    </row>
    <row r="135">
      <c r="A135" s="37"/>
      <c r="B135" s="37"/>
      <c r="C135" s="37"/>
      <c r="D135" s="37"/>
      <c r="E135" s="37"/>
      <c r="K135" s="48"/>
    </row>
    <row r="136">
      <c r="A136" s="37"/>
      <c r="B136" s="37"/>
      <c r="C136" s="37"/>
      <c r="D136" s="37"/>
      <c r="E136" s="37"/>
      <c r="K136" s="48"/>
    </row>
    <row r="137">
      <c r="A137" s="37"/>
      <c r="B137" s="37"/>
      <c r="C137" s="37"/>
      <c r="D137" s="37"/>
      <c r="E137" s="37"/>
      <c r="K137" s="48"/>
    </row>
    <row r="138">
      <c r="A138" s="37"/>
      <c r="B138" s="37"/>
      <c r="C138" s="37"/>
      <c r="D138" s="37"/>
      <c r="E138" s="37"/>
      <c r="K138" s="48"/>
    </row>
    <row r="139">
      <c r="A139" s="37"/>
      <c r="B139" s="37"/>
      <c r="C139" s="37"/>
      <c r="D139" s="37"/>
      <c r="E139" s="37"/>
      <c r="K139" s="48"/>
    </row>
    <row r="140">
      <c r="A140" s="37"/>
      <c r="B140" s="37"/>
      <c r="C140" s="37"/>
      <c r="D140" s="37"/>
      <c r="E140" s="37"/>
      <c r="K140" s="48"/>
    </row>
    <row r="141">
      <c r="A141" s="37"/>
      <c r="B141" s="37"/>
      <c r="C141" s="37"/>
      <c r="D141" s="37"/>
      <c r="E141" s="37"/>
      <c r="K141" s="48"/>
    </row>
    <row r="142">
      <c r="A142" s="37"/>
      <c r="B142" s="37"/>
      <c r="C142" s="37"/>
      <c r="D142" s="37"/>
      <c r="E142" s="37"/>
      <c r="K142" s="48"/>
    </row>
    <row r="143">
      <c r="A143" s="37"/>
      <c r="B143" s="37"/>
      <c r="C143" s="37"/>
      <c r="D143" s="37"/>
      <c r="E143" s="37"/>
      <c r="K143" s="48"/>
    </row>
    <row r="144">
      <c r="A144" s="37"/>
      <c r="B144" s="37"/>
      <c r="C144" s="37"/>
      <c r="D144" s="37"/>
      <c r="E144" s="37"/>
      <c r="K144" s="48"/>
    </row>
    <row r="145">
      <c r="A145" s="37"/>
      <c r="B145" s="37"/>
      <c r="C145" s="37"/>
      <c r="D145" s="37"/>
      <c r="E145" s="37"/>
      <c r="K145" s="48"/>
    </row>
    <row r="146">
      <c r="A146" s="37"/>
      <c r="B146" s="37"/>
      <c r="C146" s="37"/>
      <c r="D146" s="37"/>
      <c r="E146" s="37"/>
      <c r="K146" s="48"/>
    </row>
    <row r="147">
      <c r="A147" s="37"/>
      <c r="B147" s="37"/>
      <c r="C147" s="37"/>
      <c r="D147" s="37"/>
      <c r="E147" s="37"/>
      <c r="K147" s="48"/>
    </row>
    <row r="148">
      <c r="A148" s="37"/>
      <c r="B148" s="37"/>
      <c r="C148" s="37"/>
      <c r="D148" s="37"/>
      <c r="E148" s="37"/>
      <c r="K148" s="48"/>
    </row>
    <row r="149">
      <c r="A149" s="37"/>
      <c r="B149" s="37"/>
      <c r="C149" s="37"/>
      <c r="D149" s="37"/>
      <c r="E149" s="37"/>
      <c r="K149" s="48"/>
    </row>
    <row r="150">
      <c r="A150" s="37"/>
      <c r="B150" s="37"/>
      <c r="C150" s="37"/>
      <c r="D150" s="37"/>
      <c r="E150" s="37"/>
      <c r="K150" s="48"/>
    </row>
    <row r="151">
      <c r="A151" s="37"/>
      <c r="B151" s="37"/>
      <c r="C151" s="37"/>
      <c r="D151" s="37"/>
      <c r="E151" s="37"/>
      <c r="K151" s="48"/>
    </row>
    <row r="152">
      <c r="A152" s="37"/>
      <c r="B152" s="37"/>
      <c r="C152" s="37"/>
      <c r="D152" s="37"/>
      <c r="E152" s="37"/>
      <c r="K152" s="48"/>
    </row>
    <row r="153">
      <c r="A153" s="37"/>
      <c r="B153" s="37"/>
      <c r="C153" s="37"/>
      <c r="D153" s="37"/>
      <c r="E153" s="37"/>
      <c r="K153" s="48"/>
    </row>
    <row r="154">
      <c r="A154" s="37"/>
      <c r="B154" s="37"/>
      <c r="C154" s="37"/>
      <c r="D154" s="37"/>
      <c r="E154" s="37"/>
      <c r="K154" s="48"/>
    </row>
    <row r="155">
      <c r="A155" s="37"/>
      <c r="B155" s="37"/>
      <c r="C155" s="37"/>
      <c r="D155" s="37"/>
      <c r="E155" s="37"/>
      <c r="K155" s="48"/>
    </row>
    <row r="156">
      <c r="A156" s="37"/>
      <c r="B156" s="37"/>
      <c r="C156" s="37"/>
      <c r="D156" s="37"/>
      <c r="E156" s="37"/>
      <c r="K156" s="48"/>
    </row>
    <row r="157">
      <c r="A157" s="37"/>
      <c r="B157" s="37"/>
      <c r="C157" s="37"/>
      <c r="D157" s="37"/>
      <c r="E157" s="37"/>
      <c r="K157" s="48"/>
    </row>
    <row r="158">
      <c r="A158" s="37"/>
      <c r="B158" s="37"/>
      <c r="C158" s="37"/>
      <c r="D158" s="37"/>
      <c r="E158" s="37"/>
      <c r="K158" s="48"/>
    </row>
    <row r="159">
      <c r="A159" s="37"/>
      <c r="B159" s="37"/>
      <c r="C159" s="37"/>
      <c r="D159" s="37"/>
      <c r="E159" s="37"/>
      <c r="K159" s="48"/>
    </row>
    <row r="160">
      <c r="A160" s="37"/>
      <c r="B160" s="37"/>
      <c r="C160" s="37"/>
      <c r="D160" s="37"/>
      <c r="E160" s="37"/>
      <c r="K160" s="48"/>
    </row>
    <row r="161">
      <c r="A161" s="37"/>
      <c r="B161" s="37"/>
      <c r="C161" s="37"/>
      <c r="D161" s="37"/>
      <c r="E161" s="37"/>
      <c r="K161" s="48"/>
    </row>
    <row r="162">
      <c r="A162" s="37"/>
      <c r="B162" s="37"/>
      <c r="C162" s="37"/>
      <c r="D162" s="37"/>
      <c r="E162" s="37"/>
      <c r="K162" s="48"/>
    </row>
    <row r="163">
      <c r="A163" s="37"/>
      <c r="B163" s="37"/>
      <c r="C163" s="37"/>
      <c r="D163" s="37"/>
      <c r="E163" s="37"/>
      <c r="K163" s="48"/>
    </row>
    <row r="164">
      <c r="A164" s="37"/>
      <c r="B164" s="37"/>
      <c r="C164" s="37"/>
      <c r="D164" s="37"/>
      <c r="E164" s="37"/>
      <c r="K164" s="48"/>
    </row>
    <row r="165">
      <c r="A165" s="37"/>
      <c r="B165" s="37"/>
      <c r="C165" s="37"/>
      <c r="D165" s="37"/>
      <c r="E165" s="37"/>
      <c r="K165" s="48"/>
    </row>
    <row r="166">
      <c r="A166" s="37"/>
      <c r="B166" s="37"/>
      <c r="C166" s="37"/>
      <c r="D166" s="37"/>
      <c r="E166" s="37"/>
      <c r="K166" s="4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row r="1010">
      <c r="A1010" s="37"/>
      <c r="B1010" s="37"/>
      <c r="C1010" s="37"/>
      <c r="D1010" s="37"/>
      <c r="E1010" s="37"/>
      <c r="K1010" s="48"/>
    </row>
    <row r="1011">
      <c r="A1011" s="37"/>
      <c r="B1011" s="37"/>
      <c r="C1011" s="37"/>
      <c r="D1011" s="37"/>
      <c r="E1011" s="37"/>
      <c r="K1011" s="48"/>
    </row>
    <row r="1012">
      <c r="A1012" s="37"/>
      <c r="B1012" s="37"/>
      <c r="C1012" s="37"/>
      <c r="D1012" s="37"/>
      <c r="E1012" s="37"/>
      <c r="K1012" s="48"/>
    </row>
    <row r="1013">
      <c r="A1013" s="37"/>
      <c r="B1013" s="37"/>
      <c r="C1013" s="37"/>
      <c r="D1013" s="37"/>
      <c r="E1013" s="37"/>
      <c r="K1013" s="48"/>
    </row>
    <row r="1014">
      <c r="A1014" s="37"/>
      <c r="B1014" s="37"/>
      <c r="C1014" s="37"/>
      <c r="D1014" s="37"/>
      <c r="E1014" s="37"/>
      <c r="K1014" s="48"/>
    </row>
    <row r="1015">
      <c r="A1015" s="37"/>
      <c r="B1015" s="37"/>
      <c r="C1015" s="37"/>
      <c r="D1015" s="37"/>
      <c r="E1015" s="37"/>
      <c r="K1015" s="48"/>
    </row>
    <row r="1016">
      <c r="A1016" s="37"/>
      <c r="B1016" s="37"/>
      <c r="C1016" s="37"/>
      <c r="D1016" s="37"/>
      <c r="E1016" s="37"/>
      <c r="K1016" s="48"/>
    </row>
    <row r="1017">
      <c r="A1017" s="37"/>
      <c r="B1017" s="37"/>
      <c r="C1017" s="37"/>
      <c r="D1017" s="37"/>
      <c r="E1017" s="37"/>
      <c r="K1017" s="48"/>
    </row>
    <row r="1018">
      <c r="A1018" s="37"/>
      <c r="B1018" s="37"/>
      <c r="C1018" s="37"/>
      <c r="D1018" s="37"/>
      <c r="E1018" s="37"/>
      <c r="K1018" s="48"/>
    </row>
    <row r="1019">
      <c r="A1019" s="37"/>
      <c r="B1019" s="37"/>
      <c r="C1019" s="37"/>
      <c r="D1019" s="37"/>
      <c r="E1019" s="37"/>
      <c r="K1019" s="48"/>
    </row>
    <row r="1020">
      <c r="A1020" s="37"/>
      <c r="B1020" s="37"/>
      <c r="C1020" s="37"/>
      <c r="D1020" s="37"/>
      <c r="E1020" s="37"/>
      <c r="K1020" s="48"/>
    </row>
    <row r="1021">
      <c r="A1021" s="37"/>
      <c r="B1021" s="37"/>
      <c r="C1021" s="37"/>
      <c r="D1021" s="37"/>
      <c r="E1021" s="37"/>
      <c r="K1021" s="48"/>
    </row>
    <row r="1022">
      <c r="A1022" s="37"/>
      <c r="B1022" s="37"/>
      <c r="C1022" s="37"/>
      <c r="D1022" s="37"/>
      <c r="E1022" s="37"/>
      <c r="K1022" s="48"/>
    </row>
    <row r="1023">
      <c r="A1023" s="37"/>
      <c r="B1023" s="37"/>
      <c r="C1023" s="37"/>
      <c r="D1023" s="37"/>
      <c r="E1023" s="37"/>
      <c r="K1023" s="48"/>
    </row>
    <row r="1024">
      <c r="A1024" s="37"/>
      <c r="B1024" s="37"/>
      <c r="C1024" s="37"/>
      <c r="D1024" s="37"/>
      <c r="E1024" s="37"/>
      <c r="K1024" s="48"/>
    </row>
    <row r="1025">
      <c r="A1025" s="37"/>
      <c r="B1025" s="37"/>
      <c r="C1025" s="37"/>
      <c r="D1025" s="37"/>
      <c r="E1025" s="37"/>
      <c r="K1025" s="48"/>
    </row>
    <row r="1026">
      <c r="A1026" s="37"/>
      <c r="B1026" s="37"/>
      <c r="C1026" s="37"/>
      <c r="D1026" s="37"/>
      <c r="E1026" s="37"/>
      <c r="K1026" s="48"/>
    </row>
    <row r="1027">
      <c r="A1027" s="37"/>
      <c r="B1027" s="37"/>
      <c r="C1027" s="37"/>
      <c r="D1027" s="37"/>
      <c r="E1027" s="37"/>
      <c r="K1027" s="48"/>
    </row>
    <row r="1028">
      <c r="A1028" s="37"/>
      <c r="B1028" s="37"/>
      <c r="C1028" s="37"/>
      <c r="D1028" s="37"/>
      <c r="E1028" s="37"/>
      <c r="K1028" s="48"/>
    </row>
    <row r="1029">
      <c r="A1029" s="37"/>
      <c r="B1029" s="37"/>
      <c r="C1029" s="37"/>
      <c r="D1029" s="37"/>
      <c r="E1029" s="37"/>
      <c r="K1029" s="48"/>
    </row>
    <row r="1030">
      <c r="A1030" s="37"/>
      <c r="B1030" s="37"/>
      <c r="C1030" s="37"/>
      <c r="D1030" s="37"/>
      <c r="E1030" s="37"/>
      <c r="K1030" s="48"/>
    </row>
    <row r="1031">
      <c r="A1031" s="37"/>
      <c r="B1031" s="37"/>
      <c r="C1031" s="37"/>
      <c r="D1031" s="37"/>
      <c r="E1031" s="37"/>
      <c r="K1031" s="48"/>
    </row>
    <row r="1032">
      <c r="A1032" s="37"/>
      <c r="B1032" s="37"/>
      <c r="C1032" s="37"/>
      <c r="D1032" s="37"/>
      <c r="E1032" s="37"/>
      <c r="K1032" s="48"/>
    </row>
    <row r="1033">
      <c r="A1033" s="37"/>
      <c r="B1033" s="37"/>
      <c r="C1033" s="37"/>
      <c r="D1033" s="37"/>
      <c r="E1033" s="37"/>
      <c r="K1033" s="48"/>
    </row>
    <row r="1034">
      <c r="A1034" s="37"/>
      <c r="B1034" s="37"/>
      <c r="C1034" s="37"/>
      <c r="D1034" s="37"/>
      <c r="E1034" s="37"/>
      <c r="K1034" s="48"/>
    </row>
    <row r="1035">
      <c r="A1035" s="37"/>
      <c r="B1035" s="37"/>
      <c r="C1035" s="37"/>
      <c r="D1035" s="37"/>
      <c r="E1035" s="37"/>
      <c r="K1035" s="48"/>
    </row>
    <row r="1036">
      <c r="A1036" s="37"/>
      <c r="B1036" s="37"/>
      <c r="C1036" s="37"/>
      <c r="D1036" s="37"/>
      <c r="E1036" s="37"/>
      <c r="K1036" s="48"/>
    </row>
    <row r="1037">
      <c r="A1037" s="37"/>
      <c r="B1037" s="37"/>
      <c r="C1037" s="37"/>
      <c r="D1037" s="37"/>
      <c r="E1037" s="37"/>
      <c r="K1037" s="48"/>
    </row>
    <row r="1038">
      <c r="A1038" s="37"/>
      <c r="B1038" s="37"/>
      <c r="C1038" s="37"/>
      <c r="D1038" s="37"/>
      <c r="E1038" s="37"/>
      <c r="K1038" s="48"/>
    </row>
    <row r="1039">
      <c r="A1039" s="37"/>
      <c r="B1039" s="37"/>
      <c r="C1039" s="37"/>
      <c r="D1039" s="37"/>
      <c r="E1039" s="37"/>
      <c r="K1039" s="48"/>
    </row>
    <row r="1040">
      <c r="A1040" s="37"/>
      <c r="B1040" s="37"/>
      <c r="C1040" s="37"/>
      <c r="D1040" s="37"/>
      <c r="E1040" s="37"/>
      <c r="K1040" s="48"/>
    </row>
    <row r="1041">
      <c r="A1041" s="37"/>
      <c r="B1041" s="37"/>
      <c r="C1041" s="37"/>
      <c r="D1041" s="37"/>
      <c r="E1041" s="37"/>
      <c r="K1041" s="48"/>
    </row>
    <row r="1042">
      <c r="A1042" s="37"/>
      <c r="B1042" s="37"/>
      <c r="C1042" s="37"/>
      <c r="D1042" s="37"/>
      <c r="E1042" s="37"/>
      <c r="K1042" s="48"/>
    </row>
    <row r="1043">
      <c r="A1043" s="37"/>
      <c r="B1043" s="37"/>
      <c r="C1043" s="37"/>
      <c r="D1043" s="37"/>
      <c r="E1043" s="37"/>
      <c r="K1043" s="48"/>
    </row>
    <row r="1044">
      <c r="A1044" s="37"/>
      <c r="B1044" s="37"/>
      <c r="C1044" s="37"/>
      <c r="D1044" s="37"/>
      <c r="E1044" s="37"/>
      <c r="K1044" s="48"/>
    </row>
    <row r="1045">
      <c r="A1045" s="37"/>
      <c r="B1045" s="37"/>
      <c r="C1045" s="37"/>
      <c r="D1045" s="37"/>
      <c r="E1045" s="37"/>
      <c r="K1045" s="48"/>
    </row>
    <row r="1046">
      <c r="A1046" s="37"/>
      <c r="B1046" s="37"/>
      <c r="C1046" s="37"/>
      <c r="D1046" s="37"/>
      <c r="E1046" s="37"/>
      <c r="K1046" s="48"/>
    </row>
    <row r="1047">
      <c r="A1047" s="37"/>
      <c r="B1047" s="37"/>
      <c r="C1047" s="37"/>
      <c r="D1047" s="37"/>
      <c r="E1047" s="37"/>
      <c r="K1047" s="48"/>
    </row>
    <row r="1048">
      <c r="A1048" s="37"/>
      <c r="B1048" s="37"/>
      <c r="C1048" s="37"/>
      <c r="D1048" s="37"/>
      <c r="E1048" s="37"/>
      <c r="K1048" s="48"/>
    </row>
    <row r="1049">
      <c r="A1049" s="37"/>
      <c r="B1049" s="37"/>
      <c r="C1049" s="37"/>
      <c r="D1049" s="37"/>
      <c r="E1049" s="37"/>
      <c r="K1049" s="48"/>
    </row>
    <row r="1050">
      <c r="A1050" s="37"/>
      <c r="B1050" s="37"/>
      <c r="C1050" s="37"/>
      <c r="D1050" s="37"/>
      <c r="E1050" s="37"/>
      <c r="K1050" s="48"/>
    </row>
    <row r="1051">
      <c r="A1051" s="37"/>
      <c r="B1051" s="37"/>
      <c r="C1051" s="37"/>
      <c r="D1051" s="37"/>
      <c r="E1051" s="37"/>
      <c r="K1051" s="48"/>
    </row>
    <row r="1052">
      <c r="A1052" s="37"/>
      <c r="B1052" s="37"/>
      <c r="C1052" s="37"/>
      <c r="D1052" s="37"/>
      <c r="E1052" s="37"/>
      <c r="K1052" s="48"/>
    </row>
    <row r="1053">
      <c r="A1053" s="37"/>
      <c r="B1053" s="37"/>
      <c r="C1053" s="37"/>
      <c r="D1053" s="37"/>
      <c r="E1053" s="37"/>
      <c r="K1053" s="48"/>
    </row>
    <row r="1054">
      <c r="A1054" s="37"/>
      <c r="B1054" s="37"/>
      <c r="C1054" s="37"/>
      <c r="D1054" s="37"/>
      <c r="E1054" s="37"/>
      <c r="K1054" s="48"/>
    </row>
    <row r="1055">
      <c r="A1055" s="37"/>
      <c r="B1055" s="37"/>
      <c r="C1055" s="37"/>
      <c r="D1055" s="37"/>
      <c r="E1055" s="37"/>
      <c r="K1055" s="48"/>
    </row>
    <row r="1056">
      <c r="A1056" s="37"/>
      <c r="B1056" s="37"/>
      <c r="C1056" s="37"/>
      <c r="D1056" s="37"/>
      <c r="E1056" s="37"/>
      <c r="K1056" s="48"/>
    </row>
    <row r="1057">
      <c r="A1057" s="37"/>
      <c r="B1057" s="37"/>
      <c r="C1057" s="37"/>
      <c r="D1057" s="37"/>
      <c r="E1057" s="37"/>
      <c r="K1057" s="48"/>
    </row>
    <row r="1058">
      <c r="A1058" s="37"/>
      <c r="B1058" s="37"/>
      <c r="C1058" s="37"/>
      <c r="D1058" s="37"/>
      <c r="E1058" s="37"/>
      <c r="K1058" s="48"/>
    </row>
    <row r="1059">
      <c r="A1059" s="37"/>
      <c r="B1059" s="37"/>
      <c r="C1059" s="37"/>
      <c r="D1059" s="37"/>
      <c r="E1059" s="37"/>
      <c r="K1059" s="48"/>
    </row>
    <row r="1060">
      <c r="A1060" s="37"/>
      <c r="B1060" s="37"/>
      <c r="C1060" s="37"/>
      <c r="D1060" s="37"/>
      <c r="E1060" s="37"/>
      <c r="K1060" s="48"/>
    </row>
    <row r="1061">
      <c r="A1061" s="37"/>
      <c r="B1061" s="37"/>
      <c r="C1061" s="37"/>
      <c r="D1061" s="37"/>
      <c r="E1061" s="37"/>
      <c r="K1061" s="48"/>
    </row>
    <row r="1062">
      <c r="A1062" s="37"/>
      <c r="B1062" s="37"/>
      <c r="C1062" s="37"/>
      <c r="D1062" s="37"/>
      <c r="E1062" s="37"/>
      <c r="K1062" s="48"/>
    </row>
    <row r="1063">
      <c r="A1063" s="37"/>
      <c r="B1063" s="37"/>
      <c r="C1063" s="37"/>
      <c r="D1063" s="37"/>
      <c r="E1063" s="37"/>
      <c r="K1063" s="48"/>
    </row>
    <row r="1064">
      <c r="A1064" s="37"/>
      <c r="B1064" s="37"/>
      <c r="C1064" s="37"/>
      <c r="D1064" s="37"/>
      <c r="E1064" s="37"/>
      <c r="K1064" s="48"/>
    </row>
    <row r="1065">
      <c r="A1065" s="37"/>
      <c r="B1065" s="37"/>
      <c r="C1065" s="37"/>
      <c r="D1065" s="37"/>
      <c r="E1065" s="37"/>
      <c r="K1065" s="48"/>
    </row>
    <row r="1066">
      <c r="A1066" s="37"/>
      <c r="B1066" s="37"/>
      <c r="C1066" s="37"/>
      <c r="D1066" s="37"/>
      <c r="E1066" s="37"/>
      <c r="K1066" s="48"/>
    </row>
    <row r="1067">
      <c r="A1067" s="37"/>
      <c r="B1067" s="37"/>
      <c r="C1067" s="37"/>
      <c r="D1067" s="37"/>
      <c r="E1067" s="37"/>
      <c r="K1067" s="48"/>
    </row>
    <row r="1068">
      <c r="A1068" s="37"/>
      <c r="B1068" s="37"/>
      <c r="C1068" s="37"/>
      <c r="D1068" s="37"/>
      <c r="E1068" s="37"/>
      <c r="K1068" s="48"/>
    </row>
    <row r="1069">
      <c r="A1069" s="37"/>
      <c r="B1069" s="37"/>
      <c r="C1069" s="37"/>
      <c r="D1069" s="37"/>
      <c r="E1069" s="37"/>
      <c r="K1069" s="48"/>
    </row>
    <row r="1070">
      <c r="A1070" s="37"/>
      <c r="B1070" s="37"/>
      <c r="C1070" s="37"/>
      <c r="D1070" s="37"/>
      <c r="E1070" s="37"/>
      <c r="K1070" s="48"/>
    </row>
    <row r="1071">
      <c r="A1071" s="37"/>
      <c r="B1071" s="37"/>
      <c r="C1071" s="37"/>
      <c r="D1071" s="37"/>
      <c r="E1071" s="37"/>
      <c r="K1071" s="48"/>
    </row>
    <row r="1072">
      <c r="A1072" s="37"/>
      <c r="B1072" s="37"/>
      <c r="C1072" s="37"/>
      <c r="D1072" s="37"/>
      <c r="E1072" s="37"/>
      <c r="K1072" s="48"/>
    </row>
    <row r="1073">
      <c r="A1073" s="37"/>
      <c r="B1073" s="37"/>
      <c r="C1073" s="37"/>
      <c r="D1073" s="37"/>
      <c r="E1073" s="37"/>
      <c r="K1073" s="48"/>
    </row>
    <row r="1074">
      <c r="A1074" s="37"/>
      <c r="B1074" s="37"/>
      <c r="C1074" s="37"/>
      <c r="D1074" s="37"/>
      <c r="E1074" s="37"/>
      <c r="K1074" s="48"/>
    </row>
    <row r="1075">
      <c r="A1075" s="37"/>
      <c r="B1075" s="37"/>
      <c r="C1075" s="37"/>
      <c r="D1075" s="37"/>
      <c r="E1075" s="37"/>
      <c r="K1075" s="48"/>
    </row>
    <row r="1076">
      <c r="A1076" s="37"/>
      <c r="B1076" s="37"/>
      <c r="C1076" s="37"/>
      <c r="D1076" s="37"/>
      <c r="E1076" s="37"/>
      <c r="K1076" s="48"/>
    </row>
    <row r="1077">
      <c r="A1077" s="37"/>
      <c r="B1077" s="37"/>
      <c r="C1077" s="37"/>
      <c r="D1077" s="37"/>
      <c r="E1077" s="37"/>
      <c r="K1077" s="48"/>
    </row>
    <row r="1078">
      <c r="A1078" s="37"/>
      <c r="B1078" s="37"/>
      <c r="C1078" s="37"/>
      <c r="D1078" s="37"/>
      <c r="E1078" s="37"/>
      <c r="K1078" s="48"/>
    </row>
    <row r="1079">
      <c r="A1079" s="37"/>
      <c r="B1079" s="37"/>
      <c r="C1079" s="37"/>
      <c r="D1079" s="37"/>
      <c r="E1079" s="37"/>
      <c r="K1079" s="48"/>
    </row>
    <row r="1080">
      <c r="A1080" s="37"/>
      <c r="B1080" s="37"/>
      <c r="C1080" s="37"/>
      <c r="D1080" s="37"/>
      <c r="E1080" s="37"/>
      <c r="K1080" s="48"/>
    </row>
    <row r="1081">
      <c r="A1081" s="37"/>
      <c r="B1081" s="37"/>
      <c r="C1081" s="37"/>
      <c r="D1081" s="37"/>
      <c r="E1081" s="37"/>
      <c r="K1081" s="48"/>
    </row>
    <row r="1082">
      <c r="A1082" s="37"/>
      <c r="B1082" s="37"/>
      <c r="C1082" s="37"/>
      <c r="D1082" s="37"/>
      <c r="E1082" s="37"/>
      <c r="K1082" s="48"/>
    </row>
    <row r="1083">
      <c r="A1083" s="37"/>
      <c r="B1083" s="37"/>
      <c r="C1083" s="37"/>
      <c r="D1083" s="37"/>
      <c r="E1083" s="37"/>
      <c r="K1083" s="48"/>
    </row>
    <row r="1084">
      <c r="A1084" s="37"/>
      <c r="B1084" s="37"/>
      <c r="C1084" s="37"/>
      <c r="D1084" s="37"/>
      <c r="E1084" s="37"/>
      <c r="K1084" s="48"/>
    </row>
    <row r="1085">
      <c r="A1085" s="37"/>
      <c r="B1085" s="37"/>
      <c r="C1085" s="37"/>
      <c r="D1085" s="37"/>
      <c r="E1085" s="37"/>
      <c r="K1085" s="48"/>
    </row>
    <row r="1086">
      <c r="A1086" s="37"/>
      <c r="B1086" s="37"/>
      <c r="C1086" s="37"/>
      <c r="D1086" s="37"/>
      <c r="E1086" s="37"/>
      <c r="K1086" s="48"/>
    </row>
    <row r="1087">
      <c r="A1087" s="37"/>
      <c r="B1087" s="37"/>
      <c r="C1087" s="37"/>
      <c r="D1087" s="37"/>
      <c r="E1087" s="37"/>
      <c r="K1087" s="48"/>
    </row>
    <row r="1088">
      <c r="A1088" s="37"/>
      <c r="B1088" s="37"/>
      <c r="C1088" s="37"/>
      <c r="D1088" s="37"/>
      <c r="E1088" s="37"/>
      <c r="K1088" s="48"/>
    </row>
    <row r="1089">
      <c r="A1089" s="37"/>
      <c r="B1089" s="37"/>
      <c r="C1089" s="37"/>
      <c r="D1089" s="37"/>
      <c r="E1089" s="37"/>
      <c r="K1089" s="48"/>
    </row>
    <row r="1090">
      <c r="A1090" s="37"/>
      <c r="B1090" s="37"/>
      <c r="C1090" s="37"/>
      <c r="D1090" s="37"/>
      <c r="E1090" s="37"/>
      <c r="K1090" s="48"/>
    </row>
    <row r="1091">
      <c r="A1091" s="37"/>
      <c r="B1091" s="37"/>
      <c r="C1091" s="37"/>
      <c r="D1091" s="37"/>
      <c r="E1091" s="37"/>
      <c r="K1091" s="48"/>
    </row>
    <row r="1092">
      <c r="A1092" s="37"/>
      <c r="B1092" s="37"/>
      <c r="C1092" s="37"/>
      <c r="D1092" s="37"/>
      <c r="E1092" s="37"/>
      <c r="K1092" s="48"/>
    </row>
    <row r="1093">
      <c r="A1093" s="37"/>
      <c r="B1093" s="37"/>
      <c r="C1093" s="37"/>
      <c r="D1093" s="37"/>
      <c r="E1093" s="37"/>
      <c r="K1093" s="48"/>
    </row>
    <row r="1094">
      <c r="A1094" s="37"/>
      <c r="B1094" s="37"/>
      <c r="C1094" s="37"/>
      <c r="D1094" s="37"/>
      <c r="E1094" s="37"/>
      <c r="K1094" s="48"/>
    </row>
    <row r="1095">
      <c r="A1095" s="37"/>
      <c r="B1095" s="37"/>
      <c r="C1095" s="37"/>
      <c r="D1095" s="37"/>
      <c r="E1095" s="37"/>
      <c r="K1095" s="48"/>
    </row>
  </sheetData>
  <mergeCells count="5">
    <mergeCell ref="A5:B5"/>
    <mergeCell ref="C5:D5"/>
    <mergeCell ref="A6:B6"/>
    <mergeCell ref="C6:D6"/>
    <mergeCell ref="A7:D8"/>
  </mergeCells>
  <dataValidations>
    <dataValidation type="list" allowBlank="1" showErrorMessage="1" sqref="B9">
      <formula1>"MINH THUẬN,CẨM NHIÊN,Nhung"</formula1>
    </dataValidation>
    <dataValidation type="list" allowBlank="1" showErrorMessage="1" sqref="O3:O120">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6.88"/>
    <col customWidth="1" min="10" max="10" width="14.63"/>
    <col customWidth="1" min="11" max="11" width="14.0"/>
    <col customWidth="1" min="12" max="12" width="23.75"/>
    <col customWidth="1" min="13" max="13" width="25.25"/>
    <col customWidth="1" min="14" max="14" width="24.25"/>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76</v>
      </c>
      <c r="B3" s="11">
        <f>COUNTIF(O:O,"Pass")</f>
        <v>20</v>
      </c>
      <c r="C3" s="11">
        <f>COUNTIF(O:O,"Fail")</f>
        <v>22</v>
      </c>
      <c r="D3" s="11">
        <f>COUNTIF(O:O,"Untest")</f>
        <v>0</v>
      </c>
      <c r="E3" s="8"/>
      <c r="F3" s="12" t="s">
        <v>1060</v>
      </c>
      <c r="G3" s="12" t="s">
        <v>15</v>
      </c>
      <c r="H3" s="12" t="s">
        <v>1061</v>
      </c>
      <c r="I3" s="12" t="s">
        <v>1062</v>
      </c>
      <c r="J3" s="12" t="s">
        <v>1063</v>
      </c>
      <c r="K3" s="13" t="str">
        <f>IFERROR(__xludf.DUMMYFUNCTION("IF(ISBLANK(J3), ""Input test step"", ARRAYFORMULA(TEXTJOIN(CHAR(10), TRUE, (""Step ""&amp; ROW(INDIRECT(""1:"" &amp; COUNTA(SPLIT(J3, CHAR(10))))) &amp; "": "" &amp; TRANSPOSE(SPLIT(J3, CHAR(10)))))))"),"Step 1: Navigate to product details page
Step 2: Check and confirm that the ""Product Details"" title is displayed in the correct size, color, and font size")</f>
        <v>Step 1: Navigate to product details page
Step 2: Check and confirm that the "Product Details" title is displayed in the correct size, color, and font size</v>
      </c>
      <c r="L3" s="14"/>
      <c r="M3" s="12" t="s">
        <v>1064</v>
      </c>
      <c r="N3" s="12"/>
      <c r="O3" s="12" t="s">
        <v>1</v>
      </c>
      <c r="P3" s="12"/>
    </row>
    <row r="4">
      <c r="A4" s="58"/>
      <c r="B4" s="59"/>
      <c r="C4" s="60"/>
      <c r="D4" s="60"/>
      <c r="E4" s="18"/>
      <c r="F4" s="12" t="s">
        <v>1065</v>
      </c>
      <c r="G4" s="12"/>
      <c r="H4" s="12" t="s">
        <v>1066</v>
      </c>
      <c r="I4" s="12" t="s">
        <v>1062</v>
      </c>
      <c r="J4" s="12" t="s">
        <v>1067</v>
      </c>
      <c r="K4" s="13" t="str">
        <f>IFERROR(__xludf.DUMMYFUNCTION("IF(ISBLANK(J4), ""Input test step"", ARRAYFORMULA(TEXTJOIN(CHAR(10), TRUE, (""Step ""&amp; ROW(INDIRECT(""1:"" &amp; COUNTA(SPLIT(J4, CHAR(10))))) &amp; "": "" &amp; TRANSPOSE(SPLIT(J4, CHAR(10)))))))"),"Step 1: Navigate to product detail page
Step 2: Scroll right to view more product images
Step 3: Check and confirm smooth horizontal scrolling when customers want
Step 4: Check and confirm images are not cropped or missing")</f>
        <v>Step 1: Navigate to product detail page
Step 2: Scroll right to view more product images
Step 3: Check and confirm smooth horizontal scrolling when customers want
Step 4: Check and confirm images are not cropped or missing</v>
      </c>
      <c r="L4" s="14"/>
      <c r="M4" s="12" t="s">
        <v>1068</v>
      </c>
      <c r="N4" s="12"/>
      <c r="O4" s="12" t="s">
        <v>1</v>
      </c>
      <c r="P4" s="19"/>
    </row>
    <row r="5">
      <c r="A5" s="15" t="s">
        <v>20</v>
      </c>
      <c r="B5" s="16"/>
      <c r="C5" s="17">
        <f>IFERROR(((B3+C3)/A3),0)</f>
        <v>0.5526315789</v>
      </c>
      <c r="D5" s="16"/>
      <c r="E5" s="18"/>
      <c r="F5" s="12" t="s">
        <v>1069</v>
      </c>
      <c r="G5" s="12"/>
      <c r="H5" s="67" t="s">
        <v>1070</v>
      </c>
      <c r="I5" s="12" t="s">
        <v>1062</v>
      </c>
      <c r="J5" s="12" t="s">
        <v>1071</v>
      </c>
      <c r="K5" s="13" t="str">
        <f>IFERROR(__xludf.DUMMYFUNCTION("IF(ISBLANK(J5), ""Input test step"", ARRAYFORMULA(TEXTJOIN(CHAR(10), TRUE, (""Step ""&amp; ROW(INDIRECT(""1:"" &amp; COUNTA(SPLIT(J5, CHAR(10))))) &amp; "": "" &amp; TRANSPOSE(SPLIT(J5, CHAR(10)))))))"),"Step 1: Navigate to product detail page
Step 2: Check and confirm that the image is displayed correctly in the correct position and size, and that the image is not blurred""")</f>
        <v>Step 1: Navigate to product detail page
Step 2: Check and confirm that the image is displayed correctly in the correct position and size, and that the image is not blurred"</v>
      </c>
      <c r="L5" s="14"/>
      <c r="M5" s="12" t="s">
        <v>1072</v>
      </c>
      <c r="N5" s="12"/>
      <c r="O5" s="12" t="s">
        <v>1</v>
      </c>
      <c r="P5" s="19"/>
    </row>
    <row r="6">
      <c r="A6" s="15" t="s">
        <v>26</v>
      </c>
      <c r="B6" s="16"/>
      <c r="C6" s="20">
        <f>IFERROR(B3/(B3+C3),0)</f>
        <v>0.4761904762</v>
      </c>
      <c r="D6" s="16"/>
      <c r="E6" s="18"/>
      <c r="F6" s="12" t="s">
        <v>1073</v>
      </c>
      <c r="G6" s="12"/>
      <c r="H6" s="12" t="s">
        <v>1074</v>
      </c>
      <c r="I6" s="12" t="s">
        <v>1062</v>
      </c>
      <c r="J6" s="12" t="s">
        <v>1075</v>
      </c>
      <c r="K6" s="13" t="str">
        <f>IFERROR(__xludf.DUMMYFUNCTION("IF(ISBLANK(J6), ""Input test step"", ARRAYFORMULA(TEXTJOIN(CHAR(10), TRUE, (""Step ""&amp; ROW(INDIRECT(""1:"" &amp; COUNTA(SPLIT(J6, CHAR(10))))) &amp; "": "" &amp; TRANSPOSE(SPLIT(J6, CHAR(10)))))))"),"Step 1: Navigate to product detail page
Step 2: Check and confirm correct size, color, and position of product name")</f>
        <v>Step 1: Navigate to product detail page
Step 2: Check and confirm correct size, color, and position of product name</v>
      </c>
      <c r="L6" s="14"/>
      <c r="M6" s="21" t="s">
        <v>1076</v>
      </c>
      <c r="N6" s="22"/>
      <c r="O6" s="12" t="s">
        <v>2</v>
      </c>
      <c r="P6" s="19"/>
    </row>
    <row r="7">
      <c r="A7" s="23" t="s">
        <v>1077</v>
      </c>
      <c r="D7" s="24"/>
      <c r="E7" s="18"/>
      <c r="F7" s="12" t="s">
        <v>1078</v>
      </c>
      <c r="G7" s="12"/>
      <c r="H7" s="12" t="s">
        <v>1079</v>
      </c>
      <c r="I7" s="12" t="s">
        <v>1062</v>
      </c>
      <c r="J7" s="12" t="s">
        <v>1080</v>
      </c>
      <c r="K7" s="13" t="str">
        <f>IFERROR(__xludf.DUMMYFUNCTION("IF(ISBLANK(J7), ""Input test step"", ARRAYFORMULA(TEXTJOIN(CHAR(10), TRUE, (""Step ""&amp; ROW(INDIRECT(""1:"" &amp; COUNTA(SPLIT(J7, CHAR(10))))) &amp; "": "" &amp; TRANSPOSE(SPLIT(J7, CHAR(10)))))))"),"Step 1: Navigate to product detail page
Step 2: Check and confirm correct display of product size, color, and brand position")</f>
        <v>Step 1: Navigate to product detail page
Step 2: Check and confirm correct display of product size, color, and brand position</v>
      </c>
      <c r="L7" s="14"/>
      <c r="M7" s="21" t="s">
        <v>1081</v>
      </c>
      <c r="N7" s="12"/>
      <c r="O7" s="12" t="s">
        <v>2</v>
      </c>
      <c r="P7" s="19"/>
    </row>
    <row r="8">
      <c r="A8" s="25"/>
      <c r="D8" s="24"/>
      <c r="E8" s="18"/>
      <c r="F8" s="12" t="s">
        <v>1082</v>
      </c>
      <c r="G8" s="12"/>
      <c r="H8" s="12" t="s">
        <v>1083</v>
      </c>
      <c r="I8" s="12" t="s">
        <v>1062</v>
      </c>
      <c r="J8" s="12" t="s">
        <v>1084</v>
      </c>
      <c r="K8" s="13" t="str">
        <f>IFERROR(__xludf.DUMMYFUNCTION("IF(ISBLANK(J8), ""Input test step"", ARRAYFORMULA(TEXTJOIN(CHAR(10), TRUE, (""Step ""&amp; ROW(INDIRECT(""1:"" &amp; COUNTA(SPLIT(J8, CHAR(10))))) &amp; "": "" &amp; TRANSPOSE(SPLIT(J8, CHAR(10)))))))"),"Step 1: Navigate to the product detail page
Step 2: Check and confirm that the product price size, color, position, and format are displayed correctly")</f>
        <v>Step 1: Navigate to the product detail page
Step 2: Check and confirm that the product price size, color, position, and format are displayed correctly</v>
      </c>
      <c r="L8" s="14"/>
      <c r="M8" s="21" t="s">
        <v>1085</v>
      </c>
      <c r="N8" s="12"/>
      <c r="O8" s="12" t="s">
        <v>1</v>
      </c>
      <c r="P8" s="19"/>
    </row>
    <row r="9">
      <c r="A9" s="26" t="s">
        <v>46</v>
      </c>
      <c r="B9" s="27" t="s">
        <v>47</v>
      </c>
      <c r="C9" s="28"/>
      <c r="D9" s="28"/>
      <c r="E9" s="18"/>
      <c r="F9" s="12" t="s">
        <v>1086</v>
      </c>
      <c r="G9" s="12"/>
      <c r="H9" s="12" t="s">
        <v>1087</v>
      </c>
      <c r="I9" s="12" t="s">
        <v>1062</v>
      </c>
      <c r="J9" s="12" t="s">
        <v>1088</v>
      </c>
      <c r="K9" s="13" t="str">
        <f>IFERROR(__xludf.DUMMYFUNCTION("IF(ISBLANK(J9), ""Input test step"", ARRAYFORMULA(TEXTJOIN(CHAR(10), TRUE, (""Step ""&amp; ROW(INDIRECT(""1:"" &amp; COUNTA(SPLIT(J9, CHAR(10))))) &amp; "": "" &amp; TRANSPOSE(SPLIT(J9, CHAR(10)))))))"),"Step 1: Navigate to product detail page
Step 2: Check and confirm correct size, color, and position of message icon")</f>
        <v>Step 1: Navigate to product detail page
Step 2: Check and confirm correct size, color, and position of message icon</v>
      </c>
      <c r="L9" s="14"/>
      <c r="M9" s="21" t="s">
        <v>1089</v>
      </c>
      <c r="N9" s="12"/>
      <c r="O9" s="12" t="s">
        <v>2</v>
      </c>
      <c r="P9" s="19"/>
    </row>
    <row r="10">
      <c r="A10" s="28"/>
      <c r="B10" s="28"/>
      <c r="C10" s="28"/>
      <c r="D10" s="28"/>
      <c r="E10" s="18"/>
      <c r="F10" s="12" t="s">
        <v>1090</v>
      </c>
      <c r="G10" s="12"/>
      <c r="H10" s="12" t="s">
        <v>1091</v>
      </c>
      <c r="I10" s="12" t="s">
        <v>1062</v>
      </c>
      <c r="J10" s="12" t="s">
        <v>1092</v>
      </c>
      <c r="K10" s="13" t="str">
        <f>IFERROR(__xludf.DUMMYFUNCTION("IF(ISBLANK(J10), ""Input test step"", ARRAYFORMULA(TEXTJOIN(CHAR(10), TRUE, (""Step ""&amp; ROW(INDIRECT(""1:"" &amp; COUNTA(SPLIT(J10, CHAR(10))))) &amp; "": "" &amp; TRANSPOSE(SPLIT(J10, CHAR(10)))))))"),"Step 1: Navigate to product detail page
Step 2: Check and confirm that the share icon is displayed in the correct size, color, and position")</f>
        <v>Step 1: Navigate to product detail page
Step 2: Check and confirm that the share icon is displayed in the correct size, color, and position</v>
      </c>
      <c r="L10" s="14"/>
      <c r="M10" s="21" t="s">
        <v>1093</v>
      </c>
      <c r="N10" s="12"/>
      <c r="O10" s="12" t="s">
        <v>2</v>
      </c>
      <c r="P10" s="19"/>
    </row>
    <row r="11">
      <c r="A11" s="28"/>
      <c r="B11" s="28"/>
      <c r="C11" s="28"/>
      <c r="D11" s="28"/>
      <c r="E11" s="18"/>
      <c r="F11" s="12" t="s">
        <v>1094</v>
      </c>
      <c r="G11" s="12"/>
      <c r="H11" s="12" t="s">
        <v>1095</v>
      </c>
      <c r="I11" s="12" t="s">
        <v>1062</v>
      </c>
      <c r="J11" s="12" t="s">
        <v>1096</v>
      </c>
      <c r="K11" s="13" t="str">
        <f>IFERROR(__xludf.DUMMYFUNCTION("IF(ISBLANK(J11), ""Input test step"", ARRAYFORMULA(TEXTJOIN(CHAR(10), TRUE, (""Step ""&amp; ROW(INDIRECT(""1:"" &amp; COUNTA(SPLIT(J11, CHAR(10))))) &amp; "": "" &amp; TRANSPOSE(SPLIT(J11, CHAR(10)))))))"),"Step 1: Navigate to product details page
Step 2: Check and confirm that the ""Product Details"" text is displayed in the correct size, color, and position")</f>
        <v>Step 1: Navigate to product details page
Step 2: Check and confirm that the "Product Details" text is displayed in the correct size, color, and position</v>
      </c>
      <c r="L11" s="14"/>
      <c r="M11" s="21" t="s">
        <v>1097</v>
      </c>
      <c r="N11" s="12"/>
      <c r="O11" s="12" t="s">
        <v>1</v>
      </c>
      <c r="P11" s="19"/>
    </row>
    <row r="12">
      <c r="A12" s="28"/>
      <c r="B12" s="28"/>
      <c r="C12" s="28"/>
      <c r="D12" s="28"/>
      <c r="E12" s="18"/>
      <c r="F12" s="12" t="s">
        <v>1098</v>
      </c>
      <c r="G12" s="12"/>
      <c r="H12" s="12" t="s">
        <v>1099</v>
      </c>
      <c r="I12" s="12" t="s">
        <v>1062</v>
      </c>
      <c r="J12" s="12" t="s">
        <v>1100</v>
      </c>
      <c r="K12" s="13" t="str">
        <f>IFERROR(__xludf.DUMMYFUNCTION("IF(ISBLANK(J12), ""Input test step"", ARRAYFORMULA(TEXTJOIN(CHAR(10), TRUE, (""Step ""&amp; ROW(INDIRECT(""1:"" &amp; COUNTA(SPLIT(J12, CHAR(10))))) &amp; "": "" &amp; TRANSPOSE(SPLIT(J12, CHAR(10)))))))"),"Step 1: Navigate to product detail page
Step 2: Check and confirm that the product description displays the correct size, color, position, and alignment")</f>
        <v>Step 1: Navigate to product detail page
Step 2: Check and confirm that the product description displays the correct size, color, position, and alignment</v>
      </c>
      <c r="L12" s="14"/>
      <c r="M12" s="21" t="s">
        <v>1101</v>
      </c>
      <c r="N12" s="12"/>
      <c r="O12" s="12" t="s">
        <v>2</v>
      </c>
      <c r="P12" s="19"/>
    </row>
    <row r="13">
      <c r="A13" s="28"/>
      <c r="B13" s="28"/>
      <c r="C13" s="28"/>
      <c r="D13" s="28"/>
      <c r="E13" s="18"/>
      <c r="F13" s="12" t="s">
        <v>1102</v>
      </c>
      <c r="G13" s="12"/>
      <c r="H13" s="12" t="s">
        <v>1103</v>
      </c>
      <c r="I13" s="12" t="s">
        <v>1062</v>
      </c>
      <c r="J13" s="12" t="s">
        <v>1104</v>
      </c>
      <c r="K13" s="13" t="str">
        <f>IFERROR(__xludf.DUMMYFUNCTION("IF(ISBLANK(J13), ""Input test step"", ARRAYFORMULA(TEXTJOIN(CHAR(10), TRUE, (""Step ""&amp; ROW(INDIRECT(""1:"" &amp; COUNTA(SPLIT(J13, CHAR(10))))) &amp; "": "" &amp; TRANSPOSE(SPLIT(J13, CHAR(10)))))))"),"Step 1: ""Navigate to product detail page
Step 2: Check and confirm correct display of text size, color """"Collapse"""" or """"View more""""""")</f>
        <v>Step 1: "Navigate to product detail page
Step 2: Check and confirm correct display of text size, color ""Collapse"" or ""View more"""</v>
      </c>
      <c r="L13" s="14"/>
      <c r="M13" s="21" t="s">
        <v>1105</v>
      </c>
      <c r="N13" s="12"/>
      <c r="O13" s="12" t="s">
        <v>2</v>
      </c>
      <c r="P13" s="19"/>
    </row>
    <row r="14">
      <c r="A14" s="28"/>
      <c r="B14" s="28"/>
      <c r="C14" s="28"/>
      <c r="D14" s="28"/>
      <c r="E14" s="18"/>
      <c r="F14" s="12" t="s">
        <v>1106</v>
      </c>
      <c r="G14" s="12"/>
      <c r="H14" s="12" t="s">
        <v>1107</v>
      </c>
      <c r="I14" s="12" t="s">
        <v>1062</v>
      </c>
      <c r="J14" s="12" t="s">
        <v>1108</v>
      </c>
      <c r="K14" s="13" t="str">
        <f>IFERROR(__xludf.DUMMYFUNCTION("IF(ISBLANK(J14), ""Input test step"", ARRAYFORMULA(TEXTJOIN(CHAR(10), TRUE, (""Step ""&amp; ROW(INDIRECT(""1:"" &amp; COUNTA(SPLIT(J14, CHAR(10))))) &amp; "": "" &amp; TRANSPOSE(SPLIT(J14, CHAR(10)))))))"),"Step 1: Navigate to product detail page
Step 2: Check and confirm correct position, size, and font color of ""Voucher"" title")</f>
        <v>Step 1: Navigate to product detail page
Step 2: Check and confirm correct position, size, and font color of "Voucher" title</v>
      </c>
      <c r="L14" s="14"/>
      <c r="M14" s="21" t="s">
        <v>1109</v>
      </c>
      <c r="N14" s="31"/>
      <c r="O14" s="12" t="s">
        <v>1</v>
      </c>
      <c r="P14" s="32"/>
    </row>
    <row r="15">
      <c r="A15" s="28"/>
      <c r="B15" s="28"/>
      <c r="C15" s="28"/>
      <c r="D15" s="28"/>
      <c r="E15" s="18"/>
      <c r="F15" s="12" t="s">
        <v>1110</v>
      </c>
      <c r="G15" s="12"/>
      <c r="H15" s="12" t="s">
        <v>1111</v>
      </c>
      <c r="I15" s="12" t="s">
        <v>1062</v>
      </c>
      <c r="J15" s="12" t="s">
        <v>1112</v>
      </c>
      <c r="K15" s="13" t="str">
        <f>IFERROR(__xludf.DUMMYFUNCTION("IF(ISBLANK(J15), ""Input test step"", ARRAYFORMULA(TEXTJOIN(CHAR(10), TRUE, (""Step ""&amp; ROW(INDIRECT(""1:"" &amp; COUNTA(SPLIT(J15, CHAR(10))))) &amp; "": "" &amp; TRANSPOSE(SPLIT(J15, CHAR(10)))))))"),"Step 1: Navigate to the product detail page
Step 2: Scroll down the page
Step 3: Check and confirm the correct position, size, and color of the ""See all"" text link")</f>
        <v>Step 1: Navigate to the product detail page
Step 2: Scroll down the page
Step 3: Check and confirm the correct position, size, and color of the "See all" text link</v>
      </c>
      <c r="L15" s="33"/>
      <c r="M15" s="21" t="s">
        <v>1113</v>
      </c>
      <c r="N15" s="31"/>
      <c r="O15" s="12" t="s">
        <v>1</v>
      </c>
      <c r="P15" s="32"/>
    </row>
    <row r="16">
      <c r="A16" s="28"/>
      <c r="B16" s="28"/>
      <c r="C16" s="28"/>
      <c r="D16" s="28"/>
      <c r="E16" s="18"/>
      <c r="F16" s="12" t="s">
        <v>1114</v>
      </c>
      <c r="G16" s="12"/>
      <c r="H16" s="12" t="s">
        <v>1115</v>
      </c>
      <c r="I16" s="12" t="s">
        <v>1062</v>
      </c>
      <c r="J16" s="12" t="s">
        <v>1116</v>
      </c>
      <c r="K16" s="13" t="str">
        <f>IFERROR(__xludf.DUMMYFUNCTION("IF(ISBLANK(J16), ""Input test step"", ARRAYFORMULA(TEXTJOIN(CHAR(10), TRUE, (""Step ""&amp; ROW(INDIRECT(""1:"" &amp; COUNTA(SPLIT(J16, CHAR(10))))) &amp; "": "" &amp; TRANSPOSE(SPLIT(J16, CHAR(10)))))))"),"Step 1: Navigate to the product detail page
Step 2: Scroll down the page
Step 3: Check and confirm the correct position, width and height of the voucher list")</f>
        <v>Step 1: Navigate to the product detail page
Step 2: Scroll down the page
Step 3: Check and confirm the correct position, width and height of the voucher list</v>
      </c>
      <c r="L16" s="33"/>
      <c r="M16" s="21" t="s">
        <v>1117</v>
      </c>
      <c r="N16" s="31"/>
      <c r="O16" s="12" t="s">
        <v>2</v>
      </c>
      <c r="P16" s="32"/>
    </row>
    <row r="17">
      <c r="A17" s="28"/>
      <c r="B17" s="28"/>
      <c r="C17" s="28"/>
      <c r="D17" s="28"/>
      <c r="E17" s="18"/>
      <c r="F17" s="12" t="s">
        <v>1118</v>
      </c>
      <c r="G17" s="12"/>
      <c r="H17" s="12" t="s">
        <v>1119</v>
      </c>
      <c r="I17" s="12" t="s">
        <v>1062</v>
      </c>
      <c r="J17" s="12" t="s">
        <v>1120</v>
      </c>
      <c r="K17" s="13" t="str">
        <f>IFERROR(__xludf.DUMMYFUNCTION("IF(ISBLANK(J17), ""Input test step"", ARRAYFORMULA(TEXTJOIN(CHAR(10), TRUE, (""Step ""&amp; ROW(INDIRECT(""1:"" &amp; COUNTA(SPLIT(J17, CHAR(10))))) &amp; "": "" &amp; TRANSPOSE(SPLIT(J17, CHAR(10)))))))"),"Step 1: Navigate to product detail page
Step 2: Check and confirm the display spacing between voucher boxes is correct and even")</f>
        <v>Step 1: Navigate to product detail page
Step 2: Check and confirm the display spacing between voucher boxes is correct and even</v>
      </c>
      <c r="L17" s="33"/>
      <c r="M17" s="21" t="s">
        <v>1121</v>
      </c>
      <c r="N17" s="31"/>
      <c r="O17" s="12" t="s">
        <v>2</v>
      </c>
      <c r="P17" s="32"/>
    </row>
    <row r="18">
      <c r="A18" s="28"/>
      <c r="B18" s="28"/>
      <c r="C18" s="28"/>
      <c r="D18" s="28"/>
      <c r="E18" s="18"/>
      <c r="F18" s="12" t="s">
        <v>1122</v>
      </c>
      <c r="G18" s="12"/>
      <c r="H18" s="12" t="s">
        <v>1123</v>
      </c>
      <c r="I18" s="12" t="s">
        <v>1062</v>
      </c>
      <c r="J18" s="12" t="s">
        <v>1124</v>
      </c>
      <c r="K18" s="13" t="str">
        <f>IFERROR(__xludf.DUMMYFUNCTION("IF(ISBLANK(J18), ""Input test step"", ARRAYFORMULA(TEXTJOIN(CHAR(10), TRUE, (""Step ""&amp; ROW(INDIRECT(""1:"" &amp; COUNTA(SPLIT(J18, CHAR(10))))) &amp; "": "" &amp; TRANSPOSE(SPLIT(J18, CHAR(10)))))))"),"Step 1: Navigate to product detail page
Step 2: Scroll down page
Step 3: Scroll voucher list horizontally
Step 4: Check and confirm horizontal scrolling so users can see all voucher code on the scroll bar")</f>
        <v>Step 1: Navigate to product detail page
Step 2: Scroll down page
Step 3: Scroll voucher list horizontally
Step 4: Check and confirm horizontal scrolling so users can see all voucher code on the scroll bar</v>
      </c>
      <c r="L18" s="33"/>
      <c r="M18" s="31" t="s">
        <v>1125</v>
      </c>
      <c r="N18" s="31"/>
      <c r="O18" s="12" t="s">
        <v>2</v>
      </c>
      <c r="P18" s="32"/>
    </row>
    <row r="19">
      <c r="A19" s="28"/>
      <c r="B19" s="28"/>
      <c r="C19" s="28"/>
      <c r="D19" s="28"/>
      <c r="E19" s="18"/>
      <c r="F19" s="12" t="s">
        <v>1126</v>
      </c>
      <c r="G19" s="12"/>
      <c r="H19" s="12" t="s">
        <v>1127</v>
      </c>
      <c r="I19" s="12" t="s">
        <v>1062</v>
      </c>
      <c r="J19" s="12" t="s">
        <v>1128</v>
      </c>
      <c r="K19" s="13" t="str">
        <f>IFERROR(__xludf.DUMMYFUNCTION("IF(ISBLANK(J19), ""Input test step"", ARRAYFORMULA(TEXTJOIN(CHAR(10), TRUE, (""Step ""&amp; ROW(INDIRECT(""1:"" &amp; COUNTA(SPLIT(J19, CHAR(10))))) &amp; "": "" &amp; TRANSPOSE(SPLIT(J19, CHAR(10)))))))"),"Step 1: Navigate to the product detail page
Step 2: Scroll down the page
Step 3: Check and confirm that the voucher box is displaying the correct size, color, and format")</f>
        <v>Step 1: Navigate to the product detail page
Step 2: Scroll down the page
Step 3: Check and confirm that the voucher box is displaying the correct size, color, and format</v>
      </c>
      <c r="L19" s="33"/>
      <c r="M19" s="21" t="s">
        <v>1129</v>
      </c>
      <c r="N19" s="31"/>
      <c r="O19" s="12" t="s">
        <v>2</v>
      </c>
      <c r="P19" s="32"/>
    </row>
    <row r="20">
      <c r="A20" s="28"/>
      <c r="B20" s="28"/>
      <c r="C20" s="28"/>
      <c r="D20" s="28"/>
      <c r="E20" s="18"/>
      <c r="F20" s="12" t="s">
        <v>1130</v>
      </c>
      <c r="G20" s="12"/>
      <c r="H20" s="12" t="s">
        <v>1131</v>
      </c>
      <c r="I20" s="12" t="s">
        <v>1062</v>
      </c>
      <c r="J20" s="12" t="s">
        <v>1132</v>
      </c>
      <c r="K20" s="13" t="str">
        <f>IFERROR(__xludf.DUMMYFUNCTION("IF(ISBLANK(J20), ""Input test step"", ARRAYFORMULA(TEXTJOIN(CHAR(10), TRUE, (""Step ""&amp; ROW(INDIRECT(""1:"" &amp; COUNTA(SPLIT(J20, CHAR(10))))) &amp; "": "" &amp; TRANSPOSE(SPLIT(J20, CHAR(10)))))))"),"Step 1: Navigate to the product detail page
Step 2: Scroll down the page
Step 3: Check and confirm that the voucher name is displayed correctly in size, color, and position")</f>
        <v>Step 1: Navigate to the product detail page
Step 2: Scroll down the page
Step 3: Check and confirm that the voucher name is displayed correctly in size, color, and position</v>
      </c>
      <c r="L20" s="34"/>
      <c r="M20" s="31" t="s">
        <v>1133</v>
      </c>
      <c r="N20" s="31"/>
      <c r="O20" s="12" t="s">
        <v>2</v>
      </c>
      <c r="P20" s="32"/>
    </row>
    <row r="21">
      <c r="A21" s="28"/>
      <c r="B21" s="28"/>
      <c r="C21" s="28"/>
      <c r="D21" s="28"/>
      <c r="E21" s="18"/>
      <c r="F21" s="12" t="s">
        <v>1134</v>
      </c>
      <c r="G21" s="12"/>
      <c r="H21" s="12" t="s">
        <v>1135</v>
      </c>
      <c r="I21" s="12" t="s">
        <v>1062</v>
      </c>
      <c r="J21" s="12" t="s">
        <v>1136</v>
      </c>
      <c r="K21" s="13" t="str">
        <f>IFERROR(__xludf.DUMMYFUNCTION("IF(ISBLANK(J21), ""Input test step"", ARRAYFORMULA(TEXTJOIN(CHAR(10), TRUE, (""Step ""&amp; ROW(INDIRECT(""1:"" &amp; COUNTA(SPLIT(J21, CHAR(10))))) &amp; "": "" &amp; TRANSPOSE(SPLIT(J21, CHAR(10)))))))"),"Step 1: Navigate to the product detail page
Step 2: Scroll down the page
Step 3: Check and confirm that the voucher expiry date text is displayed correctly in size, color, and position")</f>
        <v>Step 1: Navigate to the product detail page
Step 2: Scroll down the page
Step 3: Check and confirm that the voucher expiry date text is displayed correctly in size, color, and position</v>
      </c>
      <c r="L21" s="34"/>
      <c r="M21" s="31" t="s">
        <v>1137</v>
      </c>
      <c r="N21" s="31"/>
      <c r="O21" s="12" t="s">
        <v>2</v>
      </c>
      <c r="P21" s="32"/>
    </row>
    <row r="22">
      <c r="C22" s="35"/>
      <c r="D22" s="35"/>
      <c r="E22" s="18"/>
      <c r="F22" s="12" t="s">
        <v>1138</v>
      </c>
      <c r="G22" s="12"/>
      <c r="H22" s="12" t="s">
        <v>1139</v>
      </c>
      <c r="I22" s="12" t="s">
        <v>1062</v>
      </c>
      <c r="J22" s="12" t="s">
        <v>1140</v>
      </c>
      <c r="K22" s="13" t="str">
        <f>IFERROR(__xludf.DUMMYFUNCTION("IF(ISBLANK(J22), ""Input test step"", ARRAYFORMULA(TEXTJOIN(CHAR(10), TRUE, (""Step ""&amp; ROW(INDIRECT(""1:"" &amp; COUNTA(SPLIT(J22, CHAR(10))))) &amp; "": "" &amp; TRANSPOSE(SPLIT(J22, CHAR(10)))))))"),"Step 1: Navigate to the product detail page
Step 2: Scroll down the page
Step 3: Check and confirm the color display of the discount percentage display area and the discount text display area")</f>
        <v>Step 1: Navigate to the product detail page
Step 2: Scroll down the page
Step 3: Check and confirm the color display of the discount percentage display area and the discount text display area</v>
      </c>
      <c r="L22" s="34"/>
      <c r="M22" s="31" t="s">
        <v>1141</v>
      </c>
      <c r="N22" s="31"/>
      <c r="O22" s="12" t="s">
        <v>1</v>
      </c>
      <c r="P22" s="32"/>
    </row>
    <row r="23">
      <c r="A23" s="35"/>
      <c r="B23" s="35"/>
      <c r="C23" s="35"/>
      <c r="D23" s="35"/>
      <c r="E23" s="18"/>
      <c r="F23" s="12" t="s">
        <v>1142</v>
      </c>
      <c r="G23" s="12"/>
      <c r="H23" s="12" t="s">
        <v>1143</v>
      </c>
      <c r="I23" s="12" t="s">
        <v>1062</v>
      </c>
      <c r="J23" s="12" t="s">
        <v>1144</v>
      </c>
      <c r="K23" s="13" t="str">
        <f>IFERROR(__xludf.DUMMYFUNCTION("IF(ISBLANK(J23), ""Input test step"", ARRAYFORMULA(TEXTJOIN(CHAR(10), TRUE, (""Step ""&amp; ROW(INDIRECT(""1:"" &amp; COUNTA(SPLIT(J23, CHAR(10))))) &amp; "": "" &amp; TRANSPOSE(SPLIT(J23, CHAR(10)))))))"),"Step 1: Navigate to the product detail page
Step 2: Scroll down the page
Step 3: Check and confirm that the ""See all"" text link is displayed in the correct size, color, and position")</f>
        <v>Step 1: Navigate to the product detail page
Step 2: Scroll down the page
Step 3: Check and confirm that the "See all" text link is displayed in the correct size, color, and position</v>
      </c>
      <c r="L23" s="34"/>
      <c r="M23" s="12" t="s">
        <v>1145</v>
      </c>
      <c r="N23" s="12"/>
      <c r="O23" s="12" t="s">
        <v>1</v>
      </c>
      <c r="P23" s="32"/>
    </row>
    <row r="24">
      <c r="A24" s="35"/>
      <c r="B24" s="35"/>
      <c r="C24" s="35"/>
      <c r="D24" s="35"/>
      <c r="E24" s="18"/>
      <c r="F24" s="12" t="s">
        <v>1146</v>
      </c>
      <c r="G24" s="12"/>
      <c r="H24" s="12" t="s">
        <v>1147</v>
      </c>
      <c r="I24" s="12" t="s">
        <v>1062</v>
      </c>
      <c r="J24" s="12" t="s">
        <v>1148</v>
      </c>
      <c r="K24" s="13" t="str">
        <f>IFERROR(__xludf.DUMMYFUNCTION("IF(ISBLANK(J24), ""Input test step"", ARRAYFORMULA(TEXTJOIN(CHAR(10), TRUE, (""Step ""&amp; ROW(INDIRECT(""1:"" &amp; COUNTA(SPLIT(J24, CHAR(10))))) &amp; "": "" &amp; TRANSPOSE(SPLIT(J24, CHAR(10)))))))"),"Step 1: Navigate to the product detail page
Step 2: Scroll down the page
Step 3: Check and confirm that the ""Related Products"" title is displayed in the correct size, color, and position")</f>
        <v>Step 1: Navigate to the product detail page
Step 2: Scroll down the page
Step 3: Check and confirm that the "Related Products" title is displayed in the correct size, color, and position</v>
      </c>
      <c r="L24" s="34"/>
      <c r="M24" s="12" t="s">
        <v>1149</v>
      </c>
      <c r="N24" s="12"/>
      <c r="O24" s="12" t="s">
        <v>1</v>
      </c>
      <c r="P24" s="32"/>
    </row>
    <row r="25">
      <c r="A25" s="36"/>
      <c r="B25" s="36"/>
      <c r="C25" s="36"/>
      <c r="D25" s="36"/>
      <c r="E25" s="27"/>
      <c r="F25" s="12" t="s">
        <v>1150</v>
      </c>
      <c r="G25" s="12"/>
      <c r="H25" s="12" t="s">
        <v>1151</v>
      </c>
      <c r="I25" s="12" t="s">
        <v>1062</v>
      </c>
      <c r="J25" s="12" t="s">
        <v>1152</v>
      </c>
      <c r="K25" s="13" t="str">
        <f>IFERROR(__xludf.DUMMYFUNCTION("IF(ISBLANK(J25), ""Input test step"", ARRAYFORMULA(TEXTJOIN(CHAR(10), TRUE, (""Step ""&amp; ROW(INDIRECT(""1:"" &amp; COUNTA(SPLIT(J25, CHAR(10))))) &amp; "": "" &amp; TRANSPOSE(SPLIT(J25, CHAR(10)))))))"),"Step 1: Navigate to the product detail page
Step 2: Scroll down the page
Step 3: Check and confitm the product list is displayed in the correct size and position ")</f>
        <v>Step 1: Navigate to the product detail page
Step 2: Scroll down the page
Step 3: Check and confitm the product list is displayed in the correct size and position </v>
      </c>
      <c r="L25" s="14"/>
      <c r="M25" s="12" t="s">
        <v>1153</v>
      </c>
      <c r="N25" s="12"/>
      <c r="O25" s="12" t="s">
        <v>1</v>
      </c>
      <c r="P25" s="32"/>
    </row>
    <row r="26">
      <c r="A26" s="36"/>
      <c r="B26" s="36"/>
      <c r="C26" s="36"/>
      <c r="D26" s="36"/>
      <c r="E26" s="27"/>
      <c r="F26" s="12" t="s">
        <v>1154</v>
      </c>
      <c r="G26" s="12"/>
      <c r="H26" s="12" t="s">
        <v>1155</v>
      </c>
      <c r="I26" s="12" t="s">
        <v>1062</v>
      </c>
      <c r="J26" s="12" t="s">
        <v>1156</v>
      </c>
      <c r="K26" s="13" t="str">
        <f>IFERROR(__xludf.DUMMYFUNCTION("IF(ISBLANK(J26), ""Input test step"", ARRAYFORMULA(TEXTJOIN(CHAR(10), TRUE, (""Step ""&amp; ROW(INDIRECT(""1:"" &amp; COUNTA(SPLIT(J26, CHAR(10))))) &amp; "": "" &amp; TRANSPOSE(SPLIT(J26, CHAR(10)))))))"),"Step 1: Navigate to the product detail page
Step 2: Sroll dơn the page
Step 3: Check the position of each product is correct (Size, posotion)")</f>
        <v>Step 1: Navigate to the product detail page
Step 2: Sroll dơn the page
Step 3: Check the position of each product is correct (Size, posotion)</v>
      </c>
      <c r="L26" s="14"/>
      <c r="M26" s="12" t="s">
        <v>1157</v>
      </c>
      <c r="N26" s="12"/>
      <c r="O26" s="12" t="s">
        <v>1</v>
      </c>
      <c r="P26" s="32"/>
    </row>
    <row r="27">
      <c r="A27" s="37"/>
      <c r="B27" s="37"/>
      <c r="C27" s="37"/>
      <c r="D27" s="37"/>
      <c r="E27" s="37"/>
      <c r="F27" s="12" t="s">
        <v>1158</v>
      </c>
      <c r="G27" s="12"/>
      <c r="H27" s="12" t="s">
        <v>1159</v>
      </c>
      <c r="I27" s="12" t="s">
        <v>1062</v>
      </c>
      <c r="J27" s="12" t="s">
        <v>1160</v>
      </c>
      <c r="K27" s="13" t="str">
        <f>IFERROR(__xludf.DUMMYFUNCTION("IF(ISBLANK(J27), ""Input test step"", ARRAYFORMULA(TEXTJOIN(CHAR(10), TRUE, (""Step ""&amp; ROW(INDIRECT(""1:"" &amp; COUNTA(SPLIT(J27, CHAR(10))))) &amp; "": "" &amp; TRANSPOSE(SPLIT(J27, CHAR(10)))))))"),"Step 1: Navigate to product detail page
Step 2: Scroll down the page
Step 3: Check and confirm the ability to scroll down or up of the related product list")</f>
        <v>Step 1: Navigate to product detail page
Step 2: Scroll down the page
Step 3: Check and confirm the ability to scroll down or up of the related product list</v>
      </c>
      <c r="L27" s="14"/>
      <c r="M27" s="39" t="s">
        <v>1161</v>
      </c>
      <c r="N27" s="12"/>
      <c r="O27" s="12" t="s">
        <v>1</v>
      </c>
      <c r="P27" s="38"/>
    </row>
    <row r="28">
      <c r="A28" s="37"/>
      <c r="B28" s="37"/>
      <c r="C28" s="37"/>
      <c r="D28" s="37"/>
      <c r="E28" s="37"/>
      <c r="F28" s="12" t="s">
        <v>1162</v>
      </c>
      <c r="G28" s="12"/>
      <c r="H28" s="12" t="s">
        <v>1163</v>
      </c>
      <c r="I28" s="12" t="s">
        <v>1062</v>
      </c>
      <c r="J28" s="12" t="s">
        <v>1164</v>
      </c>
      <c r="K28" s="13" t="str">
        <f>IFERROR(__xludf.DUMMYFUNCTION("IF(ISBLANK(J28), ""Input test step"", ARRAYFORMULA(TEXTJOIN(CHAR(10), TRUE, (""Step ""&amp; ROW(INDIRECT(""1:"" &amp; COUNTA(SPLIT(J28, CHAR(10))))) &amp; "": "" &amp; TRANSPOSE(SPLIT(J28, CHAR(10)))))))"),"Step 1: Navigate to the product detail page
Step 2: Scroll down the page
Step 3: Check and confirm that the distance between product display areas is displays correctly")</f>
        <v>Step 1: Navigate to the product detail page
Step 2: Scroll down the page
Step 3: Check and confirm that the distance between product display areas is displays correctly</v>
      </c>
      <c r="L28" s="14"/>
      <c r="M28" s="21" t="s">
        <v>1165</v>
      </c>
      <c r="N28" s="22"/>
      <c r="O28" s="12" t="s">
        <v>1</v>
      </c>
      <c r="P28" s="38"/>
    </row>
    <row r="29">
      <c r="A29" s="37"/>
      <c r="B29" s="37"/>
      <c r="C29" s="37"/>
      <c r="D29" s="37"/>
      <c r="E29" s="37"/>
      <c r="F29" s="12" t="s">
        <v>1166</v>
      </c>
      <c r="G29" s="12"/>
      <c r="H29" s="12" t="s">
        <v>1167</v>
      </c>
      <c r="I29" s="12" t="s">
        <v>1062</v>
      </c>
      <c r="J29" s="12" t="s">
        <v>1168</v>
      </c>
      <c r="K29" s="13" t="str">
        <f>IFERROR(__xludf.DUMMYFUNCTION("IF(ISBLANK(J29), ""Input test step"", ARRAYFORMULA(TEXTJOIN(CHAR(10), TRUE, (""Step ""&amp; ROW(INDIRECT(""1:"" &amp; COUNTA(SPLIT(J29, CHAR(10))))) &amp; "": "" &amp; TRANSPOSE(SPLIT(J29, CHAR(10)))))))"),"Step 1: Navigate to the product detail page
Step 2: Scroll down the page
Step 3: Check and confirm that the correct size, color, display area, and position of the percentage discount displayed on each product is displayed")</f>
        <v>Step 1: Navigate to the product detail page
Step 2: Scroll down the page
Step 3: Check and confirm that the correct size, color, display area, and position of the percentage discount displayed on each product is displayed</v>
      </c>
      <c r="L29" s="14"/>
      <c r="M29" s="12" t="s">
        <v>1169</v>
      </c>
      <c r="N29" s="12"/>
      <c r="O29" s="12" t="s">
        <v>2</v>
      </c>
      <c r="P29" s="38"/>
    </row>
    <row r="30">
      <c r="A30" s="37"/>
      <c r="B30" s="37"/>
      <c r="C30" s="37"/>
      <c r="D30" s="37"/>
      <c r="E30" s="37"/>
      <c r="F30" s="12" t="s">
        <v>1170</v>
      </c>
      <c r="G30" s="12"/>
      <c r="H30" s="12" t="s">
        <v>1171</v>
      </c>
      <c r="I30" s="12" t="s">
        <v>1062</v>
      </c>
      <c r="J30" s="12" t="s">
        <v>1172</v>
      </c>
      <c r="K30" s="13" t="str">
        <f>IFERROR(__xludf.DUMMYFUNCTION("IF(ISBLANK(J30), ""Input test step"", ARRAYFORMULA(TEXTJOIN(CHAR(10), TRUE, (""Step ""&amp; ROW(INDIRECT(""1:"" &amp; COUNTA(SPLIT(J30, CHAR(10))))) &amp; "": "" &amp; TRANSPOSE(SPLIT(J30, CHAR(10)))))))"),"Step 1: Navigate to product detail page
Step 2: Scroll down the page
Step 3: Check and confirm correct size, color when not favorited and good clickability")</f>
        <v>Step 1: Navigate to product detail page
Step 2: Scroll down the page
Step 3: Check and confirm correct size, color when not favorited and good clickability</v>
      </c>
      <c r="L30" s="14"/>
      <c r="M30" s="12" t="s">
        <v>1173</v>
      </c>
      <c r="N30" s="12"/>
      <c r="O30" s="12" t="s">
        <v>1</v>
      </c>
      <c r="P30" s="38"/>
    </row>
    <row r="31">
      <c r="A31" s="37"/>
      <c r="B31" s="37"/>
      <c r="C31" s="37"/>
      <c r="D31" s="37"/>
      <c r="E31" s="37"/>
      <c r="F31" s="12" t="s">
        <v>1174</v>
      </c>
      <c r="G31" s="12"/>
      <c r="H31" s="12" t="s">
        <v>1175</v>
      </c>
      <c r="I31" s="12" t="s">
        <v>1062</v>
      </c>
      <c r="J31" s="12" t="s">
        <v>1176</v>
      </c>
      <c r="K31" s="13" t="str">
        <f>IFERROR(__xludf.DUMMYFUNCTION("IF(ISBLANK(J31), ""Input test step"", ARRAYFORMULA(TEXTJOIN(CHAR(10), TRUE, (""Step ""&amp; ROW(INDIRECT(""1:"" &amp; COUNTA(SPLIT(J31, CHAR(10))))) &amp; "": "" &amp; TRANSPOSE(SPLIT(J31, CHAR(10)))))))"),"Step 1: Navigate to the product detail page
Step 2: Scroll down the page
Step 3: Check and confirm that the product image is displayed correctly in size, background color, and position")</f>
        <v>Step 1: Navigate to the product detail page
Step 2: Scroll down the page
Step 3: Check and confirm that the product image is displayed correctly in size, background color, and position</v>
      </c>
      <c r="L31" s="14"/>
      <c r="M31" s="12" t="s">
        <v>1177</v>
      </c>
      <c r="N31" s="12"/>
      <c r="O31" s="12" t="s">
        <v>2</v>
      </c>
      <c r="P31" s="38"/>
    </row>
    <row r="32">
      <c r="A32" s="37"/>
      <c r="B32" s="37"/>
      <c r="C32" s="37"/>
      <c r="D32" s="37"/>
      <c r="E32" s="37"/>
      <c r="F32" s="12" t="s">
        <v>1178</v>
      </c>
      <c r="G32" s="12"/>
      <c r="H32" s="12" t="s">
        <v>1179</v>
      </c>
      <c r="I32" s="12" t="s">
        <v>1062</v>
      </c>
      <c r="J32" s="12" t="s">
        <v>1180</v>
      </c>
      <c r="K32" s="13" t="str">
        <f>IFERROR(__xludf.DUMMYFUNCTION("IF(ISBLANK(J32), ""Input test step"", ARRAYFORMULA(TEXTJOIN(CHAR(10), TRUE, (""Step ""&amp; ROW(INDIRECT(""1:"" &amp; COUNTA(SPLIT(J32, CHAR(10))))) &amp; "": "" &amp; TRANSPOSE(SPLIT(J32, CHAR(10)))))))"),"Step 1: Navigate to the product detail page
Step 2: Scroll down the page
Step 3: Check and confirm that the product name is displayed correctly in size, color, and position")</f>
        <v>Step 1: Navigate to the product detail page
Step 2: Scroll down the page
Step 3: Check and confirm that the product name is displayed correctly in size, color, and position</v>
      </c>
      <c r="L32" s="14"/>
      <c r="M32" s="12" t="s">
        <v>1181</v>
      </c>
      <c r="N32" s="12"/>
      <c r="O32" s="12" t="s">
        <v>1</v>
      </c>
      <c r="P32" s="38"/>
    </row>
    <row r="33">
      <c r="A33" s="37"/>
      <c r="B33" s="37"/>
      <c r="C33" s="37"/>
      <c r="D33" s="37"/>
      <c r="E33" s="37"/>
      <c r="F33" s="12" t="s">
        <v>1182</v>
      </c>
      <c r="G33" s="12"/>
      <c r="H33" s="12" t="s">
        <v>1183</v>
      </c>
      <c r="I33" s="12" t="s">
        <v>1062</v>
      </c>
      <c r="J33" s="12" t="s">
        <v>1184</v>
      </c>
      <c r="K33" s="13" t="str">
        <f>IFERROR(__xludf.DUMMYFUNCTION("IF(ISBLANK(J33), ""Input test step"", ARRAYFORMULA(TEXTJOIN(CHAR(10), TRUE, (""Step ""&amp; ROW(INDIRECT(""1:"" &amp; COUNTA(SPLIT(J33, CHAR(10))))) &amp; "": "" &amp; TRANSPOSE(SPLIT(J33, CHAR(10)))))))"),"Step 1: Navigate to the product detail page
Step 2: Scroll down the page
Step 3: Check and confirm that the product brand size, color, and position are correct")</f>
        <v>Step 1: Navigate to the product detail page
Step 2: Scroll down the page
Step 3: Check and confirm that the product brand size, color, and position are correct</v>
      </c>
      <c r="L33" s="14"/>
      <c r="M33" s="12" t="s">
        <v>1185</v>
      </c>
      <c r="N33" s="12"/>
      <c r="O33" s="12" t="s">
        <v>1</v>
      </c>
      <c r="P33" s="38"/>
    </row>
    <row r="34">
      <c r="A34" s="37"/>
      <c r="B34" s="37"/>
      <c r="C34" s="37"/>
      <c r="D34" s="37"/>
      <c r="E34" s="37"/>
      <c r="F34" s="12" t="s">
        <v>1186</v>
      </c>
      <c r="G34" s="12"/>
      <c r="H34" s="12" t="s">
        <v>1187</v>
      </c>
      <c r="I34" s="12" t="s">
        <v>1062</v>
      </c>
      <c r="J34" s="12" t="s">
        <v>1188</v>
      </c>
      <c r="K34" s="13" t="str">
        <f>IFERROR(__xludf.DUMMYFUNCTION("IF(ISBLANK(J34), ""Input test step"", ARRAYFORMULA(TEXTJOIN(CHAR(10), TRUE, (""Step ""&amp; ROW(INDIRECT(""1:"" &amp; COUNTA(SPLIT(J34, CHAR(10))))) &amp; "": "" &amp; TRANSPOSE(SPLIT(J34, CHAR(10)))))))"),"Step 1: Navigate to the product detail page
Step 2: Scroll down the page
Step 3: Check and confirm that the product price is displayed in the correct size, position, format, and color")</f>
        <v>Step 1: Navigate to the product detail page
Step 2: Scroll down the page
Step 3: Check and confirm that the product price is displayed in the correct size, position, format, and color</v>
      </c>
      <c r="L34" s="14"/>
      <c r="M34" s="12" t="s">
        <v>1189</v>
      </c>
      <c r="N34" s="12"/>
      <c r="O34" s="12" t="s">
        <v>1</v>
      </c>
      <c r="P34" s="38"/>
    </row>
    <row r="35">
      <c r="A35" s="37"/>
      <c r="B35" s="37"/>
      <c r="C35" s="37"/>
      <c r="D35" s="37"/>
      <c r="E35" s="37"/>
      <c r="F35" s="12"/>
      <c r="G35" s="12"/>
      <c r="H35" s="12" t="s">
        <v>1190</v>
      </c>
      <c r="I35" s="12"/>
      <c r="J35" s="12"/>
      <c r="K35" s="13"/>
      <c r="L35" s="14"/>
      <c r="M35" s="12"/>
      <c r="N35" s="12"/>
      <c r="O35" s="12" t="s">
        <v>2</v>
      </c>
      <c r="P35" s="38"/>
    </row>
    <row r="36">
      <c r="A36" s="37"/>
      <c r="B36" s="37"/>
      <c r="C36" s="37"/>
      <c r="D36" s="37"/>
      <c r="E36" s="37"/>
      <c r="F36" s="12" t="s">
        <v>1191</v>
      </c>
      <c r="G36" s="12"/>
      <c r="H36" s="12" t="s">
        <v>1192</v>
      </c>
      <c r="I36" s="12" t="s">
        <v>1062</v>
      </c>
      <c r="J36" s="12" t="s">
        <v>1193</v>
      </c>
      <c r="K36" s="13" t="str">
        <f>IFERROR(__xludf.DUMMYFUNCTION("IF(ISBLANK(J36), ""Input test step"", ARRAYFORMULA(TEXTJOIN(CHAR(10), TRUE, (""Step ""&amp; ROW(INDIRECT(""1:"" &amp; COUNTA(SPLIT(J36, CHAR(10))))) &amp; "": "" &amp; TRANSPOSE(SPLIT(J36, CHAR(10)))))))"),"Step 1: Navigate to the product detail page
Step 2: Scroll down the page
Step 3: Check and confirm that the product cart icon image, size, background color and position are displayed correctly")</f>
        <v>Step 1: Navigate to the product detail page
Step 2: Scroll down the page
Step 3: Check and confirm that the product cart icon image, size, background color and position are displayed correctly</v>
      </c>
      <c r="L36" s="14"/>
      <c r="M36" s="12" t="s">
        <v>1194</v>
      </c>
      <c r="N36" s="12"/>
      <c r="O36" s="12" t="s">
        <v>1</v>
      </c>
      <c r="P36" s="38"/>
    </row>
    <row r="37">
      <c r="A37" s="37"/>
      <c r="B37" s="37"/>
      <c r="C37" s="37"/>
      <c r="D37" s="37"/>
      <c r="E37" s="37"/>
      <c r="F37" s="12" t="s">
        <v>1195</v>
      </c>
      <c r="G37" s="12"/>
      <c r="H37" s="12" t="s">
        <v>1196</v>
      </c>
      <c r="I37" s="12" t="s">
        <v>1062</v>
      </c>
      <c r="J37" s="12" t="s">
        <v>1197</v>
      </c>
      <c r="K37" s="13" t="str">
        <f>IFERROR(__xludf.DUMMYFUNCTION("IF(ISBLANK(J37), ""Input test step"", ARRAYFORMULA(TEXTJOIN(CHAR(10), TRUE, (""Step ""&amp; ROW(INDIRECT(""1:"" &amp; COUNTA(SPLIT(J37, CHAR(10))))) &amp; "": "" &amp; TRANSPOSE(SPLIT(J37, CHAR(10)))))))"),"Step 1: Navigate to the product detail page
Step 2: Scroll down the page
Step 3: Check and confirm the correct position, size, background color, text color, button border, and icon in the ""Add to Cart"" button")</f>
        <v>Step 1: Navigate to the product detail page
Step 2: Scroll down the page
Step 3: Check and confirm the correct position, size, background color, text color, button border, and icon in the "Add to Cart" button</v>
      </c>
      <c r="L37" s="14"/>
      <c r="M37" s="12" t="s">
        <v>1198</v>
      </c>
      <c r="N37" s="12"/>
      <c r="O37" s="12" t="s">
        <v>2</v>
      </c>
      <c r="P37" s="38"/>
    </row>
    <row r="38">
      <c r="A38" s="37"/>
      <c r="B38" s="37"/>
      <c r="C38" s="37"/>
      <c r="D38" s="37"/>
      <c r="E38" s="37"/>
      <c r="F38" s="12" t="s">
        <v>1199</v>
      </c>
      <c r="G38" s="12"/>
      <c r="H38" s="12" t="s">
        <v>1200</v>
      </c>
      <c r="I38" s="12" t="s">
        <v>1062</v>
      </c>
      <c r="J38" s="12" t="s">
        <v>1201</v>
      </c>
      <c r="K38" s="13" t="str">
        <f>IFERROR(__xludf.DUMMYFUNCTION("IF(ISBLANK(J38), ""Input test step"", ARRAYFORMULA(TEXTJOIN(CHAR(10), TRUE, (""Step ""&amp; ROW(INDIRECT(""1:"" &amp; COUNTA(SPLIT(J38, CHAR(10))))) &amp; "": "" &amp; TRANSPOSE(SPLIT(J38, CHAR(10)))))))"),"Step 1: Navigate to the product detail page
Step 2: Scroll down the page
Step 3: Check and confirm the correct position, size, background color, text color, button border, and icon in the button of the ""Buy Now"" button")</f>
        <v>Step 1: Navigate to the product detail page
Step 2: Scroll down the page
Step 3: Check and confirm the correct position, size, background color, text color, button border, and icon in the button of the "Buy Now" button</v>
      </c>
      <c r="L38" s="14"/>
      <c r="M38" s="12" t="s">
        <v>1202</v>
      </c>
      <c r="N38" s="12"/>
      <c r="O38" s="12" t="s">
        <v>2</v>
      </c>
      <c r="P38" s="38"/>
    </row>
    <row r="39">
      <c r="A39" s="37"/>
      <c r="B39" s="37"/>
      <c r="C39" s="37"/>
      <c r="D39" s="37"/>
      <c r="E39" s="37"/>
      <c r="F39" s="12" t="s">
        <v>1203</v>
      </c>
      <c r="G39" s="12"/>
      <c r="H39" s="12" t="s">
        <v>1204</v>
      </c>
      <c r="I39" s="12" t="s">
        <v>1062</v>
      </c>
      <c r="J39" s="12" t="s">
        <v>1205</v>
      </c>
      <c r="K39" s="13" t="str">
        <f>IFERROR(__xludf.DUMMYFUNCTION("IF(ISBLANK(J39), ""Input test step"", ARRAYFORMULA(TEXTJOIN(CHAR(10), TRUE, (""Step ""&amp; ROW(INDIRECT(""1:"" &amp; COUNTA(SPLIT(J39, CHAR(10))))) &amp; "": "" &amp; TRANSPOSE(SPLIT(J39, CHAR(10)))))))"),"Step 1: Navigate to the product detail page
Step 2: Scroll down the page
Step 3: Check and confirm the correct position, size, background color, text color, button border, and icon in the ""Back"" button")</f>
        <v>Step 1: Navigate to the product detail page
Step 2: Scroll down the page
Step 3: Check and confirm the correct position, size, background color, text color, button border, and icon in the "Back" button</v>
      </c>
      <c r="L39" s="14"/>
      <c r="M39" s="12" t="s">
        <v>1206</v>
      </c>
      <c r="N39" s="12"/>
      <c r="O39" s="12" t="s">
        <v>1</v>
      </c>
      <c r="P39" s="38"/>
    </row>
    <row r="40">
      <c r="A40" s="37"/>
      <c r="B40" s="37"/>
      <c r="C40" s="37"/>
      <c r="D40" s="37"/>
      <c r="E40" s="37"/>
      <c r="F40" s="12" t="s">
        <v>1207</v>
      </c>
      <c r="G40" s="12"/>
      <c r="H40" s="12" t="s">
        <v>1208</v>
      </c>
      <c r="I40" s="12" t="s">
        <v>1062</v>
      </c>
      <c r="J40" s="12" t="s">
        <v>1209</v>
      </c>
      <c r="K40" s="13" t="str">
        <f>IFERROR(__xludf.DUMMYFUNCTION("IF(ISBLANK(J40), ""Input test step"", ARRAYFORMULA(TEXTJOIN(CHAR(10), TRUE, (""Step ""&amp; ROW(INDIRECT(""1:"" &amp; COUNTA(SPLIT(J40, CHAR(10))))) &amp; "": "" &amp; TRANSPOSE(SPLIT(J40, CHAR(10)))))))"),"Step 1: Navigate to the product detail page
Step 2: Click the share icon
Step 3: Check the ""Share"" dialog box displays")</f>
        <v>Step 1: Navigate to the product detail page
Step 2: Click the share icon
Step 3: Check the "Share" dialog box displays</v>
      </c>
      <c r="L40" s="14"/>
      <c r="M40" s="12" t="s">
        <v>1210</v>
      </c>
      <c r="N40" s="12"/>
      <c r="O40" s="12"/>
      <c r="P40" s="38"/>
    </row>
    <row r="41">
      <c r="A41" s="37"/>
      <c r="B41" s="37"/>
      <c r="C41" s="37"/>
      <c r="D41" s="37"/>
      <c r="E41" s="37"/>
      <c r="F41" s="12" t="s">
        <v>1211</v>
      </c>
      <c r="G41" s="12"/>
      <c r="H41" s="12" t="s">
        <v>1212</v>
      </c>
      <c r="I41" s="12" t="s">
        <v>1062</v>
      </c>
      <c r="J41" s="12" t="s">
        <v>1213</v>
      </c>
      <c r="K41" s="13" t="str">
        <f>IFERROR(__xludf.DUMMYFUNCTION("IF(ISBLANK(J41), ""Input test step"", ARRAYFORMULA(TEXTJOIN(CHAR(10), TRUE, (""Step ""&amp; ROW(INDIRECT(""1:"" &amp; COUNTA(SPLIT(J41, CHAR(10))))) &amp; "": "" &amp; TRANSPOSE(SPLIT(J41, CHAR(10)))))))"),"Step 1: Navigate to the product detail page
Step 2: Click the share icon
Step 3: Check the title ""Share with friends and family"" is displayed")</f>
        <v>Step 1: Navigate to the product detail page
Step 2: Click the share icon
Step 3: Check the title "Share with friends and family" is displayed</v>
      </c>
      <c r="L41" s="14"/>
      <c r="M41" s="12" t="s">
        <v>1214</v>
      </c>
      <c r="N41" s="12"/>
      <c r="O41" s="12" t="s">
        <v>2</v>
      </c>
      <c r="P41" s="38"/>
    </row>
    <row r="42">
      <c r="A42" s="37"/>
      <c r="B42" s="37"/>
      <c r="C42" s="37"/>
      <c r="D42" s="37"/>
      <c r="E42" s="37"/>
      <c r="F42" s="12" t="s">
        <v>1215</v>
      </c>
      <c r="G42" s="12"/>
      <c r="H42" s="12" t="s">
        <v>1216</v>
      </c>
      <c r="I42" s="12" t="s">
        <v>1062</v>
      </c>
      <c r="J42" s="12" t="s">
        <v>1217</v>
      </c>
      <c r="K42" s="13" t="str">
        <f>IFERROR(__xludf.DUMMYFUNCTION("IF(ISBLANK(J42), ""Input test step"", ARRAYFORMULA(TEXTJOIN(CHAR(10), TRUE, (""Step ""&amp; ROW(INDIRECT(""1:"" &amp; COUNTA(SPLIT(J42, CHAR(10))))) &amp; "": "" &amp; TRANSPOSE(SPLIT(J42, CHAR(10)))))))"),"Step 1: Navigate to the product detail page
Step 2: Click the share icon
Step 3: Check to see the ""Copy link"" title and copy icon")</f>
        <v>Step 1: Navigate to the product detail page
Step 2: Click the share icon
Step 3: Check to see the "Copy link" title and copy icon</v>
      </c>
      <c r="L42" s="14"/>
      <c r="M42" s="12" t="s">
        <v>1218</v>
      </c>
      <c r="N42" s="12"/>
      <c r="O42" s="12" t="s">
        <v>2</v>
      </c>
      <c r="P42" s="38"/>
    </row>
    <row r="43">
      <c r="A43" s="37"/>
      <c r="B43" s="37"/>
      <c r="C43" s="37"/>
      <c r="D43" s="37"/>
      <c r="E43" s="37"/>
      <c r="F43" s="12" t="s">
        <v>1219</v>
      </c>
      <c r="G43" s="12"/>
      <c r="H43" s="12" t="s">
        <v>1220</v>
      </c>
      <c r="I43" s="12" t="s">
        <v>1062</v>
      </c>
      <c r="J43" s="12" t="s">
        <v>1221</v>
      </c>
      <c r="K43" s="13" t="str">
        <f>IFERROR(__xludf.DUMMYFUNCTION("IF(ISBLANK(J43), ""Input test step"", ARRAYFORMULA(TEXTJOIN(CHAR(10), TRUE, (""Step ""&amp; ROW(INDIRECT(""1:"" &amp; COUNTA(SPLIT(J43, CHAR(10))))) &amp; "": "" &amp; TRANSPOSE(SPLIT(J43, CHAR(10)))))))"),"Step 1: Navigate to the product detail page
Step 2: Click the ""Share"" icon
Step 3: Check that the title ""Save Image"" is displayed correctly")</f>
        <v>Step 1: Navigate to the product detail page
Step 2: Click the "Share" icon
Step 3: Check that the title "Save Image" is displayed correctly</v>
      </c>
      <c r="L43" s="14"/>
      <c r="M43" s="12" t="s">
        <v>1222</v>
      </c>
      <c r="N43" s="12"/>
      <c r="O43" s="12" t="s">
        <v>2</v>
      </c>
      <c r="P43" s="38"/>
    </row>
    <row r="44">
      <c r="A44" s="37"/>
      <c r="B44" s="37"/>
      <c r="C44" s="37"/>
      <c r="D44" s="37"/>
      <c r="E44" s="37"/>
      <c r="F44" s="12" t="s">
        <v>1223</v>
      </c>
      <c r="G44" s="12"/>
      <c r="H44" s="12" t="s">
        <v>1224</v>
      </c>
      <c r="I44" s="12" t="s">
        <v>1062</v>
      </c>
      <c r="J44" s="12" t="s">
        <v>1225</v>
      </c>
      <c r="K44" s="13" t="str">
        <f>IFERROR(__xludf.DUMMYFUNCTION("IF(ISBLANK(J44), ""Input test step"", ARRAYFORMULA(TEXTJOIN(CHAR(10), TRUE, (""Step ""&amp; ROW(INDIRECT(""1:"" &amp; COUNTA(SPLIT(J44, CHAR(10))))) &amp; "": "" &amp; TRANSPOSE(SPLIT(J44, CHAR(10)))))))"),"Step 1: Navigate to the product detail page
Step 2: Click on the share icon
Step 3: Check the correct placement of the apps displayed in the ""Share with friends and family"" dialog")</f>
        <v>Step 1: Navigate to the product detail page
Step 2: Click on the share icon
Step 3: Check the correct placement of the apps displayed in the "Share with friends and family" dialog</v>
      </c>
      <c r="L44" s="14"/>
      <c r="M44" s="12" t="s">
        <v>1226</v>
      </c>
      <c r="N44" s="12"/>
      <c r="O44" s="12" t="s">
        <v>2</v>
      </c>
      <c r="P44" s="38"/>
    </row>
    <row r="45">
      <c r="A45" s="37"/>
      <c r="B45" s="37"/>
      <c r="C45" s="37"/>
      <c r="D45" s="37"/>
      <c r="E45" s="37"/>
      <c r="F45" s="12" t="s">
        <v>1227</v>
      </c>
      <c r="G45" s="12"/>
      <c r="H45" s="12" t="s">
        <v>1228</v>
      </c>
      <c r="I45" s="12" t="s">
        <v>1062</v>
      </c>
      <c r="J45" s="12" t="s">
        <v>1229</v>
      </c>
      <c r="K45" s="13" t="str">
        <f>IFERROR(__xludf.DUMMYFUNCTION("IF(ISBLANK(J45), ""Input test step"", ARRAYFORMULA(TEXTJOIN(CHAR(10), TRUE, (""Step ""&amp; ROW(INDIRECT(""1:"" &amp; COUNTA(SPLIT(J45, CHAR(10))))) &amp; "": "" &amp; TRANSPOSE(SPLIT(J45, CHAR(10)))))))"),"Step 1: Navigate to product detail page
Step 2: Click on share icon
Step 3: Check the dialog box closes when clicking the ""Close"" icon")</f>
        <v>Step 1: Navigate to product detail page
Step 2: Click on share icon
Step 3: Check the dialog box closes when clicking the "Close" icon</v>
      </c>
      <c r="L45" s="14"/>
      <c r="M45" s="12" t="s">
        <v>1230</v>
      </c>
      <c r="N45" s="12"/>
      <c r="O45" s="12" t="s">
        <v>2</v>
      </c>
      <c r="P45" s="38"/>
    </row>
    <row r="46">
      <c r="A46" s="37"/>
      <c r="B46" s="37"/>
      <c r="C46" s="37"/>
      <c r="D46" s="37"/>
      <c r="E46" s="37"/>
      <c r="F46" s="12" t="s">
        <v>1231</v>
      </c>
      <c r="G46" s="12" t="s">
        <v>1232</v>
      </c>
      <c r="H46" s="12" t="s">
        <v>1233</v>
      </c>
      <c r="I46" s="12" t="s">
        <v>1062</v>
      </c>
      <c r="J46" s="12" t="s">
        <v>1234</v>
      </c>
      <c r="K46" s="13" t="str">
        <f>IFERROR(__xludf.DUMMYFUNCTION("IF(ISBLANK(J46), ""Input test step"", ARRAYFORMULA(TEXTJOIN(CHAR(10), TRUE, (""Step ""&amp; ROW(INDIRECT(""1:"" &amp; COUNTA(SPLIT(J46, CHAR(10))))) &amp; "": "" &amp; TRANSPOSE(SPLIT(J46, CHAR(10)))))))"),"Step 1: Navigate to the product detail page
Step 2: Click on the ""Favorites"" icon on the right of the image
Step 3: Check the color of the favorite icon changes to orange
Step 4: Return to the home page
Step 5: Click on the ""Personal"" button
Step"&amp;" 6: The system moves to the ""Personal Information"" page
Step 7: Click on the ""Favorites"" section
Step 8: The system navigates to the ""Favorites"" page
Step 9: Check and confirm that the product exists in the favorites list and is displayed with th"&amp;"e correct information")</f>
        <v>Step 1: Navigate to the product detail page
Step 2: Click on the "Favorites" icon on the right of the image
Step 3: Check the color of the favorite icon changes to orange
Step 4: Return to the home page
Step 5: Click on the "Personal" button
Step 6: The system moves to the "Personal Information" page
Step 7: Click on the "Favorites" section
Step 8: The system navigates to the "Favorites" page
Step 9: Check and confirm that the product exists in the favorites list and is displayed with the correct information</v>
      </c>
      <c r="L46" s="14"/>
      <c r="M46" s="12" t="s">
        <v>1235</v>
      </c>
      <c r="N46" s="12"/>
      <c r="O46" s="12"/>
      <c r="P46" s="38"/>
    </row>
    <row r="47">
      <c r="A47" s="37"/>
      <c r="B47" s="37"/>
      <c r="C47" s="37"/>
      <c r="D47" s="37"/>
      <c r="E47" s="37"/>
      <c r="F47" s="12" t="s">
        <v>1236</v>
      </c>
      <c r="G47" s="12"/>
      <c r="H47" s="12" t="s">
        <v>1237</v>
      </c>
      <c r="I47" s="12" t="s">
        <v>1062</v>
      </c>
      <c r="J47" s="12" t="s">
        <v>1238</v>
      </c>
      <c r="K47" s="13" t="str">
        <f>IFERROR(__xludf.DUMMYFUNCTION("IF(ISBLANK(J47), ""Input test step"", ARRAYFORMULA(TEXTJOIN(CHAR(10), TRUE, (""Step ""&amp; ROW(INDIRECT(""1:"" &amp; COUNTA(SPLIT(J47, CHAR(10))))) &amp; "": "" &amp; TRANSPOSE(SPLIT(J47, CHAR(10)))))))"),"Step 1: Navigate to the product detail page
Step 2: Check and confirm that the displayed price of the product is correct after applying the discount lower than the original price by the correct discount percentage by taking the original price minus the d"&amp;"iscount percentage of the original price to equal the displayed price.")</f>
        <v>Step 1: Navigate to the product detail page
Step 2: Check and confirm that the displayed price of the product is correct after applying the discount lower than the original price by the correct discount percentage by taking the original price minus the discount percentage of the original price to equal the displayed price.</v>
      </c>
      <c r="L47" s="14"/>
      <c r="M47" s="12" t="s">
        <v>1239</v>
      </c>
      <c r="N47" s="12"/>
      <c r="O47" s="12"/>
      <c r="P47" s="38"/>
    </row>
    <row r="48">
      <c r="A48" s="37"/>
      <c r="B48" s="37"/>
      <c r="C48" s="37"/>
      <c r="D48" s="37"/>
      <c r="E48" s="37"/>
      <c r="F48" s="12" t="s">
        <v>1240</v>
      </c>
      <c r="G48" s="12"/>
      <c r="H48" s="12" t="s">
        <v>1241</v>
      </c>
      <c r="I48" s="12" t="s">
        <v>1062</v>
      </c>
      <c r="J48" s="12" t="s">
        <v>1242</v>
      </c>
      <c r="K48" s="13" t="str">
        <f>IFERROR(__xludf.DUMMYFUNCTION("IF(ISBLANK(J48), ""Input test step"", ARRAYFORMULA(TEXTJOIN(CHAR(10), TRUE, (""Step ""&amp; ROW(INDIRECT(""1:"" &amp; COUNTA(SPLIT(J48, CHAR(10))))) &amp; "": "" &amp; TRANSPOSE(SPLIT(J48, CHAR(10)))))))"),"Step 1: Navigate to the product detail page
Step 2: Scroll horizontally through the list of images currently displayed and count the number of images displayed
Step 3: Check and confirm that the correct number of product images are displayed in the bott"&amp;"om right corner of the product")</f>
        <v>Step 1: Navigate to the product detail page
Step 2: Scroll horizontally through the list of images currently displayed and count the number of images displayed
Step 3: Check and confirm that the correct number of product images are displayed in the bottom right corner of the product</v>
      </c>
      <c r="L48" s="14"/>
      <c r="M48" s="12" t="s">
        <v>1243</v>
      </c>
      <c r="N48" s="12"/>
      <c r="O48" s="12"/>
      <c r="P48" s="38"/>
    </row>
    <row r="49">
      <c r="A49" s="37"/>
      <c r="B49" s="37"/>
      <c r="C49" s="37"/>
      <c r="D49" s="37"/>
      <c r="E49" s="37"/>
      <c r="F49" s="12" t="s">
        <v>1244</v>
      </c>
      <c r="G49" s="68"/>
      <c r="H49" s="51" t="s">
        <v>1245</v>
      </c>
      <c r="I49" s="12" t="s">
        <v>1062</v>
      </c>
      <c r="J49" s="51" t="s">
        <v>1246</v>
      </c>
      <c r="K49" s="69" t="str">
        <f>IFERROR(__xludf.DUMMYFUNCTION("IF(ISBLANK(J49), ""Input test step"", ARRAYFORMULA(TEXTJOIN(CHAR(10), TRUE, (""Step ""&amp; ROW(INDIRECT(""1:"" &amp; COUNTA(SPLIT(J49, CHAR(10))))) &amp; "": "" &amp; TRANSPOSE(SPLIT(J49, CHAR(10)))))))"),"Step 1: Navigate to product detail page
Step 2: Click on message icon
Step 3: Check and confirm system transfer to Zalo OA")</f>
        <v>Step 1: Navigate to product detail page
Step 2: Click on message icon
Step 3: Check and confirm system transfer to Zalo OA</v>
      </c>
      <c r="L49" s="14"/>
      <c r="M49" s="12" t="s">
        <v>1247</v>
      </c>
      <c r="N49" s="12"/>
      <c r="O49" s="12"/>
      <c r="P49" s="38"/>
    </row>
    <row r="50">
      <c r="A50" s="37"/>
      <c r="B50" s="37"/>
      <c r="C50" s="37"/>
      <c r="D50" s="37"/>
      <c r="E50" s="37"/>
      <c r="F50" s="12" t="s">
        <v>1248</v>
      </c>
      <c r="G50" s="68"/>
      <c r="H50" s="51" t="s">
        <v>1249</v>
      </c>
      <c r="I50" s="12" t="s">
        <v>1062</v>
      </c>
      <c r="J50" s="51" t="s">
        <v>1250</v>
      </c>
      <c r="K50" s="69" t="str">
        <f>IFERROR(__xludf.DUMMYFUNCTION("IF(ISBLANK(J50), ""Input test step"", ARRAYFORMULA(TEXTJOIN(CHAR(10), TRUE, (""Step ""&amp; ROW(INDIRECT(""1:"" &amp; COUNTA(SPLIT(J50, CHAR(10))))) &amp; "": "" &amp; TRANSPOSE(SPLIT(J50, CHAR(10)))))))"),"Step 1: Navigate to product detail page
Step 2: Click on share icon
Step 3: Check and confirm that the share dialog box is displayed when the share icon is clicked")</f>
        <v>Step 1: Navigate to product detail page
Step 2: Click on share icon
Step 3: Check and confirm that the share dialog box is displayed when the share icon is clicked</v>
      </c>
      <c r="L50" s="14"/>
      <c r="M50" s="12" t="s">
        <v>1251</v>
      </c>
      <c r="N50" s="12"/>
      <c r="O50" s="12"/>
      <c r="P50" s="38"/>
    </row>
    <row r="51">
      <c r="A51" s="37"/>
      <c r="B51" s="37"/>
      <c r="C51" s="37"/>
      <c r="D51" s="37"/>
      <c r="E51" s="37"/>
      <c r="F51" s="12" t="s">
        <v>1252</v>
      </c>
      <c r="G51" s="12"/>
      <c r="H51" s="12" t="s">
        <v>1253</v>
      </c>
      <c r="I51" s="12" t="s">
        <v>1062</v>
      </c>
      <c r="J51" s="12" t="s">
        <v>1254</v>
      </c>
      <c r="K51" s="13" t="str">
        <f>IFERROR(__xludf.DUMMYFUNCTION("IF(ISBLANK(J51), ""Input test step"", ARRAYFORMULA(TEXTJOIN(CHAR(10), TRUE, (""Step ""&amp; ROW(INDIRECT(""1:"" &amp; COUNTA(SPLIT(J51, CHAR(10))))) &amp; "": "" &amp; TRANSPOSE(SPLIT(J51, CHAR(10)))))))"),"Step 1: Navigate to the product detail page
Step 2: Scroll down the page
Step 3: Check and confirm that the product description is displayed correctly in the position, color, alignment, and size")</f>
        <v>Step 1: Navigate to the product detail page
Step 2: Scroll down the page
Step 3: Check and confirm that the product description is displayed correctly in the position, color, alignment, and size</v>
      </c>
      <c r="L51" s="14"/>
      <c r="M51" s="12" t="s">
        <v>1255</v>
      </c>
      <c r="N51" s="12"/>
      <c r="O51" s="12"/>
      <c r="P51" s="38"/>
    </row>
    <row r="52">
      <c r="A52" s="37"/>
      <c r="B52" s="37"/>
      <c r="C52" s="37"/>
      <c r="D52" s="37"/>
      <c r="E52" s="37"/>
      <c r="F52" s="12" t="s">
        <v>1256</v>
      </c>
      <c r="G52" s="12" t="s">
        <v>1257</v>
      </c>
      <c r="H52" s="12" t="s">
        <v>1258</v>
      </c>
      <c r="I52" s="12" t="s">
        <v>1062</v>
      </c>
      <c r="J52" s="12" t="s">
        <v>1259</v>
      </c>
      <c r="K52" s="13" t="str">
        <f>IFERROR(__xludf.DUMMYFUNCTION("IF(ISBLANK(J52), ""Input test step"", ARRAYFORMULA(TEXTJOIN(CHAR(10), TRUE, (""Step ""&amp; ROW(INDIRECT(""1:"" &amp; COUNTA(SPLIT(J52, CHAR(10))))) &amp; "": "" &amp; TRANSPOSE(SPLIT(J52, CHAR(10)))))))"),"Step 1: Navigate to product detail page
Step 2: Scroll down the page
Step 3: Check and confirm the voucher page displays when user clicks on ""View all"" text link")</f>
        <v>Step 1: Navigate to product detail page
Step 2: Scroll down the page
Step 3: Check and confirm the voucher page displays when user clicks on "View all" text link</v>
      </c>
      <c r="L52" s="14"/>
      <c r="M52" s="12" t="s">
        <v>1260</v>
      </c>
      <c r="N52" s="12"/>
      <c r="O52" s="12"/>
      <c r="P52" s="38"/>
    </row>
    <row r="53">
      <c r="A53" s="37"/>
      <c r="B53" s="37"/>
      <c r="C53" s="37"/>
      <c r="D53" s="37"/>
      <c r="E53" s="37"/>
      <c r="F53" s="12" t="s">
        <v>1261</v>
      </c>
      <c r="G53" s="12"/>
      <c r="H53" s="12" t="s">
        <v>1262</v>
      </c>
      <c r="I53" s="12" t="s">
        <v>1062</v>
      </c>
      <c r="J53" s="12" t="s">
        <v>1263</v>
      </c>
      <c r="K53" s="13" t="str">
        <f>IFERROR(__xludf.DUMMYFUNCTION("IF(ISBLANK(J53), ""Input test step"", ARRAYFORMULA(TEXTJOIN(CHAR(10), TRUE, (""Step ""&amp; ROW(INDIRECT(""1:"" &amp; COUNTA(SPLIT(J53, CHAR(10))))) &amp; "": "" &amp; TRANSPOSE(SPLIT(J53, CHAR(10)))))))"),"Step 1: Navigate to product detail page
Step 2: Select a voucher
Step 3: Check and confirm that the user will not be able to perform the action when clicking on a voucher when the conditions for applying the voucher are not met")</f>
        <v>Step 1: Navigate to product detail page
Step 2: Select a voucher
Step 3: Check and confirm that the user will not be able to perform the action when clicking on a voucher when the conditions for applying the voucher are not met</v>
      </c>
      <c r="L53" s="14"/>
      <c r="M53" s="12" t="s">
        <v>1264</v>
      </c>
      <c r="N53" s="12"/>
      <c r="O53" s="12"/>
      <c r="P53" s="38"/>
    </row>
    <row r="54">
      <c r="A54" s="37"/>
      <c r="B54" s="37"/>
      <c r="C54" s="37"/>
      <c r="D54" s="37"/>
      <c r="E54" s="37"/>
      <c r="F54" s="12" t="s">
        <v>1265</v>
      </c>
      <c r="G54" s="12"/>
      <c r="H54" s="12" t="s">
        <v>1266</v>
      </c>
      <c r="I54" s="12" t="s">
        <v>1062</v>
      </c>
      <c r="J54" s="12" t="s">
        <v>1267</v>
      </c>
      <c r="K54" s="13" t="str">
        <f>IFERROR(__xludf.DUMMYFUNCTION("IF(ISBLANK(J54), ""Input test step"", ARRAYFORMULA(TEXTJOIN(CHAR(10), TRUE, (""Step ""&amp; ROW(INDIRECT(""1:"" &amp; COUNTA(SPLIT(J54, CHAR(10))))) &amp; "": "" &amp; TRANSPOSE(SPLIT(J54, CHAR(10)))))))"),"Step 1: Navigate to product details page
Step 2: Select a voucher
Step 3: Check and confirm correct voucher detail is displayed when clicking on a voucher in the list")</f>
        <v>Step 1: Navigate to product details page
Step 2: Select a voucher
Step 3: Check and confirm correct voucher detail is displayed when clicking on a voucher in the list</v>
      </c>
      <c r="L54" s="14"/>
      <c r="M54" s="12" t="s">
        <v>1268</v>
      </c>
      <c r="N54" s="12"/>
      <c r="O54" s="12"/>
      <c r="P54" s="38"/>
    </row>
    <row r="55">
      <c r="A55" s="37"/>
      <c r="B55" s="37"/>
      <c r="C55" s="37"/>
      <c r="D55" s="37"/>
      <c r="E55" s="37"/>
      <c r="F55" s="12" t="s">
        <v>1269</v>
      </c>
      <c r="G55" s="12"/>
      <c r="H55" s="12" t="s">
        <v>1270</v>
      </c>
      <c r="I55" s="12" t="s">
        <v>1062</v>
      </c>
      <c r="J55" s="12" t="s">
        <v>1271</v>
      </c>
      <c r="K55" s="13" t="str">
        <f>IFERROR(__xludf.DUMMYFUNCTION("IF(ISBLANK(J55), ""Input test step"", ARRAYFORMULA(TEXTJOIN(CHAR(10), TRUE, (""Step ""&amp; ROW(INDIRECT(""1:"" &amp; COUNTA(SPLIT(J55, CHAR(10))))) &amp; "": "" &amp; TRANSPOSE(SPLIT(J55, CHAR(10)))))))"),"Step 1: Navigate to product detail page
Step 2: Select 1 voucher
Step 3: Check and confirm to display ""Applied Successfully"" message and display green tick on selected voucher when user successfully applies 1 voucher")</f>
        <v>Step 1: Navigate to product detail page
Step 2: Select 1 voucher
Step 3: Check and confirm to display "Applied Successfully" message and display green tick on selected voucher when user successfully applies 1 voucher</v>
      </c>
      <c r="L55" s="14"/>
      <c r="M55" s="12" t="s">
        <v>1272</v>
      </c>
      <c r="N55" s="12"/>
      <c r="O55" s="12"/>
      <c r="P55" s="38"/>
    </row>
    <row r="56">
      <c r="A56" s="37"/>
      <c r="B56" s="37"/>
      <c r="C56" s="37"/>
      <c r="D56" s="37"/>
      <c r="E56" s="37"/>
      <c r="F56" s="12" t="s">
        <v>1273</v>
      </c>
      <c r="G56" s="12"/>
      <c r="H56" s="51" t="s">
        <v>1274</v>
      </c>
      <c r="I56" s="12" t="s">
        <v>1062</v>
      </c>
      <c r="J56" s="12" t="s">
        <v>1275</v>
      </c>
      <c r="K56" s="13" t="str">
        <f>IFERROR(__xludf.DUMMYFUNCTION("IF(ISBLANK(J56), ""Input test step"", ARRAYFORMULA(TEXTJOIN(CHAR(10), TRUE, (""Step ""&amp; ROW(INDIRECT(""1:"" &amp; COUNTA(SPLIT(J56, CHAR(10))))) &amp; "": "" &amp; TRANSPOSE(SPLIT(J56, CHAR(10)))))))"),"Step 1: Navigate to product detail page
Step 2: Select multiple vouchers
Step 3: Check and confirm that user cannot perform the action of selecting another voucher after selecting a voucher, user can only select 1 of the vouchers that the order is eligi"&amp;"ble to apply")</f>
        <v>Step 1: Navigate to product detail page
Step 2: Select multiple vouchers
Step 3: Check and confirm that user cannot perform the action of selecting another voucher after selecting a voucher, user can only select 1 of the vouchers that the order is eligible to apply</v>
      </c>
      <c r="L56" s="14"/>
      <c r="M56" s="12" t="s">
        <v>1276</v>
      </c>
      <c r="N56" s="12"/>
      <c r="O56" s="12"/>
      <c r="P56" s="38"/>
    </row>
    <row r="57">
      <c r="A57" s="37"/>
      <c r="B57" s="37"/>
      <c r="C57" s="37"/>
      <c r="D57" s="37"/>
      <c r="E57" s="37"/>
      <c r="F57" s="12" t="s">
        <v>1277</v>
      </c>
      <c r="G57" s="12"/>
      <c r="H57" s="12" t="s">
        <v>1278</v>
      </c>
      <c r="I57" s="12" t="s">
        <v>1062</v>
      </c>
      <c r="J57" s="12" t="s">
        <v>1279</v>
      </c>
      <c r="K57" s="13" t="str">
        <f>IFERROR(__xludf.DUMMYFUNCTION("IF(ISBLANK(J57), ""Input test step"", ARRAYFORMULA(TEXTJOIN(CHAR(10), TRUE, (""Step ""&amp; ROW(INDIRECT(""1:"" &amp; COUNTA(SPLIT(J57, CHAR(10))))) &amp; "": "" &amp; TRANSPOSE(SPLIT(J57, CHAR(10)))))))"),"Step 1: Navigate to product detail page
Step 2: Check and confirm that the displayed voucher list is not duplicated")</f>
        <v>Step 1: Navigate to product detail page
Step 2: Check and confirm that the displayed voucher list is not duplicated</v>
      </c>
      <c r="L57" s="14"/>
      <c r="M57" s="12" t="s">
        <v>1280</v>
      </c>
      <c r="N57" s="12"/>
      <c r="O57" s="12"/>
      <c r="P57" s="38"/>
    </row>
    <row r="58">
      <c r="A58" s="37"/>
      <c r="B58" s="37"/>
      <c r="C58" s="37"/>
      <c r="D58" s="37"/>
      <c r="E58" s="37"/>
      <c r="F58" s="12" t="s">
        <v>1281</v>
      </c>
      <c r="G58" s="12" t="s">
        <v>837</v>
      </c>
      <c r="H58" s="12" t="s">
        <v>1282</v>
      </c>
      <c r="I58" s="12" t="s">
        <v>1062</v>
      </c>
      <c r="J58" s="12" t="s">
        <v>1283</v>
      </c>
      <c r="K58" s="13" t="str">
        <f>IFERROR(__xludf.DUMMYFUNCTION("IF(ISBLANK(J58), ""Input test step"", ARRAYFORMULA(TEXTJOIN(CHAR(10), TRUE, (""Step ""&amp; ROW(INDIRECT(""1:"" &amp; COUNTA(SPLIT(J58, CHAR(10))))) &amp; "": "" &amp; TRANSPOSE(SPLIT(J58, CHAR(10)))))))"),"Step 1: Navigate to the product detail page
Step 2: Scroll down the page
Step 3: Check and confirm that the related product page is displayed when clicking on the ""See all"" text link")</f>
        <v>Step 1: Navigate to the product detail page
Step 2: Scroll down the page
Step 3: Check and confirm that the related product page is displayed when clicking on the "See all" text link</v>
      </c>
      <c r="L58" s="14"/>
      <c r="M58" s="12" t="s">
        <v>1284</v>
      </c>
      <c r="N58" s="12"/>
      <c r="O58" s="12"/>
      <c r="P58" s="38"/>
    </row>
    <row r="59">
      <c r="A59" s="37"/>
      <c r="B59" s="37"/>
      <c r="C59" s="37"/>
      <c r="D59" s="37"/>
      <c r="E59" s="37"/>
      <c r="F59" s="12" t="s">
        <v>1285</v>
      </c>
      <c r="G59" s="12"/>
      <c r="H59" s="12" t="s">
        <v>1286</v>
      </c>
      <c r="I59" s="12" t="s">
        <v>1062</v>
      </c>
      <c r="J59" s="12" t="s">
        <v>1287</v>
      </c>
      <c r="K59" s="13" t="str">
        <f>IFERROR(__xludf.DUMMYFUNCTION("IF(ISBLANK(J59), ""Input test step"", ARRAYFORMULA(TEXTJOIN(CHAR(10), TRUE, (""Step ""&amp; ROW(INDIRECT(""1:"" &amp; COUNTA(SPLIT(J59, CHAR(10))))) &amp; "": "" &amp; TRANSPOSE(SPLIT(J59, CHAR(10)))))))"),"Step 1: Navigate to the product detail page
Step 2: Scroll down the page
Step 3: Check and confirm that the product in the related products list is not duplicated")</f>
        <v>Step 1: Navigate to the product detail page
Step 2: Scroll down the page
Step 3: Check and confirm that the product in the related products list is not duplicated</v>
      </c>
      <c r="L59" s="14"/>
      <c r="M59" s="12" t="s">
        <v>1288</v>
      </c>
      <c r="N59" s="12"/>
      <c r="O59" s="12"/>
      <c r="P59" s="38"/>
    </row>
    <row r="60">
      <c r="A60" s="37"/>
      <c r="B60" s="37"/>
      <c r="C60" s="37"/>
      <c r="D60" s="37"/>
      <c r="E60" s="37"/>
      <c r="F60" s="12" t="s">
        <v>1289</v>
      </c>
      <c r="G60" s="12"/>
      <c r="H60" s="12" t="s">
        <v>1290</v>
      </c>
      <c r="I60" s="12" t="s">
        <v>1062</v>
      </c>
      <c r="J60" s="12" t="s">
        <v>1291</v>
      </c>
      <c r="K60" s="13" t="str">
        <f>IFERROR(__xludf.DUMMYFUNCTION("IF(ISBLANK(J60), ""Input test step"", ARRAYFORMULA(TEXTJOIN(CHAR(10), TRUE, (""Step ""&amp; ROW(INDIRECT(""1:"" &amp; COUNTA(SPLIT(J60, CHAR(10))))) &amp; "": "" &amp; TRANSPOSE(SPLIT(J60, CHAR(10)))))))"),"Step 1: Navigate to product detail page
Step 2: Click on favorite icon in a product
Step 3: Check the color of favorite icon turns orange
Step 4: Return to home page
Step 5: Click on ""Personal"" button
Step 6: System navigates to ""Personal informat"&amp;"ion"" page
Step 7: Click on ""Favorites""
Step 8: System navigates to ""Favorites"" page
Step 9: Check and confirm that the product exists in the favorite list and is displayed with correct information")</f>
        <v>Step 1: Navigate to product detail page
Step 2: Click on favorite icon in a product
Step 3: Check the color of favorite icon turns orange
Step 4: Return to home page
Step 5: Click on "Personal" button
Step 6: System navigates to "Personal information" page
Step 7: Click on "Favorites"
Step 8: System navigates to "Favorites" page
Step 9: Check and confirm that the product exists in the favorite list and is displayed with correct information</v>
      </c>
      <c r="L60" s="14"/>
      <c r="M60" s="12" t="s">
        <v>1292</v>
      </c>
      <c r="N60" s="12"/>
      <c r="O60" s="12"/>
      <c r="P60" s="38"/>
    </row>
    <row r="61">
      <c r="A61" s="37"/>
      <c r="B61" s="37"/>
      <c r="C61" s="37"/>
      <c r="D61" s="37"/>
      <c r="E61" s="37"/>
      <c r="F61" s="12" t="s">
        <v>1293</v>
      </c>
      <c r="G61" s="12"/>
      <c r="H61" s="12" t="s">
        <v>1294</v>
      </c>
      <c r="I61" s="12" t="s">
        <v>1062</v>
      </c>
      <c r="J61" s="12" t="s">
        <v>1295</v>
      </c>
      <c r="K61" s="13" t="str">
        <f>IFERROR(__xludf.DUMMYFUNCTION("IF(ISBLANK(J61), ""Input test step"", ARRAYFORMULA(TEXTJOIN(CHAR(10), TRUE, (""Step ""&amp; ROW(INDIRECT(""1:"" &amp; COUNTA(SPLIT(J61, CHAR(10))))) &amp; "": "" &amp; TRANSPOSE(SPLIT(J61, CHAR(10)))))))"),"Step 1: Navigate to the product detail page
Step 2: Click on the cart icon in the area displaying 1 product
Step 3: Check and confirm the ""Add to Cart"" dialog box is displayed
Step 4: Click on the ""Add to Cart"" button
Step 5: Check the display of the "&amp;"message that the product has been successfully added to the cart
Step 6: Click on the button containing the cart icon under the menu bar
Step 7: Check and confirm that the product exists in the cart list and is displayed with the correct information")</f>
        <v>Step 1: Navigate to the product detail page
Step 2: Click on the cart icon in the area displaying 1 product
Step 3: Check and confirm the "Add to Cart" dialog box is displayed
Step 4: Click on the "Add to Cart" button
Step 5: Check the display of the message that the product has been successfully added to the cart
Step 6: Click on the button containing the cart icon under the menu bar
Step 7: Check and confirm that the product exists in the cart list and is displayed with the correct information</v>
      </c>
      <c r="L61" s="14"/>
      <c r="M61" s="12" t="s">
        <v>1296</v>
      </c>
      <c r="N61" s="12"/>
      <c r="O61" s="12"/>
      <c r="P61" s="38"/>
    </row>
    <row r="62">
      <c r="A62" s="37"/>
      <c r="B62" s="37"/>
      <c r="C62" s="37"/>
      <c r="D62" s="37"/>
      <c r="E62" s="37"/>
      <c r="F62" s="12" t="s">
        <v>1297</v>
      </c>
      <c r="G62" s="12" t="s">
        <v>1298</v>
      </c>
      <c r="H62" s="12" t="s">
        <v>1299</v>
      </c>
      <c r="I62" s="12" t="s">
        <v>1062</v>
      </c>
      <c r="J62" s="12" t="s">
        <v>1300</v>
      </c>
      <c r="K62" s="13" t="str">
        <f>IFERROR(__xludf.DUMMYFUNCTION("IF(ISBLANK(J62), ""Input test step"", ARRAYFORMULA(TEXTJOIN(CHAR(10), TRUE, (""Step ""&amp; ROW(INDIRECT(""1:"" &amp; COUNTA(SPLIT(J62, CHAR(10))))) &amp; "": "" &amp; TRANSPOSE(SPLIT(J62, CHAR(10)))))))"),"Step 1: Navigate to the product detail page
Step 2: Scroll down the page
Step 3: Click on the ""Add to Cart"" cart button
Step 4: Check and confirm the system redirects to the ""Cart"" page")</f>
        <v>Step 1: Navigate to the product detail page
Step 2: Scroll down the page
Step 3: Click on the "Add to Cart" cart button
Step 4: Check and confirm the system redirects to the "Cart" page</v>
      </c>
      <c r="L62" s="14"/>
      <c r="M62" s="12" t="s">
        <v>1301</v>
      </c>
      <c r="N62" s="12"/>
      <c r="O62" s="12"/>
      <c r="P62" s="38"/>
    </row>
    <row r="63">
      <c r="A63" s="37"/>
      <c r="B63" s="37"/>
      <c r="C63" s="37"/>
      <c r="D63" s="37"/>
      <c r="E63" s="37"/>
      <c r="F63" s="12" t="s">
        <v>1302</v>
      </c>
      <c r="G63" s="12"/>
      <c r="H63" s="12" t="s">
        <v>1303</v>
      </c>
      <c r="I63" s="12" t="s">
        <v>1062</v>
      </c>
      <c r="J63" s="12" t="s">
        <v>1304</v>
      </c>
      <c r="K63" s="13" t="str">
        <f>IFERROR(__xludf.DUMMYFUNCTION("IF(ISBLANK(J63), ""Input test step"", ARRAYFORMULA(TEXTJOIN(CHAR(10), TRUE, (""Step ""&amp; ROW(INDIRECT(""1:"" &amp; COUNTA(SPLIT(J63, CHAR(10))))) &amp; "": "" &amp; TRANSPOSE(SPLIT(J63, CHAR(10)))))))"),"Step 1: Navigate to the product detail page
Step 2: Scroll down the page
Step 3: Click on the ""Add to Cart"" shopping cart button
Step 4: Check and confirm the data information is displayed correctly on the Shopping Cart page")</f>
        <v>Step 1: Navigate to the product detail page
Step 2: Scroll down the page
Step 3: Click on the "Add to Cart" shopping cart button
Step 4: Check and confirm the data information is displayed correctly on the Shopping Cart page</v>
      </c>
      <c r="L63" s="14"/>
      <c r="M63" s="12" t="s">
        <v>1305</v>
      </c>
      <c r="N63" s="12"/>
      <c r="O63" s="12"/>
      <c r="P63" s="38"/>
    </row>
    <row r="64">
      <c r="A64" s="37"/>
      <c r="B64" s="37"/>
      <c r="C64" s="37"/>
      <c r="D64" s="37"/>
      <c r="E64" s="37"/>
      <c r="F64" s="12" t="s">
        <v>1306</v>
      </c>
      <c r="G64" s="12" t="s">
        <v>1307</v>
      </c>
      <c r="H64" s="12" t="s">
        <v>1308</v>
      </c>
      <c r="I64" s="12" t="s">
        <v>1062</v>
      </c>
      <c r="J64" s="12" t="s">
        <v>1309</v>
      </c>
      <c r="K64" s="13" t="str">
        <f>IFERROR(__xludf.DUMMYFUNCTION("IF(ISBLANK(J64), ""Input test step"", ARRAYFORMULA(TEXTJOIN(CHAR(10), TRUE, (""Step ""&amp; ROW(INDIRECT(""1:"" &amp; COUNTA(SPLIT(J64, CHAR(10))))) &amp; "": "" &amp; TRANSPOSE(SPLIT(J64, CHAR(10)))))))"),"Step 1: Navigate to the product detail page
Step 2: Scroll down the page
Step 3: Click on the ""Buy Now"" cart button
Step 4: Check and confirm that the system displays a notification dialog containing the product data")</f>
        <v>Step 1: Navigate to the product detail page
Step 2: Scroll down the page
Step 3: Click on the "Buy Now" cart button
Step 4: Check and confirm that the system displays a notification dialog containing the product data</v>
      </c>
      <c r="L64" s="14"/>
      <c r="M64" s="12" t="s">
        <v>1310</v>
      </c>
      <c r="N64" s="12"/>
      <c r="O64" s="12"/>
      <c r="P64" s="38"/>
    </row>
    <row r="65">
      <c r="A65" s="37"/>
      <c r="B65" s="37"/>
      <c r="C65" s="37"/>
      <c r="D65" s="37"/>
      <c r="E65" s="37"/>
      <c r="F65" s="12" t="s">
        <v>1311</v>
      </c>
      <c r="G65" s="12" t="s">
        <v>1312</v>
      </c>
      <c r="H65" s="12" t="s">
        <v>1313</v>
      </c>
      <c r="I65" s="12" t="s">
        <v>1062</v>
      </c>
      <c r="J65" s="12" t="s">
        <v>1314</v>
      </c>
      <c r="K65" s="13" t="str">
        <f>IFERROR(__xludf.DUMMYFUNCTION("IF(ISBLANK(J65), ""Input test step"", ARRAYFORMULA(TEXTJOIN(CHAR(10), TRUE, (""Step ""&amp; ROW(INDIRECT(""1:"" &amp; COUNTA(SPLIT(J65, CHAR(10))))) &amp; "": "" &amp; TRANSPOSE(SPLIT(J65, CHAR(10)))))))"),"Step 1: Navigate to the product detail page
Step 2: Scroll down the page
Step 3: Click on the ""Buy Now"" shopping cart button
Step 4: Check and confirm that the product image displayed corresponds to the image when clicking the ""Buy Now"" button")</f>
        <v>Step 1: Navigate to the product detail page
Step 2: Scroll down the page
Step 3: Click on the "Buy Now" shopping cart button
Step 4: Check and confirm that the product image displayed corresponds to the image when clicking the "Buy Now" button</v>
      </c>
      <c r="L65" s="14"/>
      <c r="M65" s="12" t="s">
        <v>1315</v>
      </c>
      <c r="N65" s="12"/>
      <c r="O65" s="12"/>
      <c r="P65" s="38"/>
    </row>
    <row r="66">
      <c r="A66" s="37"/>
      <c r="B66" s="37"/>
      <c r="C66" s="37"/>
      <c r="D66" s="37"/>
      <c r="E66" s="37"/>
      <c r="F66" s="12" t="s">
        <v>1316</v>
      </c>
      <c r="G66" s="12"/>
      <c r="H66" s="12" t="s">
        <v>1317</v>
      </c>
      <c r="I66" s="12" t="s">
        <v>1062</v>
      </c>
      <c r="J66" s="12" t="s">
        <v>1318</v>
      </c>
      <c r="K66" s="13" t="str">
        <f>IFERROR(__xludf.DUMMYFUNCTION("IF(ISBLANK(J66), ""Input test step"", ARRAYFORMULA(TEXTJOIN(CHAR(10), TRUE, (""Step ""&amp; ROW(INDIRECT(""1:"" &amp; COUNTA(SPLIT(J66, CHAR(10))))) &amp; "": "" &amp; TRANSPOSE(SPLIT(J66, CHAR(10)))))))"),"Step 1: Navigate to the product detail page
Step 2: Scroll down the page
Step 3: Click on the ""Buy Now"" cart button
Step 4: Check and confirm that the product brand is displayed correctly and correspondingly when clicking on the ""Buy Now"" button")</f>
        <v>Step 1: Navigate to the product detail page
Step 2: Scroll down the page
Step 3: Click on the "Buy Now" cart button
Step 4: Check and confirm that the product brand is displayed correctly and correspondingly when clicking on the "Buy Now" button</v>
      </c>
      <c r="L66" s="14"/>
      <c r="M66" s="12" t="s">
        <v>1319</v>
      </c>
      <c r="N66" s="12"/>
      <c r="O66" s="12"/>
      <c r="P66" s="38"/>
    </row>
    <row r="67">
      <c r="A67" s="37"/>
      <c r="B67" s="37"/>
      <c r="C67" s="37"/>
      <c r="D67" s="37"/>
      <c r="E67" s="37"/>
      <c r="F67" s="12" t="s">
        <v>1320</v>
      </c>
      <c r="G67" s="12"/>
      <c r="H67" s="12" t="s">
        <v>1321</v>
      </c>
      <c r="I67" s="12" t="s">
        <v>1062</v>
      </c>
      <c r="J67" s="12" t="s">
        <v>1322</v>
      </c>
      <c r="K67" s="13" t="str">
        <f>IFERROR(__xludf.DUMMYFUNCTION("IF(ISBLANK(J67), ""Input test step"", ARRAYFORMULA(TEXTJOIN(CHAR(10), TRUE, (""Step ""&amp; ROW(INDIRECT(""1:"" &amp; COUNTA(SPLIT(J67, CHAR(10))))) &amp; "": "" &amp; TRANSPOSE(SPLIT(J67, CHAR(10)))))))"),"Step 1: Navigate to the product detail page
Step 2: Scroll down the page
Step 3: Click on the ""Buy Now"" cart button
Step 4: Check and confirm that the product price is displayed correctly and corresponds to the ""Buy Now"" button")</f>
        <v>Step 1: Navigate to the product detail page
Step 2: Scroll down the page
Step 3: Click on the "Buy Now" cart button
Step 4: Check and confirm that the product price is displayed correctly and corresponds to the "Buy Now" button</v>
      </c>
      <c r="L67" s="14"/>
      <c r="M67" s="12" t="s">
        <v>1323</v>
      </c>
      <c r="N67" s="12"/>
      <c r="O67" s="12"/>
      <c r="P67" s="38"/>
    </row>
    <row r="68">
      <c r="A68" s="37"/>
      <c r="B68" s="37"/>
      <c r="C68" s="37"/>
      <c r="D68" s="37"/>
      <c r="E68" s="37"/>
      <c r="F68" s="12" t="s">
        <v>1324</v>
      </c>
      <c r="G68" s="12"/>
      <c r="H68" s="12" t="s">
        <v>1325</v>
      </c>
      <c r="I68" s="12" t="s">
        <v>1062</v>
      </c>
      <c r="J68" s="12" t="s">
        <v>1326</v>
      </c>
      <c r="K68" s="13" t="str">
        <f>IFERROR(__xludf.DUMMYFUNCTION("IF(ISBLANK(J68), ""Input test step"", ARRAYFORMULA(TEXTJOIN(CHAR(10), TRUE, (""Step ""&amp; ROW(INDIRECT(""1:"" &amp; COUNTA(SPLIT(J68, CHAR(10))))) &amp; "": "" &amp; TRANSPOSE(SPLIT(J68, CHAR(10)))))))"),"Step 1: Navigate to the product detail page
Step 2: Scroll down the page
Step 3: Click on the ""Buy Now"" cart button
Step 4: Check and confirm that the original price of the product is displayed correctly and correspondingly when clicking on the ""Buy No"&amp;"w"" button")</f>
        <v>Step 1: Navigate to the product detail page
Step 2: Scroll down the page
Step 3: Click on the "Buy Now" cart button
Step 4: Check and confirm that the original price of the product is displayed correctly and correspondingly when clicking on the "Buy Now" button</v>
      </c>
      <c r="L68" s="14"/>
      <c r="M68" s="12" t="s">
        <v>1327</v>
      </c>
      <c r="N68" s="12"/>
      <c r="O68" s="12"/>
      <c r="P68" s="38"/>
    </row>
    <row r="69">
      <c r="A69" s="37"/>
      <c r="B69" s="37"/>
      <c r="C69" s="37"/>
      <c r="D69" s="37"/>
      <c r="E69" s="37"/>
      <c r="F69" s="12" t="s">
        <v>1328</v>
      </c>
      <c r="G69" s="12"/>
      <c r="H69" s="12" t="s">
        <v>1329</v>
      </c>
      <c r="I69" s="12" t="s">
        <v>1062</v>
      </c>
      <c r="J69" s="12" t="s">
        <v>1330</v>
      </c>
      <c r="K69" s="13" t="str">
        <f>IFERROR(__xludf.DUMMYFUNCTION("IF(ISBLANK(J69), ""Input test step"", ARRAYFORMULA(TEXTJOIN(CHAR(10), TRUE, (""Step ""&amp; ROW(INDIRECT(""1:"" &amp; COUNTA(SPLIT(J69, CHAR(10))))) &amp; "": "" &amp; TRANSPOSE(SPLIT(J69, CHAR(10)))))))"),"Step 1: Navigate to the product detail page
Step 2: Scroll down the page
Step 3: Click on the ""Buy Now"" cart button
Step 4: Check and confirm that the product name is displayed correctly and corresponds when clicking the ""Buy Now"" button")</f>
        <v>Step 1: Navigate to the product detail page
Step 2: Scroll down the page
Step 3: Click on the "Buy Now" cart button
Step 4: Check and confirm that the product name is displayed correctly and corresponds when clicking the "Buy Now" button</v>
      </c>
      <c r="L69" s="14"/>
      <c r="M69" s="12" t="s">
        <v>1331</v>
      </c>
      <c r="N69" s="12"/>
      <c r="O69" s="12"/>
      <c r="P69" s="38"/>
    </row>
    <row r="70">
      <c r="A70" s="37"/>
      <c r="B70" s="37"/>
      <c r="C70" s="37"/>
      <c r="D70" s="37"/>
      <c r="E70" s="37"/>
      <c r="F70" s="12" t="s">
        <v>1332</v>
      </c>
      <c r="G70" s="12"/>
      <c r="H70" s="12" t="s">
        <v>1333</v>
      </c>
      <c r="I70" s="12" t="s">
        <v>1062</v>
      </c>
      <c r="J70" s="12" t="s">
        <v>1334</v>
      </c>
      <c r="K70" s="13" t="str">
        <f>IFERROR(__xludf.DUMMYFUNCTION("IF(ISBLANK(J70), ""Input test step"", ARRAYFORMULA(TEXTJOIN(CHAR(10), TRUE, (""Step ""&amp; ROW(INDIRECT(""1:"" &amp; COUNTA(SPLIT(J70, CHAR(10))))) &amp; "": "" &amp; TRANSPOSE(SPLIT(J70, CHAR(10)))))))"),"Step 1: Navigate to the product detail page
Step 2: Scroll down the page
Step 3: Click on the ""Buy Now"" cart button
Step 4: Check and confirm that the default product quantity is displayed correctly on the dialog box when clicking on the ""Buy Now"" but"&amp;"ton")</f>
        <v>Step 1: Navigate to the product detail page
Step 2: Scroll down the page
Step 3: Click on the "Buy Now" cart button
Step 4: Check and confirm that the default product quantity is displayed correctly on the dialog box when clicking on the "Buy Now" button</v>
      </c>
      <c r="L70" s="14"/>
      <c r="M70" s="12" t="s">
        <v>1335</v>
      </c>
      <c r="N70" s="12"/>
      <c r="O70" s="12"/>
      <c r="P70" s="38"/>
    </row>
    <row r="71">
      <c r="A71" s="37"/>
      <c r="B71" s="37"/>
      <c r="C71" s="37"/>
      <c r="D71" s="37"/>
      <c r="E71" s="37"/>
      <c r="F71" s="12" t="s">
        <v>1336</v>
      </c>
      <c r="G71" s="12"/>
      <c r="H71" s="51" t="s">
        <v>1337</v>
      </c>
      <c r="I71" s="12" t="s">
        <v>1062</v>
      </c>
      <c r="J71" s="12" t="s">
        <v>1338</v>
      </c>
      <c r="K71" s="13" t="str">
        <f>IFERROR(__xludf.DUMMYFUNCTION("IF(ISBLANK(J71), ""Input test step"", ARRAYFORMULA(TEXTJOIN(CHAR(10), TRUE, (""Step ""&amp; ROW(INDIRECT(""1:"" &amp; COUNTA(SPLIT(J71, CHAR(10))))) &amp; "": "" &amp; TRANSPOSE(SPLIT(J71, CHAR(10)))))))"),"Step 1: Navigate to the product detail page
Step 2: Scroll down to the bottom of the page
Step 3: Click on the ""Buy Now"" cart button
Step 4: Check and confirm the correct discount amount is displayed when applying the voucher")</f>
        <v>Step 1: Navigate to the product detail page
Step 2: Scroll down to the bottom of the page
Step 3: Click on the "Buy Now" cart button
Step 4: Check and confirm the correct discount amount is displayed when applying the voucher</v>
      </c>
      <c r="L71" s="14"/>
      <c r="M71" s="12" t="s">
        <v>1339</v>
      </c>
      <c r="N71" s="12"/>
      <c r="O71" s="12"/>
      <c r="P71" s="38"/>
    </row>
    <row r="72">
      <c r="A72" s="37"/>
      <c r="B72" s="37"/>
      <c r="C72" s="37"/>
      <c r="D72" s="37"/>
      <c r="E72" s="37"/>
      <c r="F72" s="12" t="s">
        <v>1340</v>
      </c>
      <c r="G72" s="12"/>
      <c r="H72" s="51" t="s">
        <v>1341</v>
      </c>
      <c r="I72" s="12" t="s">
        <v>1062</v>
      </c>
      <c r="J72" s="12" t="s">
        <v>1342</v>
      </c>
      <c r="K72" s="13" t="str">
        <f>IFERROR(__xludf.DUMMYFUNCTION("IF(ISBLANK(J72), ""Input test step"", ARRAYFORMULA(TEXTJOIN(CHAR(10), TRUE, (""Step ""&amp; ROW(INDIRECT(""1:"" &amp; COUNTA(SPLIT(J72, CHAR(10))))) &amp; "": "" &amp; TRANSPOSE(SPLIT(J72, CHAR(10)))))))"),"Step 1: Navigate to the product detail page
Step 2: Scroll down to the bottom of the page
Step 3: Click on the ""Buy Now"" cart button
Step 4: Check and confirm that the total product amount after applying the voucher is displayed correctly on the dial"&amp;"og box when clicking on the buy button")</f>
        <v>Step 1: Navigate to the product detail page
Step 2: Scroll down to the bottom of the page
Step 3: Click on the "Buy Now" cart button
Step 4: Check and confirm that the total product amount after applying the voucher is displayed correctly on the dialog box when clicking on the buy button</v>
      </c>
      <c r="L72" s="14"/>
      <c r="M72" s="12" t="s">
        <v>1343</v>
      </c>
      <c r="N72" s="12"/>
      <c r="O72" s="12"/>
      <c r="P72" s="38"/>
    </row>
    <row r="73">
      <c r="A73" s="37"/>
      <c r="B73" s="37"/>
      <c r="C73" s="37"/>
      <c r="D73" s="37"/>
      <c r="E73" s="37"/>
      <c r="F73" s="12" t="s">
        <v>1344</v>
      </c>
      <c r="G73" s="12"/>
      <c r="H73" s="12" t="s">
        <v>1345</v>
      </c>
      <c r="I73" s="12" t="s">
        <v>1062</v>
      </c>
      <c r="J73" s="12" t="s">
        <v>1346</v>
      </c>
      <c r="K73" s="13" t="str">
        <f>IFERROR(__xludf.DUMMYFUNCTION("IF(ISBLANK(J73), ""Input test step"", ARRAYFORMULA(TEXTJOIN(CHAR(10), TRUE, (""Step ""&amp; ROW(INDIRECT(""1:"" &amp; COUNTA(SPLIT(J73, CHAR(10))))) &amp; "": "" &amp; TRANSPOSE(SPLIT(J73, CHAR(10)))))))"),"Step 1: Navigate to the product detail page
Step 2: Scroll down the page
Step 3: Click on the ""Buy Now"" cart button
Step 4: Click on the (-) button
Step 5: Check and confirm the quantity of the product reduced")</f>
        <v>Step 1: Navigate to the product detail page
Step 2: Scroll down the page
Step 3: Click on the "Buy Now" cart button
Step 4: Click on the (-) button
Step 5: Check and confirm the quantity of the product reduced</v>
      </c>
      <c r="L73" s="14"/>
      <c r="M73" s="12" t="s">
        <v>1347</v>
      </c>
      <c r="N73" s="12"/>
      <c r="O73" s="12"/>
      <c r="P73" s="38"/>
    </row>
    <row r="74">
      <c r="A74" s="37"/>
      <c r="B74" s="37"/>
      <c r="C74" s="37"/>
      <c r="D74" s="37"/>
      <c r="E74" s="37"/>
      <c r="F74" s="12" t="s">
        <v>1348</v>
      </c>
      <c r="G74" s="12"/>
      <c r="H74" s="12" t="s">
        <v>858</v>
      </c>
      <c r="I74" s="12" t="s">
        <v>1062</v>
      </c>
      <c r="J74" s="12" t="s">
        <v>1349</v>
      </c>
      <c r="K74" s="13" t="str">
        <f>IFERROR(__xludf.DUMMYFUNCTION("IF(ISBLANK(J74), ""Input test step"", ARRAYFORMULA(TEXTJOIN(CHAR(10), TRUE, (""Step ""&amp; ROW(INDIRECT(""1:"" &amp; COUNTA(SPLIT(J74, CHAR(10))))) &amp; "": "" &amp; TRANSPOSE(SPLIT(J74, CHAR(10)))))))"),"Step 1: Navigate to the product detail page
Step 2: Scroll down the page
Step 3: Click on the ""Buy Now"" cart button
Step 4: Click on the (+) button
Step 5: Check and confirm the quantity of the product increases")</f>
        <v>Step 1: Navigate to the product detail page
Step 2: Scroll down the page
Step 3: Click on the "Buy Now" cart button
Step 4: Click on the (+) button
Step 5: Check and confirm the quantity of the product increases</v>
      </c>
      <c r="L74" s="14"/>
      <c r="M74" s="12" t="s">
        <v>1350</v>
      </c>
      <c r="N74" s="12"/>
      <c r="O74" s="12"/>
      <c r="P74" s="38"/>
    </row>
    <row r="75">
      <c r="A75" s="37"/>
      <c r="B75" s="37"/>
      <c r="C75" s="37"/>
      <c r="D75" s="37"/>
      <c r="E75" s="37"/>
      <c r="F75" s="12" t="s">
        <v>1351</v>
      </c>
      <c r="G75" s="12" t="s">
        <v>1352</v>
      </c>
      <c r="H75" s="12" t="s">
        <v>1353</v>
      </c>
      <c r="I75" s="12" t="s">
        <v>1062</v>
      </c>
      <c r="J75" s="12" t="s">
        <v>1354</v>
      </c>
      <c r="K75" s="13" t="str">
        <f>IFERROR(__xludf.DUMMYFUNCTION("IF(ISBLANK(J75), ""Input test step"", ARRAYFORMULA(TEXTJOIN(CHAR(10), TRUE, (""Step ""&amp; ROW(INDIRECT(""1:"" &amp; COUNTA(SPLIT(J75, CHAR(10))))) &amp; "": "" &amp; TRANSPOSE(SPLIT(J75, CHAR(10)))))))"),"Step 1: Navigate to the product detail page
Step 2: Scroll down the page
Step 3: Click on the ""Buy Now"" cart button
Step 4: Click on the ""Proceed to Checkout"" button
Step 5: Check and confirm the system redirects to the ""Cart"" page")</f>
        <v>Step 1: Navigate to the product detail page
Step 2: Scroll down the page
Step 3: Click on the "Buy Now" cart button
Step 4: Click on the "Proceed to Checkout" button
Step 5: Check and confirm the system redirects to the "Cart" page</v>
      </c>
      <c r="L75" s="14"/>
      <c r="M75" s="12" t="s">
        <v>1355</v>
      </c>
      <c r="N75" s="12"/>
      <c r="O75" s="12"/>
      <c r="P75" s="38"/>
    </row>
    <row r="76">
      <c r="A76" s="37"/>
      <c r="B76" s="37"/>
      <c r="C76" s="37"/>
      <c r="D76" s="37"/>
      <c r="E76" s="37"/>
      <c r="F76" s="12" t="s">
        <v>1356</v>
      </c>
      <c r="G76" s="12"/>
      <c r="H76" s="12" t="s">
        <v>1357</v>
      </c>
      <c r="I76" s="12" t="s">
        <v>1062</v>
      </c>
      <c r="J76" s="12" t="s">
        <v>1358</v>
      </c>
      <c r="K76" s="13" t="str">
        <f>IFERROR(__xludf.DUMMYFUNCTION("IF(ISBLANK(J76), ""Input test step"", ARRAYFORMULA(TEXTJOIN(CHAR(10), TRUE, (""Step ""&amp; ROW(INDIRECT(""1:"" &amp; COUNTA(SPLIT(J76, CHAR(10))))) &amp; "": "" &amp; TRANSPOSE(SPLIT(J76, CHAR(10)))))))"),"Step 1: Navigate to the product detail page
Step 2: Scroll down the page
Step 3: Click on the ""Buy Now"" cart button
Step 4: Click on the ""Proceed to Checkout"" button
Step 5: The system will redirect to the ""Cart"" page
Step 6: Check and confirm that "&amp;"the product information data is displayed correctly on the ""Cart"" page")</f>
        <v>Step 1: Navigate to the product detail page
Step 2: Scroll down the page
Step 3: Click on the "Buy Now" cart button
Step 4: Click on the "Proceed to Checkout" button
Step 5: The system will redirect to the "Cart" page
Step 6: Check and confirm that the product information data is displayed correctly on the "Cart" page</v>
      </c>
      <c r="L76" s="14"/>
      <c r="M76" s="12" t="s">
        <v>1359</v>
      </c>
      <c r="N76" s="12"/>
      <c r="O76" s="12"/>
      <c r="P76" s="38"/>
    </row>
    <row r="77">
      <c r="A77" s="37"/>
      <c r="B77" s="37"/>
      <c r="C77" s="37"/>
      <c r="D77" s="37"/>
      <c r="E77" s="37"/>
      <c r="F77" s="12" t="s">
        <v>1360</v>
      </c>
      <c r="G77" s="12" t="s">
        <v>1361</v>
      </c>
      <c r="H77" s="12" t="s">
        <v>1362</v>
      </c>
      <c r="I77" s="12" t="s">
        <v>1062</v>
      </c>
      <c r="J77" s="12" t="s">
        <v>1363</v>
      </c>
      <c r="K77" s="13" t="str">
        <f>IFERROR(__xludf.DUMMYFUNCTION("IF(ISBLANK(J77), ""Input test step"", ARRAYFORMULA(TEXTJOIN(CHAR(10), TRUE, (""Step ""&amp; ROW(INDIRECT(""1:"" &amp; COUNTA(SPLIT(J77, CHAR(10))))) &amp; "": "" &amp; TRANSPOSE(SPLIT(J77, CHAR(10)))))))"),"Step 1: Navigate to product detail page
Step 2: Check if ""Out of stock"" is displayed when the product is out of stock")</f>
        <v>Step 1: Navigate to product detail page
Step 2: Check if "Out of stock" is displayed when the product is out of stock</v>
      </c>
      <c r="L77" s="14"/>
      <c r="M77" s="12" t="s">
        <v>1364</v>
      </c>
      <c r="N77" s="12"/>
      <c r="O77" s="12"/>
      <c r="P77" s="38"/>
    </row>
    <row r="78">
      <c r="A78" s="37"/>
      <c r="B78" s="37"/>
      <c r="C78" s="37"/>
      <c r="D78" s="37"/>
      <c r="E78" s="37"/>
      <c r="F78" s="12" t="s">
        <v>1365</v>
      </c>
      <c r="G78" s="12"/>
      <c r="H78" s="12" t="s">
        <v>1366</v>
      </c>
      <c r="I78" s="12" t="s">
        <v>1062</v>
      </c>
      <c r="J78" s="12" t="s">
        <v>1367</v>
      </c>
      <c r="K78" s="13" t="str">
        <f>IFERROR(__xludf.DUMMYFUNCTION("IF(ISBLANK(J78), ""Input test step"", ARRAYFORMULA(TEXTJOIN(CHAR(10), TRUE, (""Step ""&amp; ROW(INDIRECT(""1:"" &amp; COUNTA(SPLIT(J78, CHAR(10))))) &amp; "": "" &amp; TRANSPOSE(SPLIT(J78, CHAR(10)))))))"),"Step 1: Navigate to product detail page
Step 2: Check the system to display the ""Contact"" button when out of stock")</f>
        <v>Step 1: Navigate to product detail page
Step 2: Check the system to display the "Contact" button when out of stock</v>
      </c>
      <c r="L78" s="14"/>
      <c r="M78" s="12" t="s">
        <v>1368</v>
      </c>
      <c r="N78" s="12"/>
      <c r="O78" s="12"/>
      <c r="P78" s="38"/>
    </row>
    <row r="79">
      <c r="A79" s="37"/>
      <c r="B79" s="37"/>
      <c r="C79" s="37"/>
      <c r="D79" s="37"/>
      <c r="E79" s="37"/>
      <c r="F79" s="12" t="s">
        <v>1369</v>
      </c>
      <c r="G79" s="12"/>
      <c r="H79" s="12" t="s">
        <v>1370</v>
      </c>
      <c r="I79" s="12" t="s">
        <v>1062</v>
      </c>
      <c r="J79" s="12" t="s">
        <v>1371</v>
      </c>
      <c r="K79" s="13" t="str">
        <f>IFERROR(__xludf.DUMMYFUNCTION("IF(ISBLANK(J79), ""Input test step"", ARRAYFORMULA(TEXTJOIN(CHAR(10), TRUE, (""Step ""&amp; ROW(INDIRECT(""1:"" &amp; COUNTA(SPLIT(J79, CHAR(10))))) &amp; "": "" &amp; TRANSPOSE(SPLIT(J79, CHAR(10)))))))"),"Step 1: Navigate to the product detail page
Step 2: Click the ""Contact"" button
Step 3: Check the system to go to the Zalo OA link")</f>
        <v>Step 1: Navigate to the product detail page
Step 2: Click the "Contact" button
Step 3: Check the system to go to the Zalo OA link</v>
      </c>
      <c r="L79" s="14"/>
      <c r="M79" s="12" t="s">
        <v>1372</v>
      </c>
      <c r="N79" s="12"/>
      <c r="O79" s="12"/>
      <c r="P79" s="38"/>
    </row>
    <row r="80">
      <c r="A80" s="37"/>
      <c r="B80" s="37"/>
      <c r="C80" s="37"/>
      <c r="D80" s="37"/>
      <c r="E80" s="37"/>
      <c r="F80" s="12"/>
      <c r="G80" s="12" t="s">
        <v>1373</v>
      </c>
      <c r="H80" s="12" t="s">
        <v>1374</v>
      </c>
      <c r="I80" s="12"/>
      <c r="J80" s="12"/>
      <c r="K80" s="13"/>
      <c r="L80" s="14"/>
      <c r="M80" s="12"/>
      <c r="N80" s="12"/>
      <c r="O80" s="12"/>
      <c r="P80" s="38"/>
    </row>
    <row r="81">
      <c r="A81" s="37"/>
      <c r="B81" s="37"/>
      <c r="C81" s="37"/>
      <c r="D81" s="37"/>
      <c r="E81" s="37"/>
      <c r="F81" s="12"/>
      <c r="G81" s="12"/>
      <c r="H81" s="12" t="s">
        <v>1375</v>
      </c>
      <c r="I81" s="12"/>
      <c r="J81" s="12"/>
      <c r="K81" s="13"/>
      <c r="L81" s="14"/>
      <c r="M81" s="12"/>
      <c r="N81" s="12"/>
      <c r="O81" s="12"/>
      <c r="P81" s="38"/>
    </row>
    <row r="82">
      <c r="A82" s="37"/>
      <c r="B82" s="37"/>
      <c r="C82" s="37"/>
      <c r="D82" s="37"/>
      <c r="E82" s="37"/>
      <c r="F82" s="12"/>
      <c r="G82" s="12"/>
      <c r="H82" s="12"/>
      <c r="I82" s="12"/>
      <c r="J82" s="12"/>
      <c r="K82" s="13"/>
      <c r="L82" s="14"/>
      <c r="M82" s="12"/>
      <c r="N82" s="12"/>
      <c r="O82" s="12"/>
      <c r="P82" s="38"/>
    </row>
    <row r="83">
      <c r="A83" s="37"/>
      <c r="B83" s="37"/>
      <c r="C83" s="37"/>
      <c r="D83" s="37"/>
      <c r="E83" s="37"/>
      <c r="F83" s="12"/>
      <c r="G83" s="12"/>
      <c r="H83" s="12"/>
      <c r="I83" s="12"/>
      <c r="J83" s="12"/>
      <c r="K83" s="13"/>
      <c r="L83" s="14"/>
      <c r="M83" s="12"/>
      <c r="N83" s="12"/>
      <c r="O83" s="12"/>
      <c r="P83" s="38"/>
    </row>
    <row r="84">
      <c r="A84" s="37"/>
      <c r="B84" s="37"/>
      <c r="C84" s="37"/>
      <c r="D84" s="37"/>
      <c r="E84" s="37"/>
      <c r="F84" s="12"/>
      <c r="G84" s="12"/>
      <c r="H84" s="12"/>
      <c r="I84" s="12"/>
      <c r="J84" s="12"/>
      <c r="K84" s="13"/>
      <c r="L84" s="14"/>
      <c r="M84" s="12"/>
      <c r="N84" s="12"/>
      <c r="O84" s="12"/>
      <c r="P84" s="38"/>
    </row>
    <row r="85">
      <c r="A85" s="37"/>
      <c r="B85" s="37"/>
      <c r="C85" s="37"/>
      <c r="D85" s="37"/>
      <c r="E85" s="37"/>
      <c r="F85" s="12"/>
      <c r="G85" s="12"/>
      <c r="H85" s="12"/>
      <c r="I85" s="12"/>
      <c r="J85" s="12"/>
      <c r="K85" s="13" t="str">
        <f>IFERROR(__xludf.DUMMYFUNCTION("IF(ISBLANK(J85), ""Input test step"", ARRAYFORMULA(TEXTJOIN(CHAR(10), TRUE, (""Step ""&amp; ROW(INDIRECT(""1:"" &amp; COUNTA(SPLIT(J85, CHAR(10))))) &amp; "": "" &amp; TRANSPOSE(SPLIT(J85, CHAR(10)))))))"),"Input test step")</f>
        <v>Input test step</v>
      </c>
      <c r="L85" s="14"/>
      <c r="M85" s="12"/>
      <c r="N85" s="12"/>
      <c r="O85" s="12"/>
      <c r="P85" s="38"/>
    </row>
    <row r="86">
      <c r="A86" s="37"/>
      <c r="B86" s="37"/>
      <c r="C86" s="37"/>
      <c r="D86" s="37"/>
      <c r="E86" s="37"/>
      <c r="K86" s="48"/>
    </row>
    <row r="87">
      <c r="A87" s="37"/>
      <c r="B87" s="37"/>
      <c r="C87" s="37"/>
      <c r="D87" s="37"/>
      <c r="E87" s="37"/>
      <c r="K87" s="48"/>
    </row>
    <row r="88">
      <c r="A88" s="37"/>
      <c r="B88" s="37"/>
      <c r="C88" s="37"/>
      <c r="D88" s="37"/>
      <c r="E88" s="37"/>
      <c r="K88" s="48"/>
    </row>
    <row r="89">
      <c r="A89" s="37"/>
      <c r="B89" s="37"/>
      <c r="C89" s="37"/>
      <c r="D89" s="37"/>
      <c r="E89" s="37"/>
      <c r="K89" s="48"/>
    </row>
    <row r="90">
      <c r="A90" s="37"/>
      <c r="B90" s="37"/>
      <c r="C90" s="37"/>
      <c r="D90" s="37"/>
      <c r="E90" s="37"/>
      <c r="K90" s="48"/>
    </row>
    <row r="91">
      <c r="A91" s="37"/>
      <c r="B91" s="37"/>
      <c r="C91" s="37"/>
      <c r="D91" s="37"/>
      <c r="E91" s="37"/>
      <c r="K91" s="48"/>
    </row>
    <row r="92">
      <c r="A92" s="37"/>
      <c r="B92" s="37"/>
      <c r="C92" s="37"/>
      <c r="D92" s="37"/>
      <c r="E92" s="37"/>
      <c r="K92" s="48"/>
    </row>
    <row r="93">
      <c r="A93" s="37"/>
      <c r="B93" s="37"/>
      <c r="C93" s="37"/>
      <c r="D93" s="37"/>
      <c r="E93" s="37"/>
      <c r="K93" s="48"/>
    </row>
    <row r="94">
      <c r="A94" s="37"/>
      <c r="B94" s="37"/>
      <c r="C94" s="37"/>
      <c r="D94" s="37"/>
      <c r="E94" s="37"/>
      <c r="K94" s="48"/>
    </row>
    <row r="95">
      <c r="A95" s="37"/>
      <c r="B95" s="37"/>
      <c r="C95" s="37"/>
      <c r="D95" s="37"/>
      <c r="E95" s="37"/>
      <c r="K95" s="48"/>
    </row>
    <row r="96">
      <c r="A96" s="37"/>
      <c r="B96" s="37"/>
      <c r="C96" s="37"/>
      <c r="D96" s="37"/>
      <c r="E96" s="37"/>
      <c r="K96" s="48"/>
    </row>
    <row r="97">
      <c r="A97" s="37"/>
      <c r="B97" s="37"/>
      <c r="C97" s="37"/>
      <c r="D97" s="37"/>
      <c r="E97" s="37"/>
      <c r="K97" s="48"/>
    </row>
    <row r="98">
      <c r="A98" s="37"/>
      <c r="B98" s="37"/>
      <c r="C98" s="37"/>
      <c r="D98" s="37"/>
      <c r="E98" s="37"/>
      <c r="K98" s="48"/>
    </row>
    <row r="99">
      <c r="A99" s="37"/>
      <c r="B99" s="37"/>
      <c r="C99" s="37"/>
      <c r="D99" s="37"/>
      <c r="E99" s="37"/>
      <c r="K99" s="48"/>
    </row>
    <row r="100">
      <c r="A100" s="37"/>
      <c r="B100" s="37"/>
      <c r="C100" s="37"/>
      <c r="D100" s="37"/>
      <c r="E100" s="37"/>
      <c r="K100" s="48"/>
    </row>
    <row r="101">
      <c r="A101" s="37"/>
      <c r="B101" s="37"/>
      <c r="C101" s="37"/>
      <c r="D101" s="37"/>
      <c r="E101" s="37"/>
      <c r="K101" s="48"/>
    </row>
    <row r="102">
      <c r="A102" s="37"/>
      <c r="B102" s="37"/>
      <c r="C102" s="37"/>
      <c r="D102" s="37"/>
      <c r="E102" s="37"/>
      <c r="K102" s="48"/>
    </row>
    <row r="103">
      <c r="A103" s="37"/>
      <c r="B103" s="37"/>
      <c r="C103" s="37"/>
      <c r="D103" s="37"/>
      <c r="E103" s="37"/>
      <c r="K103" s="48"/>
    </row>
    <row r="104">
      <c r="A104" s="37"/>
      <c r="B104" s="37"/>
      <c r="C104" s="37"/>
      <c r="D104" s="37"/>
      <c r="E104" s="37"/>
      <c r="K104" s="48"/>
    </row>
    <row r="105">
      <c r="A105" s="37"/>
      <c r="B105" s="37"/>
      <c r="C105" s="37"/>
      <c r="D105" s="37"/>
      <c r="E105" s="37"/>
      <c r="K105" s="48"/>
    </row>
    <row r="106">
      <c r="A106" s="37"/>
      <c r="B106" s="37"/>
      <c r="C106" s="37"/>
      <c r="D106" s="37"/>
      <c r="E106" s="37"/>
      <c r="K106" s="48"/>
    </row>
    <row r="107">
      <c r="A107" s="37"/>
      <c r="B107" s="37"/>
      <c r="C107" s="37"/>
      <c r="D107" s="37"/>
      <c r="E107" s="37"/>
      <c r="K107" s="48"/>
    </row>
    <row r="108">
      <c r="A108" s="37"/>
      <c r="B108" s="37"/>
      <c r="C108" s="37"/>
      <c r="D108" s="37"/>
      <c r="E108" s="37"/>
      <c r="K108" s="48"/>
    </row>
    <row r="109">
      <c r="A109" s="37"/>
      <c r="B109" s="37"/>
      <c r="C109" s="37"/>
      <c r="D109" s="37"/>
      <c r="E109" s="37"/>
      <c r="K109" s="48"/>
    </row>
    <row r="110">
      <c r="A110" s="37"/>
      <c r="B110" s="37"/>
      <c r="C110" s="37"/>
      <c r="D110" s="37"/>
      <c r="E110" s="37"/>
      <c r="K110" s="48"/>
    </row>
    <row r="111">
      <c r="A111" s="37"/>
      <c r="B111" s="37"/>
      <c r="C111" s="37"/>
      <c r="D111" s="37"/>
      <c r="E111" s="37"/>
      <c r="K111" s="48"/>
    </row>
    <row r="112">
      <c r="A112" s="37"/>
      <c r="B112" s="37"/>
      <c r="C112" s="37"/>
      <c r="D112" s="37"/>
      <c r="E112" s="37"/>
      <c r="K112" s="48"/>
    </row>
    <row r="113">
      <c r="A113" s="37"/>
      <c r="B113" s="37"/>
      <c r="C113" s="37"/>
      <c r="D113" s="37"/>
      <c r="E113" s="37"/>
      <c r="K113" s="48"/>
    </row>
    <row r="114">
      <c r="A114" s="37"/>
      <c r="B114" s="37"/>
      <c r="C114" s="37"/>
      <c r="D114" s="37"/>
      <c r="E114" s="37"/>
      <c r="K114" s="48"/>
    </row>
    <row r="115">
      <c r="A115" s="37"/>
      <c r="B115" s="37"/>
      <c r="C115" s="37"/>
      <c r="D115" s="37"/>
      <c r="E115" s="37"/>
      <c r="K115" s="48"/>
    </row>
    <row r="116">
      <c r="A116" s="37"/>
      <c r="B116" s="37"/>
      <c r="C116" s="37"/>
      <c r="D116" s="37"/>
      <c r="E116" s="37"/>
      <c r="K116" s="48"/>
    </row>
    <row r="117">
      <c r="A117" s="37"/>
      <c r="B117" s="37"/>
      <c r="C117" s="37"/>
      <c r="D117" s="37"/>
      <c r="E117" s="37"/>
      <c r="K117" s="48"/>
    </row>
    <row r="118">
      <c r="A118" s="37"/>
      <c r="B118" s="37"/>
      <c r="C118" s="37"/>
      <c r="D118" s="37"/>
      <c r="E118" s="37"/>
      <c r="K118" s="48"/>
    </row>
    <row r="119">
      <c r="A119" s="37"/>
      <c r="B119" s="37"/>
      <c r="C119" s="37"/>
      <c r="D119" s="37"/>
      <c r="E119" s="37"/>
      <c r="K119" s="48"/>
    </row>
    <row r="120">
      <c r="A120" s="37"/>
      <c r="B120" s="37"/>
      <c r="C120" s="37"/>
      <c r="D120" s="37"/>
      <c r="E120" s="37"/>
      <c r="K120" s="48"/>
    </row>
    <row r="121">
      <c r="A121" s="37"/>
      <c r="B121" s="37"/>
      <c r="C121" s="37"/>
      <c r="D121" s="37"/>
      <c r="E121" s="37"/>
      <c r="K121" s="48"/>
    </row>
    <row r="122">
      <c r="A122" s="37"/>
      <c r="B122" s="37"/>
      <c r="C122" s="37"/>
      <c r="D122" s="37"/>
      <c r="E122" s="37"/>
      <c r="K122" s="48"/>
    </row>
    <row r="123">
      <c r="A123" s="37"/>
      <c r="B123" s="37"/>
      <c r="C123" s="37"/>
      <c r="D123" s="37"/>
      <c r="E123" s="37"/>
      <c r="K123" s="48"/>
    </row>
    <row r="124">
      <c r="A124" s="37"/>
      <c r="B124" s="37"/>
      <c r="C124" s="37"/>
      <c r="D124" s="37"/>
      <c r="E124" s="37"/>
      <c r="K124" s="48"/>
    </row>
    <row r="125">
      <c r="A125" s="37"/>
      <c r="B125" s="37"/>
      <c r="C125" s="37"/>
      <c r="D125" s="37"/>
      <c r="E125" s="37"/>
      <c r="K125" s="48"/>
    </row>
    <row r="126">
      <c r="A126" s="37"/>
      <c r="B126" s="37"/>
      <c r="C126" s="37"/>
      <c r="D126" s="37"/>
      <c r="E126" s="37"/>
      <c r="K126" s="48"/>
    </row>
    <row r="127">
      <c r="A127" s="37"/>
      <c r="B127" s="37"/>
      <c r="C127" s="37"/>
      <c r="D127" s="37"/>
      <c r="E127" s="37"/>
      <c r="K127" s="48"/>
    </row>
    <row r="128">
      <c r="A128" s="37"/>
      <c r="B128" s="37"/>
      <c r="C128" s="37"/>
      <c r="D128" s="37"/>
      <c r="E128" s="37"/>
      <c r="K128" s="48"/>
    </row>
    <row r="129">
      <c r="A129" s="37"/>
      <c r="B129" s="37"/>
      <c r="C129" s="37"/>
      <c r="D129" s="37"/>
      <c r="E129" s="37"/>
      <c r="K129" s="48"/>
    </row>
    <row r="130">
      <c r="A130" s="37"/>
      <c r="B130" s="37"/>
      <c r="C130" s="37"/>
      <c r="D130" s="37"/>
      <c r="E130" s="37"/>
      <c r="K130" s="48"/>
    </row>
    <row r="131">
      <c r="A131" s="37"/>
      <c r="B131" s="37"/>
      <c r="C131" s="37"/>
      <c r="D131" s="37"/>
      <c r="E131" s="37"/>
      <c r="K131" s="48"/>
    </row>
    <row r="132">
      <c r="A132" s="37"/>
      <c r="B132" s="37"/>
      <c r="C132" s="37"/>
      <c r="D132" s="37"/>
      <c r="E132" s="37"/>
      <c r="K132" s="48"/>
    </row>
    <row r="133">
      <c r="A133" s="37"/>
      <c r="B133" s="37"/>
      <c r="C133" s="37"/>
      <c r="D133" s="37"/>
      <c r="E133" s="37"/>
      <c r="K133" s="48"/>
    </row>
    <row r="134">
      <c r="A134" s="37"/>
      <c r="B134" s="37"/>
      <c r="C134" s="37"/>
      <c r="D134" s="37"/>
      <c r="E134" s="37"/>
      <c r="K134" s="48"/>
    </row>
    <row r="135">
      <c r="A135" s="37"/>
      <c r="B135" s="37"/>
      <c r="C135" s="37"/>
      <c r="D135" s="37"/>
      <c r="E135" s="37"/>
      <c r="K135" s="48"/>
    </row>
    <row r="136">
      <c r="A136" s="37"/>
      <c r="B136" s="37"/>
      <c r="C136" s="37"/>
      <c r="D136" s="37"/>
      <c r="E136" s="37"/>
      <c r="K136" s="48"/>
    </row>
    <row r="137">
      <c r="A137" s="37"/>
      <c r="B137" s="37"/>
      <c r="C137" s="37"/>
      <c r="D137" s="37"/>
      <c r="E137" s="37"/>
      <c r="K137" s="48"/>
    </row>
    <row r="138">
      <c r="A138" s="37"/>
      <c r="B138" s="37"/>
      <c r="C138" s="37"/>
      <c r="D138" s="37"/>
      <c r="E138" s="37"/>
      <c r="K138" s="48"/>
    </row>
    <row r="139">
      <c r="A139" s="37"/>
      <c r="B139" s="37"/>
      <c r="C139" s="37"/>
      <c r="D139" s="37"/>
      <c r="E139" s="37"/>
      <c r="K139" s="48"/>
    </row>
    <row r="140">
      <c r="A140" s="37"/>
      <c r="B140" s="37"/>
      <c r="C140" s="37"/>
      <c r="D140" s="37"/>
      <c r="E140" s="37"/>
      <c r="K140" s="48"/>
    </row>
    <row r="141">
      <c r="A141" s="37"/>
      <c r="B141" s="37"/>
      <c r="C141" s="37"/>
      <c r="D141" s="37"/>
      <c r="E141" s="37"/>
      <c r="K141" s="48"/>
    </row>
    <row r="142">
      <c r="A142" s="37"/>
      <c r="B142" s="37"/>
      <c r="C142" s="37"/>
      <c r="D142" s="37"/>
      <c r="E142" s="37"/>
      <c r="K142" s="48"/>
    </row>
    <row r="143">
      <c r="A143" s="37"/>
      <c r="B143" s="37"/>
      <c r="C143" s="37"/>
      <c r="D143" s="37"/>
      <c r="E143" s="37"/>
      <c r="K143" s="48"/>
    </row>
    <row r="144">
      <c r="A144" s="37"/>
      <c r="B144" s="37"/>
      <c r="C144" s="37"/>
      <c r="D144" s="37"/>
      <c r="E144" s="37"/>
      <c r="K144" s="48"/>
    </row>
    <row r="145">
      <c r="A145" s="37"/>
      <c r="B145" s="37"/>
      <c r="C145" s="37"/>
      <c r="D145" s="37"/>
      <c r="E145" s="37"/>
      <c r="K145" s="48"/>
    </row>
    <row r="146">
      <c r="A146" s="37"/>
      <c r="B146" s="37"/>
      <c r="C146" s="37"/>
      <c r="D146" s="37"/>
      <c r="E146" s="37"/>
      <c r="K146" s="48"/>
    </row>
    <row r="147">
      <c r="A147" s="37"/>
      <c r="B147" s="37"/>
      <c r="C147" s="37"/>
      <c r="D147" s="37"/>
      <c r="E147" s="37"/>
      <c r="K147" s="48"/>
    </row>
    <row r="148">
      <c r="A148" s="37"/>
      <c r="B148" s="37"/>
      <c r="C148" s="37"/>
      <c r="D148" s="37"/>
      <c r="E148" s="37"/>
      <c r="K148" s="48"/>
    </row>
    <row r="149">
      <c r="A149" s="37"/>
      <c r="B149" s="37"/>
      <c r="C149" s="37"/>
      <c r="D149" s="37"/>
      <c r="E149" s="37"/>
      <c r="K149" s="48"/>
    </row>
    <row r="150">
      <c r="A150" s="37"/>
      <c r="B150" s="37"/>
      <c r="C150" s="37"/>
      <c r="D150" s="37"/>
      <c r="E150" s="37"/>
      <c r="K150" s="48"/>
    </row>
    <row r="151">
      <c r="A151" s="37"/>
      <c r="B151" s="37"/>
      <c r="C151" s="37"/>
      <c r="D151" s="37"/>
      <c r="E151" s="37"/>
      <c r="K151" s="48"/>
    </row>
    <row r="152">
      <c r="A152" s="37"/>
      <c r="B152" s="37"/>
      <c r="C152" s="37"/>
      <c r="D152" s="37"/>
      <c r="E152" s="37"/>
      <c r="K152" s="48"/>
    </row>
    <row r="153">
      <c r="A153" s="37"/>
      <c r="B153" s="37"/>
      <c r="C153" s="37"/>
      <c r="D153" s="37"/>
      <c r="E153" s="37"/>
      <c r="K153" s="48"/>
    </row>
    <row r="154">
      <c r="A154" s="37"/>
      <c r="B154" s="37"/>
      <c r="C154" s="37"/>
      <c r="D154" s="37"/>
      <c r="E154" s="37"/>
      <c r="K154" s="48"/>
    </row>
    <row r="155">
      <c r="A155" s="37"/>
      <c r="B155" s="37"/>
      <c r="C155" s="37"/>
      <c r="D155" s="37"/>
      <c r="E155" s="37"/>
      <c r="K155" s="48"/>
    </row>
    <row r="156">
      <c r="A156" s="37"/>
      <c r="B156" s="37"/>
      <c r="C156" s="37"/>
      <c r="D156" s="37"/>
      <c r="E156" s="37"/>
      <c r="K156" s="48"/>
    </row>
    <row r="157">
      <c r="A157" s="37"/>
      <c r="B157" s="37"/>
      <c r="C157" s="37"/>
      <c r="D157" s="37"/>
      <c r="E157" s="37"/>
      <c r="K157" s="48"/>
    </row>
    <row r="158">
      <c r="A158" s="37"/>
      <c r="B158" s="37"/>
      <c r="C158" s="37"/>
      <c r="D158" s="37"/>
      <c r="E158" s="37"/>
      <c r="K158" s="48"/>
    </row>
    <row r="159">
      <c r="A159" s="37"/>
      <c r="B159" s="37"/>
      <c r="C159" s="37"/>
      <c r="D159" s="37"/>
      <c r="E159" s="37"/>
      <c r="K159" s="48"/>
    </row>
    <row r="160">
      <c r="A160" s="37"/>
      <c r="B160" s="37"/>
      <c r="C160" s="37"/>
      <c r="D160" s="37"/>
      <c r="E160" s="37"/>
      <c r="K160" s="48"/>
    </row>
    <row r="161">
      <c r="A161" s="37"/>
      <c r="B161" s="37"/>
      <c r="C161" s="37"/>
      <c r="D161" s="37"/>
      <c r="E161" s="37"/>
      <c r="K161" s="48"/>
    </row>
    <row r="162">
      <c r="A162" s="37"/>
      <c r="B162" s="37"/>
      <c r="C162" s="37"/>
      <c r="D162" s="37"/>
      <c r="E162" s="37"/>
      <c r="K162" s="48"/>
    </row>
    <row r="163">
      <c r="A163" s="37"/>
      <c r="B163" s="37"/>
      <c r="C163" s="37"/>
      <c r="D163" s="37"/>
      <c r="E163" s="37"/>
      <c r="K163" s="48"/>
    </row>
    <row r="164">
      <c r="A164" s="37"/>
      <c r="B164" s="37"/>
      <c r="C164" s="37"/>
      <c r="D164" s="37"/>
      <c r="E164" s="37"/>
      <c r="K164" s="48"/>
    </row>
    <row r="165">
      <c r="A165" s="37"/>
      <c r="B165" s="37"/>
      <c r="C165" s="37"/>
      <c r="D165" s="37"/>
      <c r="E165" s="37"/>
      <c r="K165" s="48"/>
    </row>
    <row r="166">
      <c r="A166" s="37"/>
      <c r="B166" s="37"/>
      <c r="C166" s="37"/>
      <c r="D166" s="37"/>
      <c r="E166" s="37"/>
      <c r="K166" s="4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row r="1010">
      <c r="A1010" s="37"/>
      <c r="B1010" s="37"/>
      <c r="C1010" s="37"/>
      <c r="D1010" s="37"/>
      <c r="E1010" s="37"/>
      <c r="K1010" s="48"/>
    </row>
    <row r="1011">
      <c r="A1011" s="37"/>
      <c r="B1011" s="37"/>
      <c r="C1011" s="37"/>
      <c r="D1011" s="37"/>
      <c r="E1011" s="37"/>
      <c r="K1011" s="48"/>
    </row>
    <row r="1012">
      <c r="A1012" s="37"/>
      <c r="B1012" s="37"/>
      <c r="C1012" s="37"/>
      <c r="D1012" s="37"/>
      <c r="E1012" s="37"/>
      <c r="K1012" s="48"/>
    </row>
    <row r="1013">
      <c r="A1013" s="37"/>
      <c r="B1013" s="37"/>
      <c r="C1013" s="37"/>
      <c r="D1013" s="37"/>
      <c r="E1013" s="37"/>
      <c r="K1013" s="48"/>
    </row>
    <row r="1014">
      <c r="A1014" s="37"/>
      <c r="B1014" s="37"/>
      <c r="C1014" s="37"/>
      <c r="D1014" s="37"/>
      <c r="E1014" s="37"/>
      <c r="K1014" s="48"/>
    </row>
    <row r="1015">
      <c r="A1015" s="37"/>
      <c r="B1015" s="37"/>
      <c r="C1015" s="37"/>
      <c r="D1015" s="37"/>
      <c r="E1015" s="37"/>
      <c r="K1015" s="48"/>
    </row>
    <row r="1016">
      <c r="A1016" s="37"/>
      <c r="B1016" s="37"/>
      <c r="C1016" s="37"/>
      <c r="D1016" s="37"/>
      <c r="E1016" s="37"/>
      <c r="K1016" s="48"/>
    </row>
    <row r="1017">
      <c r="A1017" s="37"/>
      <c r="B1017" s="37"/>
      <c r="C1017" s="37"/>
      <c r="D1017" s="37"/>
      <c r="E1017" s="37"/>
      <c r="K1017" s="48"/>
    </row>
    <row r="1018">
      <c r="A1018" s="37"/>
      <c r="B1018" s="37"/>
      <c r="C1018" s="37"/>
      <c r="D1018" s="37"/>
      <c r="E1018" s="37"/>
      <c r="K1018" s="48"/>
    </row>
    <row r="1019">
      <c r="A1019" s="37"/>
      <c r="B1019" s="37"/>
      <c r="C1019" s="37"/>
      <c r="D1019" s="37"/>
      <c r="E1019" s="37"/>
      <c r="K1019" s="48"/>
    </row>
    <row r="1020">
      <c r="A1020" s="37"/>
      <c r="B1020" s="37"/>
      <c r="C1020" s="37"/>
      <c r="D1020" s="37"/>
      <c r="E1020" s="37"/>
      <c r="K1020" s="48"/>
    </row>
    <row r="1021">
      <c r="A1021" s="37"/>
      <c r="B1021" s="37"/>
      <c r="C1021" s="37"/>
      <c r="D1021" s="37"/>
      <c r="E1021" s="37"/>
      <c r="K1021" s="48"/>
    </row>
    <row r="1022">
      <c r="A1022" s="37"/>
      <c r="B1022" s="37"/>
      <c r="C1022" s="37"/>
      <c r="D1022" s="37"/>
      <c r="E1022" s="37"/>
      <c r="K1022" s="48"/>
    </row>
    <row r="1023">
      <c r="A1023" s="37"/>
      <c r="B1023" s="37"/>
      <c r="C1023" s="37"/>
      <c r="D1023" s="37"/>
      <c r="E1023" s="37"/>
      <c r="K1023" s="48"/>
    </row>
    <row r="1024">
      <c r="A1024" s="37"/>
      <c r="B1024" s="37"/>
      <c r="C1024" s="37"/>
      <c r="D1024" s="37"/>
      <c r="E1024" s="37"/>
      <c r="K1024" s="48"/>
    </row>
    <row r="1025">
      <c r="A1025" s="37"/>
      <c r="B1025" s="37"/>
      <c r="C1025" s="37"/>
      <c r="D1025" s="37"/>
      <c r="E1025" s="37"/>
      <c r="K1025" s="48"/>
    </row>
    <row r="1026">
      <c r="A1026" s="37"/>
      <c r="B1026" s="37"/>
      <c r="C1026" s="37"/>
      <c r="D1026" s="37"/>
      <c r="E1026" s="37"/>
      <c r="K1026" s="48"/>
    </row>
    <row r="1027">
      <c r="A1027" s="37"/>
      <c r="B1027" s="37"/>
      <c r="C1027" s="37"/>
      <c r="D1027" s="37"/>
      <c r="E1027" s="37"/>
      <c r="K1027" s="48"/>
    </row>
    <row r="1028">
      <c r="A1028" s="37"/>
      <c r="B1028" s="37"/>
      <c r="C1028" s="37"/>
      <c r="D1028" s="37"/>
      <c r="E1028" s="37"/>
      <c r="K1028" s="48"/>
    </row>
    <row r="1029">
      <c r="A1029" s="37"/>
      <c r="B1029" s="37"/>
      <c r="C1029" s="37"/>
      <c r="D1029" s="37"/>
      <c r="E1029" s="37"/>
      <c r="K1029" s="48"/>
    </row>
    <row r="1030">
      <c r="A1030" s="37"/>
      <c r="B1030" s="37"/>
      <c r="C1030" s="37"/>
      <c r="D1030" s="37"/>
      <c r="E1030" s="37"/>
      <c r="K1030" s="48"/>
    </row>
    <row r="1031">
      <c r="A1031" s="37"/>
      <c r="B1031" s="37"/>
      <c r="C1031" s="37"/>
      <c r="D1031" s="37"/>
      <c r="E1031" s="37"/>
      <c r="K1031" s="48"/>
    </row>
    <row r="1032">
      <c r="A1032" s="37"/>
      <c r="B1032" s="37"/>
      <c r="C1032" s="37"/>
      <c r="D1032" s="37"/>
      <c r="E1032" s="37"/>
      <c r="K1032" s="48"/>
    </row>
    <row r="1033">
      <c r="A1033" s="37"/>
      <c r="B1033" s="37"/>
      <c r="C1033" s="37"/>
      <c r="D1033" s="37"/>
      <c r="E1033" s="37"/>
      <c r="K1033" s="48"/>
    </row>
    <row r="1034">
      <c r="A1034" s="37"/>
      <c r="B1034" s="37"/>
      <c r="C1034" s="37"/>
      <c r="D1034" s="37"/>
      <c r="E1034" s="37"/>
      <c r="K1034" s="48"/>
    </row>
    <row r="1035">
      <c r="A1035" s="37"/>
      <c r="B1035" s="37"/>
      <c r="C1035" s="37"/>
      <c r="D1035" s="37"/>
      <c r="E1035" s="37"/>
      <c r="K1035" s="48"/>
    </row>
    <row r="1036">
      <c r="A1036" s="37"/>
      <c r="B1036" s="37"/>
      <c r="C1036" s="37"/>
      <c r="D1036" s="37"/>
      <c r="E1036" s="37"/>
      <c r="K1036" s="48"/>
    </row>
    <row r="1037">
      <c r="A1037" s="37"/>
      <c r="B1037" s="37"/>
      <c r="C1037" s="37"/>
      <c r="D1037" s="37"/>
      <c r="E1037" s="37"/>
      <c r="K1037" s="48"/>
    </row>
    <row r="1038">
      <c r="A1038" s="37"/>
      <c r="B1038" s="37"/>
      <c r="C1038" s="37"/>
      <c r="D1038" s="37"/>
      <c r="E1038" s="37"/>
      <c r="K1038" s="48"/>
    </row>
    <row r="1039">
      <c r="A1039" s="37"/>
      <c r="B1039" s="37"/>
      <c r="C1039" s="37"/>
      <c r="D1039" s="37"/>
      <c r="E1039" s="37"/>
      <c r="K1039" s="48"/>
    </row>
    <row r="1040">
      <c r="A1040" s="37"/>
      <c r="B1040" s="37"/>
      <c r="C1040" s="37"/>
      <c r="D1040" s="37"/>
      <c r="E1040" s="37"/>
      <c r="K1040" s="48"/>
    </row>
    <row r="1041">
      <c r="A1041" s="37"/>
      <c r="B1041" s="37"/>
      <c r="C1041" s="37"/>
      <c r="D1041" s="37"/>
      <c r="E1041" s="37"/>
      <c r="K1041" s="48"/>
    </row>
    <row r="1042">
      <c r="A1042" s="37"/>
      <c r="B1042" s="37"/>
      <c r="C1042" s="37"/>
      <c r="D1042" s="37"/>
      <c r="E1042" s="37"/>
      <c r="K1042" s="48"/>
    </row>
    <row r="1043">
      <c r="A1043" s="37"/>
      <c r="B1043" s="37"/>
      <c r="C1043" s="37"/>
      <c r="D1043" s="37"/>
      <c r="E1043" s="37"/>
      <c r="K1043" s="48"/>
    </row>
    <row r="1044">
      <c r="A1044" s="37"/>
      <c r="B1044" s="37"/>
      <c r="C1044" s="37"/>
      <c r="D1044" s="37"/>
      <c r="E1044" s="37"/>
      <c r="K1044" s="48"/>
    </row>
    <row r="1045">
      <c r="A1045" s="37"/>
      <c r="B1045" s="37"/>
      <c r="C1045" s="37"/>
      <c r="D1045" s="37"/>
      <c r="E1045" s="37"/>
      <c r="K1045" s="48"/>
    </row>
    <row r="1046">
      <c r="A1046" s="37"/>
      <c r="B1046" s="37"/>
      <c r="C1046" s="37"/>
      <c r="D1046" s="37"/>
      <c r="E1046" s="37"/>
      <c r="K1046" s="48"/>
    </row>
    <row r="1047">
      <c r="A1047" s="37"/>
      <c r="B1047" s="37"/>
      <c r="C1047" s="37"/>
      <c r="D1047" s="37"/>
      <c r="E1047" s="37"/>
      <c r="K1047" s="48"/>
    </row>
    <row r="1048">
      <c r="A1048" s="37"/>
      <c r="B1048" s="37"/>
      <c r="C1048" s="37"/>
      <c r="D1048" s="37"/>
      <c r="E1048" s="37"/>
      <c r="K1048" s="48"/>
    </row>
    <row r="1049">
      <c r="A1049" s="37"/>
      <c r="B1049" s="37"/>
      <c r="C1049" s="37"/>
      <c r="D1049" s="37"/>
      <c r="E1049" s="37"/>
      <c r="K1049" s="48"/>
    </row>
    <row r="1050">
      <c r="A1050" s="37"/>
      <c r="B1050" s="37"/>
      <c r="C1050" s="37"/>
      <c r="D1050" s="37"/>
      <c r="E1050" s="37"/>
      <c r="K1050" s="48"/>
    </row>
    <row r="1051">
      <c r="A1051" s="37"/>
      <c r="B1051" s="37"/>
      <c r="C1051" s="37"/>
      <c r="D1051" s="37"/>
      <c r="E1051" s="37"/>
      <c r="K1051" s="48"/>
    </row>
    <row r="1052">
      <c r="A1052" s="37"/>
      <c r="B1052" s="37"/>
      <c r="C1052" s="37"/>
      <c r="D1052" s="37"/>
      <c r="E1052" s="37"/>
      <c r="K1052" s="48"/>
    </row>
    <row r="1053">
      <c r="A1053" s="37"/>
      <c r="B1053" s="37"/>
      <c r="C1053" s="37"/>
      <c r="D1053" s="37"/>
      <c r="E1053" s="37"/>
      <c r="K1053" s="48"/>
    </row>
    <row r="1054">
      <c r="A1054" s="37"/>
      <c r="B1054" s="37"/>
      <c r="C1054" s="37"/>
      <c r="D1054" s="37"/>
      <c r="E1054" s="37"/>
      <c r="K1054" s="48"/>
    </row>
    <row r="1055">
      <c r="A1055" s="37"/>
      <c r="B1055" s="37"/>
      <c r="C1055" s="37"/>
      <c r="D1055" s="37"/>
      <c r="E1055" s="37"/>
      <c r="K1055" s="48"/>
    </row>
    <row r="1056">
      <c r="A1056" s="37"/>
      <c r="B1056" s="37"/>
      <c r="C1056" s="37"/>
      <c r="D1056" s="37"/>
      <c r="E1056" s="37"/>
      <c r="K1056" s="48"/>
    </row>
    <row r="1057">
      <c r="A1057" s="37"/>
      <c r="B1057" s="37"/>
      <c r="C1057" s="37"/>
      <c r="D1057" s="37"/>
      <c r="E1057" s="37"/>
      <c r="K1057" s="48"/>
    </row>
    <row r="1058">
      <c r="A1058" s="37"/>
      <c r="B1058" s="37"/>
      <c r="C1058" s="37"/>
      <c r="D1058" s="37"/>
      <c r="E1058" s="37"/>
      <c r="K1058" s="48"/>
    </row>
    <row r="1059">
      <c r="A1059" s="37"/>
      <c r="B1059" s="37"/>
      <c r="C1059" s="37"/>
      <c r="D1059" s="37"/>
      <c r="E1059" s="37"/>
      <c r="K1059" s="48"/>
    </row>
    <row r="1060">
      <c r="A1060" s="37"/>
      <c r="B1060" s="37"/>
      <c r="C1060" s="37"/>
      <c r="D1060" s="37"/>
      <c r="E1060" s="37"/>
      <c r="K1060" s="48"/>
    </row>
  </sheetData>
  <mergeCells count="5">
    <mergeCell ref="A5:B5"/>
    <mergeCell ref="C5:D5"/>
    <mergeCell ref="A6:B6"/>
    <mergeCell ref="C6:D6"/>
    <mergeCell ref="A7:D8"/>
  </mergeCells>
  <dataValidations>
    <dataValidation type="list" allowBlank="1" showErrorMessage="1" sqref="B9">
      <formula1>"MINH THUẬN,CẨM NHIÊN,Nhung"</formula1>
    </dataValidation>
    <dataValidation type="list" allowBlank="1" showErrorMessage="1" sqref="O3:O85">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6.88"/>
    <col customWidth="1" min="10" max="10" width="14.63"/>
    <col customWidth="1" min="11" max="11" width="14.0"/>
    <col customWidth="1" min="12" max="12" width="23.75"/>
    <col customWidth="1" min="13" max="13" width="25.25"/>
    <col customWidth="1" min="14" max="14" width="24.25"/>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55</v>
      </c>
      <c r="B3" s="11">
        <f>COUNTIF(O:O,"Pass")</f>
        <v>0</v>
      </c>
      <c r="C3" s="11">
        <f>COUNTIF(O:O,"Fail")</f>
        <v>0</v>
      </c>
      <c r="D3" s="11">
        <f>COUNTIF(O:O,"Untest")</f>
        <v>0</v>
      </c>
      <c r="E3" s="8"/>
      <c r="F3" s="12" t="s">
        <v>1376</v>
      </c>
      <c r="G3" s="12" t="s">
        <v>15</v>
      </c>
      <c r="H3" s="12" t="s">
        <v>1377</v>
      </c>
      <c r="I3" s="12" t="s">
        <v>1378</v>
      </c>
      <c r="J3" s="12" t="s">
        <v>1379</v>
      </c>
      <c r="K3" s="13" t="str">
        <f>IFERROR(__xludf.DUMMYFUNCTION("IF(ISBLANK(J3), ""Input test step"", ARRAYFORMULA(TEXTJOIN(CHAR(10), TRUE, (""Step ""&amp; ROW(INDIRECT(""1:"" &amp; COUNTA(SPLIT(J3, CHAR(10))))) &amp; "": "" &amp; TRANSPOSE(SPLIT(J3, CHAR(10)))))))"),"Step 1: Navigate to Payment page
Step 2: Checkout heading's size, position, font color, and ability to stay in place when scrolling")</f>
        <v>Step 1: Navigate to Payment page
Step 2: Checkout heading's size, position, font color, and ability to stay in place when scrolling</v>
      </c>
      <c r="L3" s="14"/>
      <c r="M3" s="12" t="s">
        <v>1380</v>
      </c>
      <c r="N3" s="12"/>
      <c r="O3" s="12"/>
      <c r="P3" s="12"/>
    </row>
    <row r="4">
      <c r="A4" s="15" t="s">
        <v>20</v>
      </c>
      <c r="B4" s="16"/>
      <c r="C4" s="17">
        <f>IFERROR(((B3+C3)/A3),0)</f>
        <v>0</v>
      </c>
      <c r="D4" s="16"/>
      <c r="E4" s="18"/>
      <c r="F4" s="12" t="s">
        <v>1381</v>
      </c>
      <c r="G4" s="12"/>
      <c r="H4" s="12" t="s">
        <v>1382</v>
      </c>
      <c r="I4" s="12" t="s">
        <v>1378</v>
      </c>
      <c r="J4" s="12" t="s">
        <v>1383</v>
      </c>
      <c r="K4" s="13" t="str">
        <f>IFERROR(__xludf.DUMMYFUNCTION("IF(ISBLANK(J4), ""Input test step"", ARRAYFORMULA(TEXTJOIN(CHAR(10), TRUE, (""Step ""&amp; ROW(INDIRECT(""1:"" &amp; COUNTA(SPLIT(J4, CHAR(10))))) &amp; "": "" &amp; TRANSPOSE(SPLIT(J4, CHAR(10)))))))"),"Step 1: Navigate to Payment page
Step 2: Check the correct size, position, and background color of the shipping address text")</f>
        <v>Step 1: Navigate to Payment page
Step 2: Check the correct size, position, and background color of the shipping address text</v>
      </c>
      <c r="L4" s="14"/>
      <c r="M4" s="12" t="s">
        <v>1384</v>
      </c>
      <c r="N4" s="12"/>
      <c r="O4" s="12"/>
      <c r="P4" s="19"/>
    </row>
    <row r="5">
      <c r="A5" s="15" t="s">
        <v>26</v>
      </c>
      <c r="B5" s="16"/>
      <c r="C5" s="20">
        <f>IFERROR(B3/(B3+C3),0)</f>
        <v>0</v>
      </c>
      <c r="D5" s="16"/>
      <c r="E5" s="18"/>
      <c r="F5" s="12" t="s">
        <v>1385</v>
      </c>
      <c r="G5" s="12"/>
      <c r="H5" s="12" t="s">
        <v>1386</v>
      </c>
      <c r="I5" s="12" t="s">
        <v>1378</v>
      </c>
      <c r="J5" s="12" t="s">
        <v>1387</v>
      </c>
      <c r="K5" s="13" t="str">
        <f>IFERROR(__xludf.DUMMYFUNCTION("IF(ISBLANK(J5), ""Input test step"", ARRAYFORMULA(TEXTJOIN(CHAR(10), TRUE, (""Step ""&amp; ROW(INDIRECT(""1:"" &amp; COUNTA(SPLIT(J5, CHAR(10))))) &amp; "": "" &amp; TRANSPOSE(SPLIT(J5, CHAR(10)))))))"),"Step 1: Navigate to Payment page
Step 2: Check that the ""Shipping Address"" title is displayed correctly in size, position, and font color")</f>
        <v>Step 1: Navigate to Payment page
Step 2: Check that the "Shipping Address" title is displayed correctly in size, position, and font color</v>
      </c>
      <c r="L5" s="14"/>
      <c r="M5" s="21" t="s">
        <v>1388</v>
      </c>
      <c r="N5" s="22"/>
      <c r="O5" s="12"/>
      <c r="P5" s="19"/>
    </row>
    <row r="6">
      <c r="A6" s="23" t="s">
        <v>1389</v>
      </c>
      <c r="D6" s="24"/>
      <c r="E6" s="18"/>
      <c r="F6" s="12" t="s">
        <v>1390</v>
      </c>
      <c r="G6" s="12"/>
      <c r="H6" s="12" t="s">
        <v>1391</v>
      </c>
      <c r="I6" s="12" t="s">
        <v>1378</v>
      </c>
      <c r="J6" s="12" t="s">
        <v>1392</v>
      </c>
      <c r="K6" s="13" t="str">
        <f>IFERROR(__xludf.DUMMYFUNCTION("IF(ISBLANK(J6), ""Input test step"", ARRAYFORMULA(TEXTJOIN(CHAR(10), TRUE, (""Step ""&amp; ROW(INDIRECT(""1:"" &amp; COUNTA(SPLIT(J6, CHAR(10))))) &amp; "": "" &amp; TRANSPOSE(SPLIT(J6, CHAR(10)))))))"),"Step 1: Navigate to Payment page
Step 2: Check map icon display correct size, position, background color")</f>
        <v>Step 1: Navigate to Payment page
Step 2: Check map icon display correct size, position, background color</v>
      </c>
      <c r="L6" s="14"/>
      <c r="M6" s="12" t="s">
        <v>1393</v>
      </c>
      <c r="N6" s="12"/>
      <c r="O6" s="12"/>
      <c r="P6" s="19"/>
    </row>
    <row r="7">
      <c r="A7" s="70"/>
      <c r="B7" s="71"/>
      <c r="C7" s="71"/>
      <c r="D7" s="16"/>
      <c r="E7" s="18"/>
      <c r="F7" s="12" t="s">
        <v>1394</v>
      </c>
      <c r="G7" s="12"/>
      <c r="H7" s="12" t="s">
        <v>1395</v>
      </c>
      <c r="I7" s="12" t="s">
        <v>1378</v>
      </c>
      <c r="J7" s="12" t="s">
        <v>1396</v>
      </c>
      <c r="K7" s="13" t="str">
        <f>IFERROR(__xludf.DUMMYFUNCTION("IF(ISBLANK(J7), ""Input test step"", ARRAYFORMULA(TEXTJOIN(CHAR(10), TRUE, (""Step ""&amp; ROW(INDIRECT(""1:"" &amp; COUNTA(SPLIT(J7, CHAR(10))))) &amp; "": "" &amp; TRANSPOSE(SPLIT(J7, CHAR(10)))))))"),"Step 1: Navigate to Payment page
Step 2: Check that the recipient name is displayed in the correct size, position, and color")</f>
        <v>Step 1: Navigate to Payment page
Step 2: Check that the recipient name is displayed in the correct size, position, and color</v>
      </c>
      <c r="L7" s="14"/>
      <c r="M7" s="12" t="s">
        <v>1397</v>
      </c>
      <c r="N7" s="12"/>
      <c r="O7" s="12"/>
      <c r="P7" s="19"/>
    </row>
    <row r="8">
      <c r="A8" s="26" t="s">
        <v>46</v>
      </c>
      <c r="B8" s="27" t="s">
        <v>47</v>
      </c>
      <c r="C8" s="28"/>
      <c r="D8" s="28"/>
      <c r="E8" s="18"/>
      <c r="F8" s="12" t="s">
        <v>1398</v>
      </c>
      <c r="G8" s="12"/>
      <c r="H8" s="12" t="s">
        <v>1399</v>
      </c>
      <c r="I8" s="12" t="s">
        <v>1378</v>
      </c>
      <c r="J8" s="12" t="s">
        <v>1400</v>
      </c>
      <c r="K8" s="13" t="str">
        <f>IFERROR(__xludf.DUMMYFUNCTION("IF(ISBLANK(J8), ""Input test step"", ARRAYFORMULA(TEXTJOIN(CHAR(10), TRUE, (""Step ""&amp; ROW(INDIRECT(""1:"" &amp; COUNTA(SPLIT(J8, CHAR(10))))) &amp; "": "" &amp; TRANSPOSE(SPLIT(J8, CHAR(10)))))))"),"Step 1: Navigate to Payment page
Step 2: Check the phone number font size, position, and color are correct")</f>
        <v>Step 1: Navigate to Payment page
Step 2: Check the phone number font size, position, and color are correct</v>
      </c>
      <c r="L8" s="14"/>
      <c r="M8" s="12" t="s">
        <v>1401</v>
      </c>
      <c r="N8" s="12"/>
      <c r="O8" s="12"/>
      <c r="P8" s="19"/>
    </row>
    <row r="9">
      <c r="A9" s="28"/>
      <c r="B9" s="28"/>
      <c r="C9" s="28"/>
      <c r="D9" s="28"/>
      <c r="E9" s="18"/>
      <c r="F9" s="12" t="s">
        <v>1402</v>
      </c>
      <c r="G9" s="12"/>
      <c r="H9" s="12" t="s">
        <v>1403</v>
      </c>
      <c r="I9" s="12" t="s">
        <v>1378</v>
      </c>
      <c r="J9" s="12" t="s">
        <v>1404</v>
      </c>
      <c r="K9" s="13" t="str">
        <f>IFERROR(__xludf.DUMMYFUNCTION("IF(ISBLANK(J9), ""Input test step"", ARRAYFORMULA(TEXTJOIN(CHAR(10), TRUE, (""Step ""&amp; ROW(INDIRECT(""1:"" &amp; COUNTA(SPLIT(J9, CHAR(10))))) &amp; "": "" &amp; TRANSPOSE(SPLIT(J9, CHAR(10)))))))"),"Step 1: Navigate to Payment page
Step 2: Check correct display of address font size, position, color")</f>
        <v>Step 1: Navigate to Payment page
Step 2: Check correct display of address font size, position, color</v>
      </c>
      <c r="L9" s="14"/>
      <c r="M9" s="12" t="s">
        <v>1405</v>
      </c>
      <c r="N9" s="12"/>
      <c r="O9" s="12"/>
      <c r="P9" s="19"/>
    </row>
    <row r="10">
      <c r="A10" s="28"/>
      <c r="B10" s="28"/>
      <c r="C10" s="28"/>
      <c r="D10" s="28"/>
      <c r="E10" s="18"/>
      <c r="F10" s="12" t="s">
        <v>1406</v>
      </c>
      <c r="G10" s="12"/>
      <c r="H10" s="12" t="s">
        <v>1407</v>
      </c>
      <c r="I10" s="12" t="s">
        <v>1378</v>
      </c>
      <c r="J10" s="12" t="s">
        <v>1408</v>
      </c>
      <c r="K10" s="13" t="str">
        <f>IFERROR(__xludf.DUMMYFUNCTION("IF(ISBLANK(J10), ""Input test step"", ARRAYFORMULA(TEXTJOIN(CHAR(10), TRUE, (""Step ""&amp; ROW(INDIRECT(""1:"" &amp; COUNTA(SPLIT(J10, CHAR(10))))) &amp; "": "" &amp; TRANSPOSE(SPLIT(J10, CHAR(10)))))))"),"Step 1: Navigate to Payment page
Step 2: Check the correct size, position, and font color of the icon area (&gt;) to go to the address selection page")</f>
        <v>Step 1: Navigate to Payment page
Step 2: Check the correct size, position, and font color of the icon area (&gt;) to go to the address selection page</v>
      </c>
      <c r="L10" s="14"/>
      <c r="M10" s="12" t="s">
        <v>1409</v>
      </c>
      <c r="N10" s="12"/>
      <c r="O10" s="12"/>
      <c r="P10" s="19"/>
    </row>
    <row r="11">
      <c r="A11" s="28"/>
      <c r="B11" s="28"/>
      <c r="C11" s="28"/>
      <c r="D11" s="28"/>
      <c r="E11" s="18"/>
      <c r="F11" s="12" t="s">
        <v>1410</v>
      </c>
      <c r="G11" s="12"/>
      <c r="H11" s="12" t="s">
        <v>1411</v>
      </c>
      <c r="I11" s="12" t="s">
        <v>1378</v>
      </c>
      <c r="J11" s="12" t="s">
        <v>1412</v>
      </c>
      <c r="K11" s="13" t="str">
        <f>IFERROR(__xludf.DUMMYFUNCTION("IF(ISBLANK(J11), ""Input test step"", ARRAYFORMULA(TEXTJOIN(CHAR(10), TRUE, (""Step ""&amp; ROW(INDIRECT(""1:"" &amp; COUNTA(SPLIT(J11, CHAR(10))))) &amp; "": "" &amp; TRANSPOSE(SPLIT(J11, CHAR(10)))))))"),"Step 1: Navigate to Paymentpage
Step 2: Check the correct size, position, and color of the note text ")</f>
        <v>Step 1: Navigate to Paymentpage
Step 2: Check the correct size, position, and color of the note text </v>
      </c>
      <c r="L11" s="14"/>
      <c r="M11" s="12" t="s">
        <v>1413</v>
      </c>
      <c r="N11" s="12"/>
      <c r="O11" s="12"/>
      <c r="P11" s="19"/>
    </row>
    <row r="12">
      <c r="A12" s="28"/>
      <c r="B12" s="28"/>
      <c r="C12" s="28"/>
      <c r="D12" s="28"/>
      <c r="E12" s="18"/>
      <c r="F12" s="12" t="s">
        <v>1414</v>
      </c>
      <c r="G12" s="12"/>
      <c r="H12" s="12" t="s">
        <v>1415</v>
      </c>
      <c r="I12" s="12" t="s">
        <v>1378</v>
      </c>
      <c r="J12" s="12" t="s">
        <v>1416</v>
      </c>
      <c r="K12" s="13" t="str">
        <f>IFERROR(__xludf.DUMMYFUNCTION("IF(ISBLANK(J12), ""Input test step"", ARRAYFORMULA(TEXTJOIN(CHAR(10), TRUE, (""Step ""&amp; ROW(INDIRECT(""1:"" &amp; COUNTA(SPLIT(J12, CHAR(10))))) &amp; "": "" &amp; TRANSPOSE(SPLIT(J12, CHAR(10)))))))"),"Step 1: Navigate to Payment page
Step 2: Check size, position of product list container")</f>
        <v>Step 1: Navigate to Payment page
Step 2: Check size, position of product list container</v>
      </c>
      <c r="L12" s="14"/>
      <c r="M12" s="12" t="s">
        <v>1417</v>
      </c>
      <c r="N12" s="12"/>
      <c r="O12" s="12"/>
      <c r="P12" s="19"/>
    </row>
    <row r="13">
      <c r="A13" s="28"/>
      <c r="B13" s="28"/>
      <c r="C13" s="28"/>
      <c r="D13" s="28"/>
      <c r="E13" s="18"/>
      <c r="F13" s="12" t="s">
        <v>1418</v>
      </c>
      <c r="G13" s="12"/>
      <c r="H13" s="12" t="s">
        <v>1419</v>
      </c>
      <c r="I13" s="12" t="s">
        <v>1378</v>
      </c>
      <c r="J13" s="12" t="s">
        <v>1420</v>
      </c>
      <c r="K13" s="13" t="str">
        <f>IFERROR(__xludf.DUMMYFUNCTION("IF(ISBLANK(J13), ""Input test step"", ARRAYFORMULA(TEXTJOIN(CHAR(10), TRUE, (""Step ""&amp; ROW(INDIRECT(""1:"" &amp; COUNTA(SPLIT(J13, CHAR(10))))) &amp; "": "" &amp; TRANSPOSE(SPLIT(J13, CHAR(10)))))))"),"Step 1: Navigate to Payment page
Step 2: Test scrollability when list is long")</f>
        <v>Step 1: Navigate to Payment page
Step 2: Test scrollability when list is long</v>
      </c>
      <c r="L13" s="14"/>
      <c r="M13" s="31" t="s">
        <v>1421</v>
      </c>
      <c r="N13" s="31"/>
      <c r="O13" s="12"/>
      <c r="P13" s="32"/>
    </row>
    <row r="14">
      <c r="A14" s="28"/>
      <c r="B14" s="28"/>
      <c r="C14" s="28"/>
      <c r="D14" s="28"/>
      <c r="E14" s="18"/>
      <c r="F14" s="12" t="s">
        <v>1422</v>
      </c>
      <c r="G14" s="12"/>
      <c r="H14" s="12" t="s">
        <v>1423</v>
      </c>
      <c r="I14" s="12" t="s">
        <v>1378</v>
      </c>
      <c r="J14" s="12" t="s">
        <v>1424</v>
      </c>
      <c r="K14" s="13" t="str">
        <f>IFERROR(__xludf.DUMMYFUNCTION("IF(ISBLANK(J14), ""Input test step"", ARRAYFORMULA(TEXTJOIN(CHAR(10), TRUE, (""Step ""&amp; ROW(INDIRECT(""1:"" &amp; COUNTA(SPLIT(J14, CHAR(10))))) &amp; "": "" &amp; TRANSPOSE(SPLIT(J14, CHAR(10)))))))"),"Step 1: Navigate to Payment page
Step 2: Check correct spacing between product items")</f>
        <v>Step 1: Navigate to Payment page
Step 2: Check correct spacing between product items</v>
      </c>
      <c r="L14" s="14"/>
      <c r="M14" s="31" t="s">
        <v>1425</v>
      </c>
      <c r="N14" s="31"/>
      <c r="O14" s="12"/>
      <c r="P14" s="32"/>
    </row>
    <row r="15">
      <c r="A15" s="28"/>
      <c r="B15" s="28"/>
      <c r="C15" s="28"/>
      <c r="D15" s="28"/>
      <c r="E15" s="18"/>
      <c r="F15" s="12" t="s">
        <v>1426</v>
      </c>
      <c r="G15" s="12"/>
      <c r="H15" s="12" t="s">
        <v>1427</v>
      </c>
      <c r="I15" s="12" t="s">
        <v>1378</v>
      </c>
      <c r="J15" s="12" t="s">
        <v>1428</v>
      </c>
      <c r="K15" s="13" t="str">
        <f>IFERROR(__xludf.DUMMYFUNCTION("IF(ISBLANK(J15), ""Input test step"", ARRAYFORMULA(TEXTJOIN(CHAR(10), TRUE, (""Step ""&amp; ROW(INDIRECT(""1:"" &amp; COUNTA(SPLIT(J15, CHAR(10))))) &amp; "": "" &amp; TRANSPOSE(SPLIT(J15, CHAR(10)))))))"),"Step 1: Navigate to Payment page
Step 2: Check the correct size, position, and font color of the title ""Total products: x"" ")</f>
        <v>Step 1: Navigate to Payment page
Step 2: Check the correct size, position, and font color of the title "Total products: x" </v>
      </c>
      <c r="L15" s="33"/>
      <c r="M15" s="31" t="s">
        <v>1429</v>
      </c>
      <c r="N15" s="31"/>
      <c r="O15" s="12"/>
      <c r="P15" s="32"/>
    </row>
    <row r="16">
      <c r="A16" s="28"/>
      <c r="B16" s="28"/>
      <c r="C16" s="28"/>
      <c r="D16" s="28"/>
      <c r="E16" s="18"/>
      <c r="F16" s="12" t="s">
        <v>1430</v>
      </c>
      <c r="G16" s="12"/>
      <c r="H16" s="12" t="s">
        <v>1431</v>
      </c>
      <c r="I16" s="12" t="s">
        <v>1378</v>
      </c>
      <c r="J16" s="12" t="s">
        <v>1432</v>
      </c>
      <c r="K16" s="13" t="str">
        <f>IFERROR(__xludf.DUMMYFUNCTION("IF(ISBLANK(J16), ""Input test step"", ARRAYFORMULA(TEXTJOIN(CHAR(10), TRUE, (""Step ""&amp; ROW(INDIRECT(""1:"" &amp; COUNTA(SPLIT(J16, CHAR(10))))) &amp; "": "" &amp; TRANSPOSE(SPLIT(J16, CHAR(10)))))))"),"Step 1: Navigate to Payment page
Step 2: Check size, position, sharpness of product images in 1 item")</f>
        <v>Step 1: Navigate to Payment page
Step 2: Check size, position, sharpness of product images in 1 item</v>
      </c>
      <c r="L16" s="33"/>
      <c r="M16" s="31" t="s">
        <v>1433</v>
      </c>
      <c r="N16" s="31"/>
      <c r="O16" s="12"/>
      <c r="P16" s="32"/>
    </row>
    <row r="17">
      <c r="A17" s="28"/>
      <c r="B17" s="28"/>
      <c r="C17" s="28"/>
      <c r="D17" s="28"/>
      <c r="E17" s="18"/>
      <c r="F17" s="12" t="s">
        <v>1434</v>
      </c>
      <c r="G17" s="12"/>
      <c r="H17" s="12" t="s">
        <v>1435</v>
      </c>
      <c r="I17" s="12" t="s">
        <v>1378</v>
      </c>
      <c r="J17" s="12" t="s">
        <v>1436</v>
      </c>
      <c r="K17" s="13" t="str">
        <f>IFERROR(__xludf.DUMMYFUNCTION("IF(ISBLANK(J17), ""Input test step"", ARRAYFORMULA(TEXTJOIN(CHAR(10), TRUE, (""Step ""&amp; ROW(INDIRECT(""1:"" &amp; COUNTA(SPLIT(J17, CHAR(10))))) &amp; "": "" &amp; TRANSPOSE(SPLIT(J17, CHAR(10)))))))"),"Step 1: Navigate to Payment page
Step 2: Check the size, position, and font color of the product name in an item")</f>
        <v>Step 1: Navigate to Payment page
Step 2: Check the size, position, and font color of the product name in an item</v>
      </c>
      <c r="L17" s="34"/>
      <c r="M17" s="31" t="s">
        <v>1437</v>
      </c>
      <c r="N17" s="31"/>
      <c r="O17" s="12"/>
      <c r="P17" s="32"/>
    </row>
    <row r="18">
      <c r="A18" s="28"/>
      <c r="B18" s="28"/>
      <c r="C18" s="28"/>
      <c r="D18" s="28"/>
      <c r="E18" s="18"/>
      <c r="F18" s="12" t="s">
        <v>1438</v>
      </c>
      <c r="G18" s="12"/>
      <c r="H18" s="12" t="s">
        <v>1439</v>
      </c>
      <c r="I18" s="12" t="s">
        <v>1378</v>
      </c>
      <c r="J18" s="12" t="s">
        <v>1440</v>
      </c>
      <c r="K18" s="13" t="str">
        <f>IFERROR(__xludf.DUMMYFUNCTION("IF(ISBLANK(J18), ""Input test step"", ARRAYFORMULA(TEXTJOIN(CHAR(10), TRUE, (""Step ""&amp; ROW(INDIRECT(""1:"" &amp; COUNTA(SPLIT(J18, CHAR(10))))) &amp; "": "" &amp; TRANSPOSE(SPLIT(J18, CHAR(10)))))))"),"Step 1: Navigate to Payment page
Step 2: Check the size, position, and font color of the promotional price in a product item")</f>
        <v>Step 1: Navigate to Payment page
Step 2: Check the size, position, and font color of the promotional price in a product item</v>
      </c>
      <c r="L18" s="34"/>
      <c r="M18" s="31" t="s">
        <v>1441</v>
      </c>
      <c r="N18" s="31"/>
      <c r="O18" s="12"/>
      <c r="P18" s="32"/>
    </row>
    <row r="19">
      <c r="C19" s="35"/>
      <c r="D19" s="35"/>
      <c r="E19" s="18"/>
      <c r="F19" s="12" t="s">
        <v>1442</v>
      </c>
      <c r="G19" s="12"/>
      <c r="H19" s="12" t="s">
        <v>1443</v>
      </c>
      <c r="I19" s="12" t="s">
        <v>1378</v>
      </c>
      <c r="J19" s="12" t="s">
        <v>1444</v>
      </c>
      <c r="K19" s="13" t="str">
        <f>IFERROR(__xludf.DUMMYFUNCTION("IF(ISBLANK(J19), ""Input test step"", ARRAYFORMULA(TEXTJOIN(CHAR(10), TRUE, (""Step ""&amp; ROW(INDIRECT(""1:"" &amp; COUNTA(SPLIT(J19, CHAR(10))))) &amp; "": "" &amp; TRANSPOSE(SPLIT(J19, CHAR(10)))))))"),"Step 1: Navigate to Payment page
Step 2: Check the size, position, and color of the product original price in an item")</f>
        <v>Step 1: Navigate to Payment page
Step 2: Check the size, position, and color of the product original price in an item</v>
      </c>
      <c r="L19" s="34"/>
      <c r="M19" s="31" t="s">
        <v>1445</v>
      </c>
      <c r="N19" s="31"/>
      <c r="O19" s="12"/>
      <c r="P19" s="32"/>
    </row>
    <row r="20">
      <c r="A20" s="35"/>
      <c r="B20" s="35"/>
      <c r="C20" s="35"/>
      <c r="D20" s="35"/>
      <c r="E20" s="18"/>
      <c r="F20" s="12" t="s">
        <v>1446</v>
      </c>
      <c r="G20" s="12"/>
      <c r="H20" s="12" t="s">
        <v>1447</v>
      </c>
      <c r="I20" s="12" t="s">
        <v>1378</v>
      </c>
      <c r="J20" s="12" t="s">
        <v>1448</v>
      </c>
      <c r="K20" s="13" t="str">
        <f>IFERROR(__xludf.DUMMYFUNCTION("IF(ISBLANK(J20), ""Input test step"", ARRAYFORMULA(TEXTJOIN(CHAR(10), TRUE, (""Step ""&amp; ROW(INDIRECT(""1:"" &amp; COUNTA(SPLIT(J20, CHAR(10))))) &amp; "": "" &amp; TRANSPOSE(SPLIT(J20, CHAR(10)))))))"),"Step 1: Navigate to Payment page
Step 2: Check the size, position, font color of the number of products in 1 item product")</f>
        <v>Step 1: Navigate to Payment page
Step 2: Check the size, position, font color of the number of products in 1 item product</v>
      </c>
      <c r="L20" s="34"/>
      <c r="M20" s="31" t="s">
        <v>1449</v>
      </c>
      <c r="N20" s="12"/>
      <c r="O20" s="12"/>
      <c r="P20" s="32"/>
    </row>
    <row r="21">
      <c r="A21" s="35"/>
      <c r="B21" s="35"/>
      <c r="C21" s="35"/>
      <c r="D21" s="35"/>
      <c r="E21" s="18"/>
      <c r="F21" s="12" t="s">
        <v>1450</v>
      </c>
      <c r="G21" s="12"/>
      <c r="H21" s="12" t="s">
        <v>1451</v>
      </c>
      <c r="I21" s="12" t="s">
        <v>1378</v>
      </c>
      <c r="J21" s="12" t="s">
        <v>1452</v>
      </c>
      <c r="K21" s="13" t="str">
        <f>IFERROR(__xludf.DUMMYFUNCTION("IF(ISBLANK(J21), ""Input test step"", ARRAYFORMULA(TEXTJOIN(CHAR(10), TRUE, (""Step ""&amp; ROW(INDIRECT(""1:"" &amp; COUNTA(SPLIT(J21, CHAR(10))))) &amp; "": "" &amp; TRANSPOSE(SPLIT(J21, CHAR(10)))))))"),"Step 1: Navigate to Payment page 
Step 2: Check the size, position, and color of the product message in an item""")</f>
        <v>Step 1: Navigate to Payment page 
Step 2: Check the size, position, and color of the product message in an item"</v>
      </c>
      <c r="L21" s="34"/>
      <c r="M21" s="31" t="s">
        <v>1453</v>
      </c>
      <c r="N21" s="12"/>
      <c r="O21" s="12"/>
      <c r="P21" s="32"/>
    </row>
    <row r="22">
      <c r="A22" s="35"/>
      <c r="B22" s="35"/>
      <c r="C22" s="35"/>
      <c r="D22" s="35"/>
      <c r="E22" s="18"/>
      <c r="F22" s="12" t="s">
        <v>1454</v>
      </c>
      <c r="G22" s="12"/>
      <c r="H22" s="12" t="s">
        <v>1455</v>
      </c>
      <c r="I22" s="12" t="s">
        <v>1378</v>
      </c>
      <c r="J22" s="12" t="s">
        <v>1456</v>
      </c>
      <c r="K22" s="13" t="str">
        <f>IFERROR(__xludf.DUMMYFUNCTION("IF(ISBLANK(J22), ""Input test step"", ARRAYFORMULA(TEXTJOIN(CHAR(10), TRUE, (""Step ""&amp; ROW(INDIRECT(""1:"" &amp; COUNTA(SPLIT(J22, CHAR(10))))) &amp; "": "" &amp; TRANSPOSE(SPLIT(J22, CHAR(10)))))))"),"Step 1: Navigate to Payment page
Step 2: Check size, position of message input box")</f>
        <v>Step 1: Navigate to Payment page
Step 2: Check size, position of message input box</v>
      </c>
      <c r="L22" s="34"/>
      <c r="M22" s="31" t="s">
        <v>1453</v>
      </c>
      <c r="N22" s="12"/>
      <c r="O22" s="12"/>
      <c r="P22" s="32"/>
    </row>
    <row r="23">
      <c r="A23" s="36"/>
      <c r="B23" s="36"/>
      <c r="C23" s="36"/>
      <c r="D23" s="36"/>
      <c r="E23" s="27"/>
      <c r="F23" s="12" t="s">
        <v>1457</v>
      </c>
      <c r="G23" s="12"/>
      <c r="H23" s="12" t="s">
        <v>1458</v>
      </c>
      <c r="I23" s="12" t="s">
        <v>1378</v>
      </c>
      <c r="J23" s="12" t="s">
        <v>1459</v>
      </c>
      <c r="K23" s="13" t="str">
        <f>IFERROR(__xludf.DUMMYFUNCTION("IF(ISBLANK(J23), ""Input test step"", ARRAYFORMULA(TEXTJOIN(CHAR(10), TRUE, (""Step ""&amp; ROW(INDIRECT(""1:"" &amp; COUNTA(SPLIT(J23, CHAR(10))))) &amp; "": "" &amp; TRANSPOSE(SPLIT(J23, CHAR(10)))))))"),"Step 1: Navigate to the Payment page
Step 2: Check the size and position of the voucher display area")</f>
        <v>Step 1: Navigate to the Payment page
Step 2: Check the size and position of the voucher display area</v>
      </c>
      <c r="L23" s="14"/>
      <c r="M23" s="31" t="s">
        <v>1460</v>
      </c>
      <c r="N23" s="12"/>
      <c r="O23" s="12"/>
      <c r="P23" s="32"/>
    </row>
    <row r="24">
      <c r="A24" s="36"/>
      <c r="B24" s="36"/>
      <c r="C24" s="36"/>
      <c r="D24" s="36"/>
      <c r="E24" s="27"/>
      <c r="F24" s="12" t="s">
        <v>1461</v>
      </c>
      <c r="G24" s="12"/>
      <c r="H24" s="12" t="s">
        <v>1462</v>
      </c>
      <c r="I24" s="12" t="s">
        <v>1378</v>
      </c>
      <c r="J24" s="12" t="s">
        <v>1463</v>
      </c>
      <c r="K24" s="13" t="str">
        <f>IFERROR(__xludf.DUMMYFUNCTION("IF(ISBLANK(J24), ""Input test step"", ARRAYFORMULA(TEXTJOIN(CHAR(10), TRUE, (""Step ""&amp; ROW(INDIRECT(""1:"" &amp; COUNTA(SPLIT(J24, CHAR(10))))) &amp; "": "" &amp; TRANSPOSE(SPLIT(J24, CHAR(10)))))))"),"Step 1: Navigate to the Payment page
Step 2: Check the size and position of the voucher title")</f>
        <v>Step 1: Navigate to the Payment page
Step 2: Check the size and position of the voucher title</v>
      </c>
      <c r="L24" s="14"/>
      <c r="M24" s="31" t="s">
        <v>1464</v>
      </c>
      <c r="N24" s="12"/>
      <c r="O24" s="12"/>
      <c r="P24" s="32"/>
    </row>
    <row r="25">
      <c r="A25" s="37"/>
      <c r="B25" s="37"/>
      <c r="C25" s="37"/>
      <c r="D25" s="37"/>
      <c r="E25" s="37"/>
      <c r="F25" s="12" t="s">
        <v>1465</v>
      </c>
      <c r="G25" s="12"/>
      <c r="H25" s="12" t="s">
        <v>1466</v>
      </c>
      <c r="I25" s="12" t="s">
        <v>1378</v>
      </c>
      <c r="J25" s="12" t="s">
        <v>1467</v>
      </c>
      <c r="K25" s="13" t="str">
        <f>IFERROR(__xludf.DUMMYFUNCTION("IF(ISBLANK(J25), ""Input test step"", ARRAYFORMULA(TEXTJOIN(CHAR(10), TRUE, (""Step ""&amp; ROW(INDIRECT(""1:"" &amp; COUNTA(SPLIT(J25, CHAR(10))))) &amp; "": "" &amp; TRANSPOSE(SPLIT(J25, CHAR(10)))))))"),"Step 1: Navigate to the Payment page
Step 2: Check the size and position of the text displaying the amount according to the voucher code")</f>
        <v>Step 1: Navigate to the Payment page
Step 2: Check the size and position of the text displaying the amount according to the voucher code</v>
      </c>
      <c r="L25" s="14"/>
      <c r="M25" s="31" t="s">
        <v>1468</v>
      </c>
      <c r="N25" s="12"/>
      <c r="O25" s="12"/>
      <c r="P25" s="38"/>
    </row>
    <row r="26">
      <c r="A26" s="37"/>
      <c r="B26" s="37"/>
      <c r="C26" s="37"/>
      <c r="D26" s="37"/>
      <c r="E26" s="37"/>
      <c r="F26" s="12" t="s">
        <v>1469</v>
      </c>
      <c r="G26" s="12"/>
      <c r="H26" s="12" t="s">
        <v>1470</v>
      </c>
      <c r="I26" s="12" t="s">
        <v>1378</v>
      </c>
      <c r="J26" s="12" t="s">
        <v>1471</v>
      </c>
      <c r="K26" s="13" t="str">
        <f>IFERROR(__xludf.DUMMYFUNCTION("IF(ISBLANK(J26), ""Input test step"", ARRAYFORMULA(TEXTJOIN(CHAR(10), TRUE, (""Step ""&amp; ROW(INDIRECT(""1:"" &amp; COUNTA(SPLIT(J26, CHAR(10))))) &amp; "": "" &amp; TRANSPOSE(SPLIT(J26, CHAR(10)))))))"),"Step 1: Navigate to Payment page
Step 2: Check size, position of text displaying amount by shipping code")</f>
        <v>Step 1: Navigate to Payment page
Step 2: Check size, position of text displaying amount by shipping code</v>
      </c>
      <c r="L26" s="14"/>
      <c r="M26" s="31" t="s">
        <v>1472</v>
      </c>
      <c r="N26" s="22"/>
      <c r="O26" s="12"/>
      <c r="P26" s="38"/>
    </row>
    <row r="27">
      <c r="A27" s="37"/>
      <c r="B27" s="37"/>
      <c r="C27" s="37"/>
      <c r="D27" s="37"/>
      <c r="E27" s="37"/>
      <c r="F27" s="12" t="s">
        <v>1473</v>
      </c>
      <c r="G27" s="12"/>
      <c r="H27" s="12" t="s">
        <v>1474</v>
      </c>
      <c r="I27" s="12" t="s">
        <v>1378</v>
      </c>
      <c r="J27" s="12" t="s">
        <v>1475</v>
      </c>
      <c r="K27" s="13" t="str">
        <f>IFERROR(__xludf.DUMMYFUNCTION("IF(ISBLANK(J27), ""Input test step"", ARRAYFORMULA(TEXTJOIN(CHAR(10), TRUE, (""Step ""&amp; ROW(INDIRECT(""1:"" &amp; COUNTA(SPLIT(J27, CHAR(10))))) &amp; "": "" &amp; TRANSPOSE(SPLIT(J27, CHAR(10)))))))"),"Step 1: Navigate to checkout page
Step 2: Check size, position of text link ""View all""")</f>
        <v>Step 1: Navigate to checkout page
Step 2: Check size, position of text link "View all"</v>
      </c>
      <c r="L27" s="14"/>
      <c r="M27" s="31" t="s">
        <v>1476</v>
      </c>
      <c r="N27" s="12"/>
      <c r="O27" s="12"/>
      <c r="P27" s="38"/>
    </row>
    <row r="28">
      <c r="A28" s="37"/>
      <c r="B28" s="37"/>
      <c r="C28" s="37"/>
      <c r="D28" s="37"/>
      <c r="E28" s="37"/>
      <c r="F28" s="12" t="s">
        <v>1477</v>
      </c>
      <c r="G28" s="12"/>
      <c r="H28" s="12" t="s">
        <v>1478</v>
      </c>
      <c r="I28" s="12" t="s">
        <v>1378</v>
      </c>
      <c r="J28" s="12" t="s">
        <v>1479</v>
      </c>
      <c r="K28" s="13" t="str">
        <f>IFERROR(__xludf.DUMMYFUNCTION("IF(ISBLANK(J28), ""Input test step"", ARRAYFORMULA(TEXTJOIN(CHAR(10), TRUE, (""Step ""&amp; ROW(INDIRECT(""1:"" &amp; COUNTA(SPLIT(J28, CHAR(10))))) &amp; "": "" &amp; TRANSPOSE(SPLIT(J28, CHAR(10)))))))"),"Step 1: Navigate to the payment page
Step 2: Check the size, position of the ""Payment Details"" text")</f>
        <v>Step 1: Navigate to the payment page
Step 2: Check the size, position of the "Payment Details" text</v>
      </c>
      <c r="L28" s="14"/>
      <c r="M28" s="31" t="s">
        <v>1480</v>
      </c>
      <c r="N28" s="12"/>
      <c r="O28" s="12"/>
      <c r="P28" s="38"/>
    </row>
    <row r="29">
      <c r="A29" s="37"/>
      <c r="B29" s="37"/>
      <c r="C29" s="37"/>
      <c r="D29" s="37"/>
      <c r="E29" s="37"/>
      <c r="F29" s="12" t="s">
        <v>1481</v>
      </c>
      <c r="G29" s="12"/>
      <c r="H29" s="12" t="s">
        <v>1482</v>
      </c>
      <c r="I29" s="12" t="s">
        <v>1378</v>
      </c>
      <c r="J29" s="12" t="s">
        <v>1483</v>
      </c>
      <c r="K29" s="13" t="str">
        <f>IFERROR(__xludf.DUMMYFUNCTION("IF(ISBLANK(J29), ""Input test step"", ARRAYFORMULA(TEXTJOIN(CHAR(10), TRUE, (""Step ""&amp; ROW(INDIRECT(""1:"" &amp; COUNTA(SPLIT(J29, CHAR(10))))) &amp; "": "" &amp; TRANSPOSE(SPLIT(J29, CHAR(10)))))))"),"Step 1: Navigate to checkout page
Step 2: Check the size and position of the ""Total"" text")</f>
        <v>Step 1: Navigate to checkout page
Step 2: Check the size and position of the "Total" text</v>
      </c>
      <c r="L29" s="14"/>
      <c r="M29" s="31" t="s">
        <v>1484</v>
      </c>
      <c r="N29" s="12"/>
      <c r="O29" s="12"/>
      <c r="P29" s="38"/>
    </row>
    <row r="30">
      <c r="A30" s="37"/>
      <c r="B30" s="37"/>
      <c r="C30" s="37"/>
      <c r="D30" s="37"/>
      <c r="E30" s="37"/>
      <c r="F30" s="12" t="s">
        <v>1485</v>
      </c>
      <c r="G30" s="12"/>
      <c r="H30" s="12" t="s">
        <v>1486</v>
      </c>
      <c r="I30" s="12" t="s">
        <v>1378</v>
      </c>
      <c r="J30" s="12" t="s">
        <v>1487</v>
      </c>
      <c r="K30" s="13" t="str">
        <f>IFERROR(__xludf.DUMMYFUNCTION("IF(ISBLANK(J30), ""Input test step"", ARRAYFORMULA(TEXTJOIN(CHAR(10), TRUE, (""Step ""&amp; ROW(INDIRECT(""1:"" &amp; COUNTA(SPLIT(J30, CHAR(10))))) &amp; "": "" &amp; TRANSPOSE(SPLIT(J30, CHAR(10)))))))"),"Step 1: Navigate to Payment page
Step 2: Check show ""Total shipping cost""")</f>
        <v>Step 1: Navigate to Payment page
Step 2: Check show "Total shipping cost"</v>
      </c>
      <c r="L30" s="14"/>
      <c r="M30" s="31" t="s">
        <v>1488</v>
      </c>
      <c r="N30" s="12"/>
      <c r="O30" s="12"/>
      <c r="P30" s="38"/>
    </row>
    <row r="31">
      <c r="A31" s="37"/>
      <c r="B31" s="37"/>
      <c r="C31" s="37"/>
      <c r="D31" s="37"/>
      <c r="E31" s="37"/>
      <c r="F31" s="12" t="s">
        <v>1489</v>
      </c>
      <c r="G31" s="12"/>
      <c r="H31" s="12" t="s">
        <v>1490</v>
      </c>
      <c r="I31" s="12" t="s">
        <v>1378</v>
      </c>
      <c r="J31" s="12" t="s">
        <v>1491</v>
      </c>
      <c r="K31" s="13" t="str">
        <f>IFERROR(__xludf.DUMMYFUNCTION("IF(ISBLANK(J31), ""Input test step"", ARRAYFORMULA(TEXTJOIN(CHAR(10), TRUE, (""Step ""&amp; ROW(INDIRECT(""1:"" &amp; COUNTA(SPLIT(J31, CHAR(10))))) &amp; "": "" &amp; TRANSPOSE(SPLIT(J31, CHAR(10)))))))"),"Step 1: Navigate to Payment page
Step 2: Check size, position of ""Total Discount"" title")</f>
        <v>Step 1: Navigate to Payment page
Step 2: Check size, position of "Total Discount" title</v>
      </c>
      <c r="L31" s="14"/>
      <c r="M31" s="31" t="s">
        <v>1492</v>
      </c>
      <c r="N31" s="12"/>
      <c r="O31" s="12"/>
      <c r="P31" s="38"/>
    </row>
    <row r="32">
      <c r="A32" s="37"/>
      <c r="B32" s="37"/>
      <c r="C32" s="37"/>
      <c r="D32" s="37"/>
      <c r="E32" s="37"/>
      <c r="F32" s="12" t="s">
        <v>1493</v>
      </c>
      <c r="G32" s="12"/>
      <c r="H32" s="12" t="s">
        <v>1494</v>
      </c>
      <c r="I32" s="12" t="s">
        <v>1378</v>
      </c>
      <c r="J32" s="12" t="s">
        <v>1495</v>
      </c>
      <c r="K32" s="13" t="str">
        <f>IFERROR(__xludf.DUMMYFUNCTION("IF(ISBLANK(J32), ""Input test step"", ARRAYFORMULA(TEXTJOIN(CHAR(10), TRUE, (""Step ""&amp; ROW(INDIRECT(""1:"" &amp; COUNTA(SPLIT(J32, CHAR(10))))) &amp; "": "" &amp; TRANSPOSE(SPLIT(J32, CHAR(10)))))))"),"Step 1: Navigate to Payment page
Step 2: Check the size, position, and font color of the total discount amount display area")</f>
        <v>Step 1: Navigate to Payment page
Step 2: Check the size, position, and font color of the total discount amount display area</v>
      </c>
      <c r="L32" s="14"/>
      <c r="M32" s="31" t="s">
        <v>1496</v>
      </c>
      <c r="N32" s="12"/>
      <c r="O32" s="12"/>
      <c r="P32" s="38"/>
    </row>
    <row r="33">
      <c r="A33" s="37"/>
      <c r="B33" s="37"/>
      <c r="C33" s="37"/>
      <c r="D33" s="37"/>
      <c r="E33" s="37"/>
      <c r="F33" s="12" t="s">
        <v>1497</v>
      </c>
      <c r="G33" s="12"/>
      <c r="H33" s="12" t="s">
        <v>1498</v>
      </c>
      <c r="I33" s="12" t="s">
        <v>1378</v>
      </c>
      <c r="J33" s="12" t="s">
        <v>1499</v>
      </c>
      <c r="K33" s="13" t="str">
        <f>IFERROR(__xludf.DUMMYFUNCTION("IF(ISBLANK(J33), ""Input test step"", ARRAYFORMULA(TEXTJOIN(CHAR(10), TRUE, (""Step ""&amp; ROW(INDIRECT(""1:"" &amp; COUNTA(SPLIT(J33, CHAR(10))))) &amp; "": "" &amp; TRANSPOSE(SPLIT(J33, CHAR(10)))))))"),"Step 1: Navigate to the payment page
Step 2: Check the size, position, and font color of the ""Total Payment"" title")</f>
        <v>Step 1: Navigate to the payment page
Step 2: Check the size, position, and font color of the "Total Payment" title</v>
      </c>
      <c r="L33" s="14"/>
      <c r="M33" s="31" t="s">
        <v>1500</v>
      </c>
      <c r="N33" s="12"/>
      <c r="O33" s="12"/>
      <c r="P33" s="38"/>
    </row>
    <row r="34">
      <c r="A34" s="37"/>
      <c r="B34" s="37"/>
      <c r="C34" s="37"/>
      <c r="D34" s="37"/>
      <c r="E34" s="37"/>
      <c r="F34" s="12" t="s">
        <v>1501</v>
      </c>
      <c r="G34" s="12"/>
      <c r="H34" s="12" t="s">
        <v>1502</v>
      </c>
      <c r="I34" s="12" t="s">
        <v>1378</v>
      </c>
      <c r="J34" s="12" t="s">
        <v>1503</v>
      </c>
      <c r="K34" s="13" t="str">
        <f>IFERROR(__xludf.DUMMYFUNCTION("IF(ISBLANK(J34), ""Input test step"", ARRAYFORMULA(TEXTJOIN(CHAR(10), TRUE, (""Step ""&amp; ROW(INDIRECT(""1:"" &amp; COUNTA(SPLIT(J34, CHAR(10))))) &amp; "": "" &amp; TRANSPOSE(SPLIT(J34, CHAR(10)))))))"),"Step 1: Navigate to the payment page
Step 2: Check the size, position, and color of the text displaying the total payment amount")</f>
        <v>Step 1: Navigate to the payment page
Step 2: Check the size, position, and color of the text displaying the total payment amount</v>
      </c>
      <c r="L34" s="14"/>
      <c r="M34" s="31" t="s">
        <v>1504</v>
      </c>
      <c r="N34" s="12"/>
      <c r="O34" s="12"/>
      <c r="P34" s="38"/>
    </row>
    <row r="35">
      <c r="A35" s="37"/>
      <c r="B35" s="37"/>
      <c r="C35" s="37"/>
      <c r="D35" s="37"/>
      <c r="E35" s="37"/>
      <c r="F35" s="12" t="s">
        <v>1505</v>
      </c>
      <c r="G35" s="12"/>
      <c r="H35" s="12" t="s">
        <v>1506</v>
      </c>
      <c r="I35" s="12" t="s">
        <v>1378</v>
      </c>
      <c r="J35" s="12" t="s">
        <v>1507</v>
      </c>
      <c r="K35" s="13" t="str">
        <f>IFERROR(__xludf.DUMMYFUNCTION("IF(ISBLANK(J35), ""Input test step"", ARRAYFORMULA(TEXTJOIN(CHAR(10), TRUE, (""Step ""&amp; ROW(INDIRECT(""1:"" &amp; COUNTA(SPLIT(J35, CHAR(10))))) &amp; "": "" &amp; TRANSPOSE(SPLIT(J35, CHAR(10)))))))"),"Step 1: Navigate to Payment page
Step 2: Check out the size and position and the ability to keep Foodter when scrolling up or down the page")</f>
        <v>Step 1: Navigate to Payment page
Step 2: Check out the size and position and the ability to keep Foodter when scrolling up or down the page</v>
      </c>
      <c r="L35" s="14"/>
      <c r="M35" s="31" t="s">
        <v>1508</v>
      </c>
      <c r="N35" s="12"/>
      <c r="O35" s="12"/>
      <c r="P35" s="38"/>
    </row>
    <row r="36">
      <c r="A36" s="37"/>
      <c r="B36" s="37"/>
      <c r="C36" s="37"/>
      <c r="D36" s="37"/>
      <c r="E36" s="37"/>
      <c r="F36" s="12" t="s">
        <v>1509</v>
      </c>
      <c r="G36" s="12"/>
      <c r="H36" s="12" t="s">
        <v>1510</v>
      </c>
      <c r="I36" s="12" t="s">
        <v>1378</v>
      </c>
      <c r="J36" s="12" t="s">
        <v>1511</v>
      </c>
      <c r="K36" s="13" t="str">
        <f>IFERROR(__xludf.DUMMYFUNCTION("IF(ISBLANK(J36), ""Input test step"", ARRAYFORMULA(TEXTJOIN(CHAR(10), TRUE, (""Step ""&amp; ROW(INDIRECT(""1:"" &amp; COUNTA(SPLIT(J36, CHAR(10))))) &amp; "": "" &amp; TRANSPOSE(SPLIT(J36, CHAR(10)))))))"),"Step 1: Navigate to Payment page
Step 2: Check the size, position, font color of the ""Total Payment"" title in foodter")</f>
        <v>Step 1: Navigate to Payment page
Step 2: Check the size, position, font color of the "Total Payment" title in foodter</v>
      </c>
      <c r="L36" s="14"/>
      <c r="M36" s="31" t="s">
        <v>1512</v>
      </c>
      <c r="N36" s="12"/>
      <c r="O36" s="12"/>
      <c r="P36" s="38"/>
    </row>
    <row r="37">
      <c r="A37" s="37"/>
      <c r="B37" s="37"/>
      <c r="C37" s="37"/>
      <c r="D37" s="37"/>
      <c r="E37" s="37"/>
      <c r="F37" s="12" t="s">
        <v>1513</v>
      </c>
      <c r="G37" s="12"/>
      <c r="H37" s="12" t="s">
        <v>1514</v>
      </c>
      <c r="I37" s="12" t="s">
        <v>1378</v>
      </c>
      <c r="J37" s="12" t="s">
        <v>1515</v>
      </c>
      <c r="K37" s="13" t="str">
        <f>IFERROR(__xludf.DUMMYFUNCTION("IF(ISBLANK(J37), ""Input test step"", ARRAYFORMULA(TEXTJOIN(CHAR(10), TRUE, (""Step ""&amp; ROW(INDIRECT(""1:"" &amp; COUNTA(SPLIT(J37, CHAR(10))))) &amp; "": "" &amp; TRANSPOSE(SPLIT(J37, CHAR(10)))))))"),"Step 1: Navigate to the payment page
Step 2: Check the size, position, and color of the amount text in Foodter")</f>
        <v>Step 1: Navigate to the payment page
Step 2: Check the size, position, and color of the amount text in Foodter</v>
      </c>
      <c r="L37" s="14"/>
      <c r="M37" s="12" t="s">
        <v>1516</v>
      </c>
      <c r="N37" s="12"/>
      <c r="O37" s="12"/>
      <c r="P37" s="38"/>
    </row>
    <row r="38">
      <c r="A38" s="37"/>
      <c r="B38" s="37"/>
      <c r="C38" s="37"/>
      <c r="D38" s="37"/>
      <c r="E38" s="37"/>
      <c r="F38" s="12" t="s">
        <v>1517</v>
      </c>
      <c r="G38" s="12"/>
      <c r="H38" s="12" t="s">
        <v>1518</v>
      </c>
      <c r="I38" s="12" t="s">
        <v>1378</v>
      </c>
      <c r="J38" s="12" t="s">
        <v>1519</v>
      </c>
      <c r="K38" s="13" t="str">
        <f>IFERROR(__xludf.DUMMYFUNCTION("IF(ISBLANK(J38), ""Input test step"", ARRAYFORMULA(TEXTJOIN(CHAR(10), TRUE, (""Step ""&amp; ROW(INDIRECT(""1:"" &amp; COUNTA(SPLIT(J38, CHAR(10))))) &amp; "": "" &amp; TRANSPOSE(SPLIT(J38, CHAR(10)))))))"),"Step 1: Navigate to checkout
Step 2: Check the size, position, background color, border color of the ""Place Order"" button")</f>
        <v>Step 1: Navigate to checkout
Step 2: Check the size, position, background color, border color of the "Place Order" button</v>
      </c>
      <c r="L38" s="14"/>
      <c r="M38" s="12" t="s">
        <v>1520</v>
      </c>
      <c r="N38" s="12"/>
      <c r="O38" s="12"/>
      <c r="P38" s="38"/>
    </row>
    <row r="39">
      <c r="A39" s="37"/>
      <c r="B39" s="37"/>
      <c r="C39" s="37"/>
      <c r="D39" s="37"/>
      <c r="E39" s="37"/>
      <c r="F39" s="12" t="s">
        <v>1521</v>
      </c>
      <c r="G39" s="12" t="s">
        <v>1522</v>
      </c>
      <c r="H39" s="12" t="s">
        <v>1523</v>
      </c>
      <c r="I39" s="12" t="s">
        <v>1378</v>
      </c>
      <c r="J39" s="12" t="s">
        <v>1524</v>
      </c>
      <c r="K39" s="13" t="str">
        <f>IFERROR(__xludf.DUMMYFUNCTION("IF(ISBLANK(J39), ""Input test step"", ARRAYFORMULA(TEXTJOIN(CHAR(10), TRUE, (""Step ""&amp; ROW(INDIRECT(""1:"" &amp; COUNTA(SPLIT(J39, CHAR(10))))) &amp; "": "" &amp; TRANSPOSE(SPLIT(J39, CHAR(10)))))))"),"Step 1: Navigate to order history page
Step 2: Click on the delivered item
Step 3: Select the most recent order
Step 4: View the applicable shipping address in the order
Step 5: Click ""Home"" under the menu
Step 6: Select a product item
Step 7: The syste"&amp;"m will go to the shopping cart page and automatically tick the selected product
Step 8: Click the ""Buy Now"" button
Step 9: The system will go to the ""Checkout"" page
Step 10: Check and confirm that the applied address is the most recently used address")</f>
        <v>Step 1: Navigate to order history page
Step 2: Click on the delivered item
Step 3: Select the most recent order
Step 4: View the applicable shipping address in the order
Step 5: Click "Home" under the menu
Step 6: Select a product item
Step 7: The system will go to the shopping cart page and automatically tick the selected product
Step 8: Click the "Buy Now" button
Step 9: The system will go to the "Checkout" page
Step 10: Check and confirm that the applied address is the most recently used address</v>
      </c>
      <c r="L39" s="14"/>
      <c r="M39" s="12" t="s">
        <v>1525</v>
      </c>
      <c r="N39" s="12"/>
      <c r="O39" s="12"/>
      <c r="P39" s="38"/>
    </row>
    <row r="40">
      <c r="A40" s="37"/>
      <c r="B40" s="37"/>
      <c r="C40" s="37"/>
      <c r="D40" s="37"/>
      <c r="E40" s="37"/>
      <c r="F40" s="12"/>
      <c r="G40" s="12"/>
      <c r="H40" s="12" t="s">
        <v>1526</v>
      </c>
      <c r="I40" s="12" t="s">
        <v>1378</v>
      </c>
      <c r="J40" s="12" t="s">
        <v>1527</v>
      </c>
      <c r="K40" s="13"/>
      <c r="L40" s="14"/>
      <c r="M40" s="12" t="s">
        <v>1528</v>
      </c>
      <c r="N40" s="12"/>
      <c r="O40" s="12"/>
      <c r="P40" s="38"/>
    </row>
    <row r="41">
      <c r="A41" s="37"/>
      <c r="B41" s="37"/>
      <c r="C41" s="37"/>
      <c r="D41" s="37"/>
      <c r="E41" s="37"/>
      <c r="F41" s="12" t="s">
        <v>1529</v>
      </c>
      <c r="G41" s="12"/>
      <c r="H41" s="12" t="s">
        <v>1530</v>
      </c>
      <c r="I41" s="12" t="s">
        <v>1378</v>
      </c>
      <c r="J41" s="12" t="s">
        <v>1531</v>
      </c>
      <c r="K41" s="13"/>
      <c r="L41" s="14"/>
      <c r="M41" s="12" t="s">
        <v>1532</v>
      </c>
      <c r="N41" s="12"/>
      <c r="O41" s="12"/>
      <c r="P41" s="38"/>
    </row>
    <row r="42">
      <c r="A42" s="37"/>
      <c r="B42" s="37"/>
      <c r="C42" s="37"/>
      <c r="D42" s="37"/>
      <c r="E42" s="37"/>
      <c r="F42" s="12" t="s">
        <v>1533</v>
      </c>
      <c r="G42" s="12"/>
      <c r="H42" s="12" t="s">
        <v>1534</v>
      </c>
      <c r="I42" s="12" t="s">
        <v>1378</v>
      </c>
      <c r="J42" s="12" t="s">
        <v>1535</v>
      </c>
      <c r="K42" s="13"/>
      <c r="L42" s="14"/>
      <c r="M42" s="12" t="s">
        <v>1536</v>
      </c>
      <c r="N42" s="12"/>
      <c r="O42" s="12"/>
      <c r="P42" s="38"/>
    </row>
    <row r="43">
      <c r="A43" s="37"/>
      <c r="B43" s="37"/>
      <c r="C43" s="37"/>
      <c r="D43" s="37"/>
      <c r="E43" s="37"/>
      <c r="F43" s="12" t="s">
        <v>1537</v>
      </c>
      <c r="G43" s="12"/>
      <c r="H43" s="12" t="s">
        <v>1538</v>
      </c>
      <c r="I43" s="12" t="s">
        <v>1378</v>
      </c>
      <c r="J43" s="12" t="s">
        <v>1539</v>
      </c>
      <c r="K43" s="13"/>
      <c r="L43" s="14"/>
      <c r="M43" s="12" t="s">
        <v>1540</v>
      </c>
      <c r="N43" s="12"/>
      <c r="O43" s="12"/>
      <c r="P43" s="38"/>
    </row>
    <row r="44">
      <c r="A44" s="37"/>
      <c r="B44" s="37"/>
      <c r="C44" s="37"/>
      <c r="D44" s="37"/>
      <c r="E44" s="37"/>
      <c r="F44" s="12" t="s">
        <v>1541</v>
      </c>
      <c r="G44" s="12"/>
      <c r="H44" s="12" t="s">
        <v>1542</v>
      </c>
      <c r="I44" s="12" t="s">
        <v>1378</v>
      </c>
      <c r="J44" s="12" t="s">
        <v>1543</v>
      </c>
      <c r="K44" s="13"/>
      <c r="L44" s="14"/>
      <c r="M44" s="12" t="s">
        <v>1544</v>
      </c>
      <c r="N44" s="12"/>
      <c r="O44" s="12"/>
      <c r="P44" s="38"/>
    </row>
    <row r="45">
      <c r="A45" s="37"/>
      <c r="B45" s="37"/>
      <c r="C45" s="37"/>
      <c r="D45" s="37"/>
      <c r="E45" s="37"/>
      <c r="F45" s="12" t="s">
        <v>1545</v>
      </c>
      <c r="G45" s="12"/>
      <c r="H45" s="12" t="s">
        <v>1546</v>
      </c>
      <c r="I45" s="12" t="s">
        <v>1378</v>
      </c>
      <c r="J45" s="12" t="s">
        <v>1547</v>
      </c>
      <c r="K45" s="13"/>
      <c r="L45" s="14"/>
      <c r="M45" s="12" t="s">
        <v>1548</v>
      </c>
      <c r="N45" s="12"/>
      <c r="O45" s="12"/>
      <c r="P45" s="38"/>
    </row>
    <row r="46">
      <c r="A46" s="37"/>
      <c r="B46" s="37"/>
      <c r="C46" s="37"/>
      <c r="D46" s="37"/>
      <c r="E46" s="37"/>
      <c r="F46" s="12" t="s">
        <v>1549</v>
      </c>
      <c r="G46" s="12"/>
      <c r="H46" s="12" t="s">
        <v>1550</v>
      </c>
      <c r="I46" s="12" t="s">
        <v>1378</v>
      </c>
      <c r="J46" s="12" t="s">
        <v>1551</v>
      </c>
      <c r="K46" s="13"/>
      <c r="L46" s="14"/>
      <c r="M46" s="12" t="s">
        <v>1552</v>
      </c>
      <c r="N46" s="12"/>
      <c r="O46" s="12"/>
      <c r="P46" s="38"/>
    </row>
    <row r="47">
      <c r="A47" s="37"/>
      <c r="B47" s="37"/>
      <c r="C47" s="37"/>
      <c r="D47" s="37"/>
      <c r="E47" s="37"/>
      <c r="F47" s="12" t="s">
        <v>1553</v>
      </c>
      <c r="G47" s="12"/>
      <c r="H47" s="12" t="s">
        <v>1554</v>
      </c>
      <c r="I47" s="12" t="s">
        <v>1378</v>
      </c>
      <c r="J47" s="12" t="s">
        <v>1555</v>
      </c>
      <c r="K47" s="13"/>
      <c r="L47" s="14"/>
      <c r="M47" s="12" t="s">
        <v>1556</v>
      </c>
      <c r="N47" s="12"/>
      <c r="O47" s="12"/>
      <c r="P47" s="38"/>
    </row>
    <row r="48">
      <c r="A48" s="37"/>
      <c r="B48" s="37"/>
      <c r="C48" s="37"/>
      <c r="D48" s="37"/>
      <c r="E48" s="37"/>
      <c r="F48" s="12" t="s">
        <v>1557</v>
      </c>
      <c r="G48" s="12"/>
      <c r="H48" s="72" t="s">
        <v>1558</v>
      </c>
      <c r="I48" s="12" t="s">
        <v>1378</v>
      </c>
      <c r="J48" s="12" t="s">
        <v>1559</v>
      </c>
      <c r="K48" s="13"/>
      <c r="L48" s="14"/>
      <c r="M48" s="12"/>
      <c r="N48" s="12"/>
      <c r="O48" s="12"/>
      <c r="P48" s="38"/>
    </row>
    <row r="49">
      <c r="A49" s="37"/>
      <c r="B49" s="37"/>
      <c r="C49" s="37"/>
      <c r="D49" s="37"/>
      <c r="E49" s="37"/>
      <c r="F49" s="12" t="s">
        <v>1560</v>
      </c>
      <c r="G49" s="12" t="s">
        <v>274</v>
      </c>
      <c r="H49" s="12" t="s">
        <v>1561</v>
      </c>
      <c r="I49" s="12" t="s">
        <v>1378</v>
      </c>
      <c r="J49" s="12" t="s">
        <v>1562</v>
      </c>
      <c r="K49" s="13"/>
      <c r="L49" s="14"/>
      <c r="M49" s="12" t="s">
        <v>1563</v>
      </c>
      <c r="N49" s="12"/>
      <c r="O49" s="12"/>
      <c r="P49" s="38"/>
    </row>
    <row r="50">
      <c r="A50" s="37"/>
      <c r="B50" s="37"/>
      <c r="C50" s="37"/>
      <c r="D50" s="37"/>
      <c r="E50" s="37"/>
      <c r="F50" s="12" t="s">
        <v>1564</v>
      </c>
      <c r="G50" s="12"/>
      <c r="H50" s="12" t="s">
        <v>1565</v>
      </c>
      <c r="I50" s="12" t="s">
        <v>1378</v>
      </c>
      <c r="J50" s="12" t="s">
        <v>1566</v>
      </c>
      <c r="K50" s="13"/>
      <c r="L50" s="14"/>
      <c r="M50" s="12" t="s">
        <v>1567</v>
      </c>
      <c r="N50" s="12"/>
      <c r="O50" s="12"/>
      <c r="P50" s="38"/>
    </row>
    <row r="51">
      <c r="A51" s="37"/>
      <c r="B51" s="37"/>
      <c r="C51" s="37"/>
      <c r="D51" s="37"/>
      <c r="E51" s="37"/>
      <c r="F51" s="12" t="s">
        <v>1568</v>
      </c>
      <c r="G51" s="12" t="s">
        <v>1569</v>
      </c>
      <c r="H51" s="12" t="s">
        <v>1570</v>
      </c>
      <c r="I51" s="12" t="s">
        <v>1378</v>
      </c>
      <c r="J51" s="12" t="s">
        <v>1571</v>
      </c>
      <c r="K51" s="13"/>
      <c r="L51" s="14"/>
      <c r="M51" s="12" t="s">
        <v>1572</v>
      </c>
      <c r="N51" s="12"/>
      <c r="O51" s="12"/>
      <c r="P51" s="38"/>
    </row>
    <row r="52">
      <c r="A52" s="37"/>
      <c r="B52" s="37"/>
      <c r="C52" s="37"/>
      <c r="D52" s="37"/>
      <c r="E52" s="37"/>
      <c r="F52" s="12" t="s">
        <v>1573</v>
      </c>
      <c r="G52" s="12"/>
      <c r="H52" s="12" t="s">
        <v>1574</v>
      </c>
      <c r="I52" s="12" t="s">
        <v>1378</v>
      </c>
      <c r="J52" s="12" t="s">
        <v>1575</v>
      </c>
      <c r="K52" s="13"/>
      <c r="L52" s="14"/>
      <c r="M52" s="12" t="s">
        <v>1576</v>
      </c>
      <c r="N52" s="12"/>
      <c r="O52" s="12"/>
      <c r="P52" s="38"/>
    </row>
    <row r="53">
      <c r="A53" s="37"/>
      <c r="B53" s="37"/>
      <c r="C53" s="37"/>
      <c r="D53" s="37"/>
      <c r="E53" s="37"/>
      <c r="F53" s="12" t="s">
        <v>1577</v>
      </c>
      <c r="G53" s="12" t="s">
        <v>1031</v>
      </c>
      <c r="H53" s="12" t="s">
        <v>1578</v>
      </c>
      <c r="I53" s="12" t="s">
        <v>1378</v>
      </c>
      <c r="J53" s="12" t="s">
        <v>1579</v>
      </c>
      <c r="K53" s="13"/>
      <c r="L53" s="14"/>
      <c r="M53" s="12" t="s">
        <v>1580</v>
      </c>
      <c r="N53" s="12"/>
      <c r="O53" s="12"/>
      <c r="P53" s="38"/>
    </row>
    <row r="54">
      <c r="A54" s="37"/>
      <c r="B54" s="37"/>
      <c r="C54" s="37"/>
      <c r="D54" s="37"/>
      <c r="E54" s="37"/>
      <c r="F54" s="12" t="s">
        <v>1581</v>
      </c>
      <c r="G54" s="12"/>
      <c r="H54" s="12" t="s">
        <v>1582</v>
      </c>
      <c r="I54" s="12" t="s">
        <v>1378</v>
      </c>
      <c r="J54" s="12" t="s">
        <v>1583</v>
      </c>
      <c r="K54" s="13"/>
      <c r="L54" s="14"/>
      <c r="M54" s="12" t="s">
        <v>1584</v>
      </c>
      <c r="N54" s="12"/>
      <c r="O54" s="12"/>
      <c r="P54" s="38"/>
    </row>
    <row r="55">
      <c r="A55" s="37"/>
      <c r="B55" s="37"/>
      <c r="C55" s="37"/>
      <c r="D55" s="37"/>
      <c r="E55" s="37"/>
      <c r="F55" s="12" t="s">
        <v>1585</v>
      </c>
      <c r="G55" s="12"/>
      <c r="H55" s="12" t="s">
        <v>1586</v>
      </c>
      <c r="I55" s="12" t="s">
        <v>1378</v>
      </c>
      <c r="J55" s="12" t="s">
        <v>1587</v>
      </c>
      <c r="K55" s="13"/>
      <c r="L55" s="14"/>
      <c r="M55" s="12" t="s">
        <v>1588</v>
      </c>
      <c r="N55" s="12"/>
      <c r="O55" s="12"/>
      <c r="P55" s="38"/>
    </row>
    <row r="56">
      <c r="A56" s="37"/>
      <c r="B56" s="37"/>
      <c r="C56" s="37"/>
      <c r="D56" s="37"/>
      <c r="E56" s="37"/>
      <c r="F56" s="12" t="s">
        <v>1589</v>
      </c>
      <c r="G56" s="12" t="s">
        <v>1590</v>
      </c>
      <c r="H56" s="12" t="s">
        <v>1591</v>
      </c>
      <c r="I56" s="12" t="s">
        <v>1378</v>
      </c>
      <c r="J56" s="12" t="s">
        <v>1592</v>
      </c>
      <c r="K56" s="13"/>
      <c r="L56" s="14"/>
      <c r="M56" s="12" t="s">
        <v>1593</v>
      </c>
      <c r="N56" s="12"/>
      <c r="O56" s="12"/>
      <c r="P56" s="38"/>
    </row>
    <row r="57">
      <c r="A57" s="37"/>
      <c r="B57" s="37"/>
      <c r="C57" s="37"/>
      <c r="D57" s="37"/>
      <c r="E57" s="37"/>
      <c r="F57" s="12" t="s">
        <v>1594</v>
      </c>
      <c r="G57" s="12"/>
      <c r="H57" s="12" t="s">
        <v>1595</v>
      </c>
      <c r="I57" s="12" t="s">
        <v>1378</v>
      </c>
      <c r="J57" s="12" t="s">
        <v>1596</v>
      </c>
      <c r="K57" s="13"/>
      <c r="L57" s="14"/>
      <c r="M57" s="12" t="s">
        <v>1597</v>
      </c>
      <c r="N57" s="12"/>
      <c r="O57" s="12"/>
      <c r="P57" s="38"/>
    </row>
    <row r="58">
      <c r="A58" s="37"/>
      <c r="B58" s="37"/>
      <c r="C58" s="37"/>
      <c r="D58" s="37"/>
      <c r="E58" s="37"/>
      <c r="F58" s="12" t="s">
        <v>1598</v>
      </c>
      <c r="G58" s="12"/>
      <c r="H58" s="12" t="s">
        <v>1599</v>
      </c>
      <c r="I58" s="12" t="s">
        <v>1378</v>
      </c>
      <c r="J58" s="12" t="s">
        <v>1600</v>
      </c>
      <c r="K58" s="13"/>
      <c r="L58" s="14"/>
      <c r="M58" s="12" t="s">
        <v>1601</v>
      </c>
      <c r="N58" s="12"/>
      <c r="O58" s="12"/>
      <c r="P58" s="38"/>
    </row>
    <row r="59">
      <c r="A59" s="37"/>
      <c r="B59" s="37"/>
      <c r="C59" s="37"/>
      <c r="D59" s="37"/>
      <c r="E59" s="37"/>
      <c r="F59" s="12"/>
      <c r="G59" s="12"/>
      <c r="H59" s="12"/>
      <c r="I59" s="12"/>
      <c r="J59" s="12"/>
      <c r="K59" s="13"/>
      <c r="L59" s="14"/>
      <c r="M59" s="12"/>
      <c r="N59" s="12"/>
      <c r="O59" s="12"/>
      <c r="P59" s="38"/>
    </row>
    <row r="60">
      <c r="A60" s="37"/>
      <c r="B60" s="37"/>
      <c r="C60" s="37"/>
      <c r="D60" s="37"/>
      <c r="E60" s="37"/>
      <c r="F60" s="12"/>
      <c r="G60" s="12"/>
      <c r="H60" s="12"/>
      <c r="I60" s="12"/>
      <c r="J60" s="12"/>
      <c r="K60" s="13" t="str">
        <f>IFERROR(__xludf.DUMMYFUNCTION("IF(ISBLANK(J60), ""Input test step"", ARRAYFORMULA(TEXTJOIN(CHAR(10), TRUE, (""Step ""&amp; ROW(INDIRECT(""1:"" &amp; COUNTA(SPLIT(J60, CHAR(10))))) &amp; "": "" &amp; TRANSPOSE(SPLIT(J60, CHAR(10)))))))"),"Input test step")</f>
        <v>Input test step</v>
      </c>
      <c r="L60" s="14"/>
      <c r="M60" s="12"/>
      <c r="N60" s="12"/>
      <c r="O60" s="12"/>
      <c r="P60" s="38"/>
    </row>
    <row r="61">
      <c r="A61" s="37"/>
      <c r="B61" s="37"/>
      <c r="C61" s="37"/>
      <c r="D61" s="37"/>
      <c r="E61" s="37"/>
      <c r="K61" s="48"/>
    </row>
    <row r="62">
      <c r="A62" s="37"/>
      <c r="B62" s="37"/>
      <c r="C62" s="37"/>
      <c r="D62" s="37"/>
      <c r="E62" s="37"/>
      <c r="K62" s="48"/>
    </row>
    <row r="63">
      <c r="A63" s="37"/>
      <c r="B63" s="37"/>
      <c r="C63" s="37"/>
      <c r="D63" s="37"/>
      <c r="E63" s="37"/>
      <c r="K63" s="48"/>
    </row>
    <row r="64">
      <c r="A64" s="37"/>
      <c r="B64" s="37"/>
      <c r="C64" s="37"/>
      <c r="D64" s="37"/>
      <c r="E64" s="37"/>
      <c r="K64" s="48"/>
    </row>
    <row r="65">
      <c r="A65" s="37"/>
      <c r="B65" s="37"/>
      <c r="C65" s="37"/>
      <c r="D65" s="37"/>
      <c r="E65" s="37"/>
      <c r="K65" s="48"/>
    </row>
    <row r="66">
      <c r="A66" s="37"/>
      <c r="B66" s="37"/>
      <c r="C66" s="37"/>
      <c r="D66" s="37"/>
      <c r="E66" s="37"/>
      <c r="K66" s="48"/>
    </row>
    <row r="67">
      <c r="A67" s="37"/>
      <c r="B67" s="37"/>
      <c r="C67" s="37"/>
      <c r="D67" s="37"/>
      <c r="E67" s="37"/>
      <c r="K67" s="48"/>
    </row>
    <row r="68">
      <c r="A68" s="37"/>
      <c r="B68" s="37"/>
      <c r="C68" s="37"/>
      <c r="D68" s="37"/>
      <c r="E68" s="37"/>
      <c r="K68" s="48"/>
    </row>
    <row r="69">
      <c r="A69" s="37"/>
      <c r="B69" s="37"/>
      <c r="C69" s="37"/>
      <c r="D69" s="37"/>
      <c r="E69" s="37"/>
      <c r="K69" s="48"/>
    </row>
    <row r="70">
      <c r="A70" s="37"/>
      <c r="B70" s="37"/>
      <c r="C70" s="37"/>
      <c r="D70" s="37"/>
      <c r="E70" s="37"/>
      <c r="K70" s="48"/>
    </row>
    <row r="71">
      <c r="A71" s="37"/>
      <c r="B71" s="37"/>
      <c r="C71" s="37"/>
      <c r="D71" s="37"/>
      <c r="E71" s="37"/>
      <c r="K71" s="48"/>
    </row>
    <row r="72">
      <c r="A72" s="37"/>
      <c r="B72" s="37"/>
      <c r="C72" s="37"/>
      <c r="D72" s="37"/>
      <c r="E72" s="37"/>
      <c r="K72" s="48"/>
    </row>
    <row r="73">
      <c r="A73" s="37"/>
      <c r="B73" s="37"/>
      <c r="C73" s="37"/>
      <c r="D73" s="37"/>
      <c r="E73" s="37"/>
      <c r="K73" s="48"/>
    </row>
    <row r="74">
      <c r="A74" s="37"/>
      <c r="B74" s="37"/>
      <c r="C74" s="37"/>
      <c r="D74" s="37"/>
      <c r="E74" s="37"/>
      <c r="K74" s="48"/>
    </row>
    <row r="75">
      <c r="A75" s="37"/>
      <c r="B75" s="37"/>
      <c r="C75" s="37"/>
      <c r="D75" s="37"/>
      <c r="E75" s="37"/>
      <c r="K75" s="48"/>
    </row>
    <row r="76">
      <c r="A76" s="37"/>
      <c r="B76" s="37"/>
      <c r="C76" s="37"/>
      <c r="D76" s="37"/>
      <c r="E76" s="37"/>
      <c r="K76" s="48"/>
    </row>
    <row r="77">
      <c r="A77" s="37"/>
      <c r="B77" s="37"/>
      <c r="C77" s="37"/>
      <c r="D77" s="37"/>
      <c r="E77" s="37"/>
      <c r="K77" s="48"/>
    </row>
    <row r="78">
      <c r="A78" s="37"/>
      <c r="B78" s="37"/>
      <c r="C78" s="37"/>
      <c r="D78" s="37"/>
      <c r="E78" s="37"/>
      <c r="K78" s="48"/>
    </row>
    <row r="79">
      <c r="A79" s="37"/>
      <c r="B79" s="37"/>
      <c r="C79" s="37"/>
      <c r="D79" s="37"/>
      <c r="E79" s="37"/>
      <c r="K79" s="48"/>
    </row>
    <row r="80">
      <c r="A80" s="37"/>
      <c r="B80" s="37"/>
      <c r="C80" s="37"/>
      <c r="D80" s="37"/>
      <c r="E80" s="37"/>
      <c r="K80" s="48"/>
    </row>
    <row r="81">
      <c r="A81" s="37"/>
      <c r="B81" s="37"/>
      <c r="C81" s="37"/>
      <c r="D81" s="37"/>
      <c r="E81" s="37"/>
      <c r="K81" s="48"/>
    </row>
    <row r="82">
      <c r="A82" s="37"/>
      <c r="B82" s="37"/>
      <c r="C82" s="37"/>
      <c r="D82" s="37"/>
      <c r="E82" s="37"/>
      <c r="K82" s="48"/>
    </row>
    <row r="83">
      <c r="A83" s="37"/>
      <c r="B83" s="37"/>
      <c r="C83" s="37"/>
      <c r="D83" s="37"/>
      <c r="E83" s="37"/>
      <c r="K83" s="48"/>
    </row>
    <row r="84">
      <c r="A84" s="37"/>
      <c r="B84" s="37"/>
      <c r="C84" s="37"/>
      <c r="D84" s="37"/>
      <c r="E84" s="37"/>
      <c r="K84" s="48"/>
    </row>
    <row r="85">
      <c r="A85" s="37"/>
      <c r="B85" s="37"/>
      <c r="C85" s="37"/>
      <c r="D85" s="37"/>
      <c r="E85" s="37"/>
      <c r="K85" s="48"/>
    </row>
    <row r="86">
      <c r="A86" s="37"/>
      <c r="B86" s="37"/>
      <c r="C86" s="37"/>
      <c r="D86" s="37"/>
      <c r="E86" s="37"/>
      <c r="K86" s="48"/>
    </row>
    <row r="87">
      <c r="A87" s="37"/>
      <c r="B87" s="37"/>
      <c r="C87" s="37"/>
      <c r="D87" s="37"/>
      <c r="E87" s="37"/>
      <c r="K87" s="48"/>
    </row>
    <row r="88">
      <c r="A88" s="37"/>
      <c r="B88" s="37"/>
      <c r="C88" s="37"/>
      <c r="D88" s="37"/>
      <c r="E88" s="37"/>
      <c r="K88" s="48"/>
    </row>
    <row r="89">
      <c r="A89" s="37"/>
      <c r="B89" s="37"/>
      <c r="C89" s="37"/>
      <c r="D89" s="37"/>
      <c r="E89" s="37"/>
      <c r="K89" s="48"/>
    </row>
    <row r="90">
      <c r="A90" s="37"/>
      <c r="B90" s="37"/>
      <c r="C90" s="37"/>
      <c r="D90" s="37"/>
      <c r="E90" s="37"/>
      <c r="K90" s="48"/>
    </row>
    <row r="91">
      <c r="A91" s="37"/>
      <c r="B91" s="37"/>
      <c r="C91" s="37"/>
      <c r="D91" s="37"/>
      <c r="E91" s="37"/>
      <c r="K91" s="48"/>
    </row>
    <row r="92">
      <c r="A92" s="37"/>
      <c r="B92" s="37"/>
      <c r="C92" s="37"/>
      <c r="D92" s="37"/>
      <c r="E92" s="37"/>
      <c r="K92" s="48"/>
    </row>
    <row r="93">
      <c r="A93" s="37"/>
      <c r="B93" s="37"/>
      <c r="C93" s="37"/>
      <c r="D93" s="37"/>
      <c r="E93" s="37"/>
      <c r="K93" s="48"/>
    </row>
    <row r="94">
      <c r="A94" s="37"/>
      <c r="B94" s="37"/>
      <c r="C94" s="37"/>
      <c r="D94" s="37"/>
      <c r="E94" s="37"/>
      <c r="K94" s="48"/>
    </row>
    <row r="95">
      <c r="A95" s="37"/>
      <c r="B95" s="37"/>
      <c r="C95" s="37"/>
      <c r="D95" s="37"/>
      <c r="E95" s="37"/>
      <c r="K95" s="48"/>
    </row>
    <row r="96">
      <c r="A96" s="37"/>
      <c r="B96" s="37"/>
      <c r="C96" s="37"/>
      <c r="D96" s="37"/>
      <c r="E96" s="37"/>
      <c r="K96" s="48"/>
    </row>
    <row r="97">
      <c r="A97" s="37"/>
      <c r="B97" s="37"/>
      <c r="C97" s="37"/>
      <c r="D97" s="37"/>
      <c r="E97" s="37"/>
      <c r="K97" s="48"/>
    </row>
    <row r="98">
      <c r="A98" s="37"/>
      <c r="B98" s="37"/>
      <c r="C98" s="37"/>
      <c r="D98" s="37"/>
      <c r="E98" s="37"/>
      <c r="K98" s="48"/>
    </row>
    <row r="99">
      <c r="A99" s="37"/>
      <c r="B99" s="37"/>
      <c r="C99" s="37"/>
      <c r="D99" s="37"/>
      <c r="E99" s="37"/>
      <c r="K99" s="48"/>
    </row>
    <row r="100">
      <c r="A100" s="37"/>
      <c r="B100" s="37"/>
      <c r="C100" s="37"/>
      <c r="D100" s="37"/>
      <c r="E100" s="37"/>
      <c r="K100" s="48"/>
    </row>
    <row r="101">
      <c r="A101" s="37"/>
      <c r="B101" s="37"/>
      <c r="C101" s="37"/>
      <c r="D101" s="37"/>
      <c r="E101" s="37"/>
      <c r="K101" s="48"/>
    </row>
    <row r="102">
      <c r="A102" s="37"/>
      <c r="B102" s="37"/>
      <c r="C102" s="37"/>
      <c r="D102" s="37"/>
      <c r="E102" s="37"/>
      <c r="K102" s="48"/>
    </row>
    <row r="103">
      <c r="A103" s="37"/>
      <c r="B103" s="37"/>
      <c r="C103" s="37"/>
      <c r="D103" s="37"/>
      <c r="E103" s="37"/>
      <c r="K103" s="48"/>
    </row>
    <row r="104">
      <c r="A104" s="37"/>
      <c r="B104" s="37"/>
      <c r="C104" s="37"/>
      <c r="D104" s="37"/>
      <c r="E104" s="37"/>
      <c r="K104" s="48"/>
    </row>
    <row r="105">
      <c r="A105" s="37"/>
      <c r="B105" s="37"/>
      <c r="C105" s="37"/>
      <c r="D105" s="37"/>
      <c r="E105" s="37"/>
      <c r="K105" s="48"/>
    </row>
    <row r="106">
      <c r="A106" s="37"/>
      <c r="B106" s="37"/>
      <c r="C106" s="37"/>
      <c r="D106" s="37"/>
      <c r="E106" s="37"/>
      <c r="K106" s="48"/>
    </row>
    <row r="107">
      <c r="A107" s="37"/>
      <c r="B107" s="37"/>
      <c r="C107" s="37"/>
      <c r="D107" s="37"/>
      <c r="E107" s="37"/>
      <c r="K107" s="48"/>
    </row>
    <row r="108">
      <c r="A108" s="37"/>
      <c r="B108" s="37"/>
      <c r="C108" s="37"/>
      <c r="D108" s="37"/>
      <c r="E108" s="37"/>
      <c r="K108" s="48"/>
    </row>
    <row r="109">
      <c r="A109" s="37"/>
      <c r="B109" s="37"/>
      <c r="C109" s="37"/>
      <c r="D109" s="37"/>
      <c r="E109" s="37"/>
      <c r="K109" s="48"/>
    </row>
    <row r="110">
      <c r="A110" s="37"/>
      <c r="B110" s="37"/>
      <c r="C110" s="37"/>
      <c r="D110" s="37"/>
      <c r="E110" s="37"/>
      <c r="K110" s="48"/>
    </row>
    <row r="111">
      <c r="A111" s="37"/>
      <c r="B111" s="37"/>
      <c r="C111" s="37"/>
      <c r="D111" s="37"/>
      <c r="E111" s="37"/>
      <c r="K111" s="48"/>
    </row>
    <row r="112">
      <c r="A112" s="37"/>
      <c r="B112" s="37"/>
      <c r="C112" s="37"/>
      <c r="D112" s="37"/>
      <c r="E112" s="37"/>
      <c r="K112" s="48"/>
    </row>
    <row r="113">
      <c r="A113" s="37"/>
      <c r="B113" s="37"/>
      <c r="C113" s="37"/>
      <c r="D113" s="37"/>
      <c r="E113" s="37"/>
      <c r="K113" s="48"/>
    </row>
    <row r="114">
      <c r="A114" s="37"/>
      <c r="B114" s="37"/>
      <c r="C114" s="37"/>
      <c r="D114" s="37"/>
      <c r="E114" s="37"/>
      <c r="K114" s="48"/>
    </row>
    <row r="115">
      <c r="A115" s="37"/>
      <c r="B115" s="37"/>
      <c r="C115" s="37"/>
      <c r="D115" s="37"/>
      <c r="E115" s="37"/>
      <c r="K115" s="48"/>
    </row>
    <row r="116">
      <c r="A116" s="37"/>
      <c r="B116" s="37"/>
      <c r="C116" s="37"/>
      <c r="D116" s="37"/>
      <c r="E116" s="37"/>
      <c r="K116" s="48"/>
    </row>
    <row r="117">
      <c r="A117" s="37"/>
      <c r="B117" s="37"/>
      <c r="C117" s="37"/>
      <c r="D117" s="37"/>
      <c r="E117" s="37"/>
      <c r="K117" s="48"/>
    </row>
    <row r="118">
      <c r="A118" s="37"/>
      <c r="B118" s="37"/>
      <c r="C118" s="37"/>
      <c r="D118" s="37"/>
      <c r="E118" s="37"/>
      <c r="K118" s="48"/>
    </row>
    <row r="119">
      <c r="A119" s="37"/>
      <c r="B119" s="37"/>
      <c r="C119" s="37"/>
      <c r="D119" s="37"/>
      <c r="E119" s="37"/>
      <c r="K119" s="48"/>
    </row>
    <row r="120">
      <c r="A120" s="37"/>
      <c r="B120" s="37"/>
      <c r="C120" s="37"/>
      <c r="D120" s="37"/>
      <c r="E120" s="37"/>
      <c r="K120" s="48"/>
    </row>
    <row r="121">
      <c r="A121" s="37"/>
      <c r="B121" s="37"/>
      <c r="C121" s="37"/>
      <c r="D121" s="37"/>
      <c r="E121" s="37"/>
      <c r="K121" s="48"/>
    </row>
    <row r="122">
      <c r="A122" s="37"/>
      <c r="B122" s="37"/>
      <c r="C122" s="37"/>
      <c r="D122" s="37"/>
      <c r="E122" s="37"/>
      <c r="K122" s="48"/>
    </row>
    <row r="123">
      <c r="A123" s="37"/>
      <c r="B123" s="37"/>
      <c r="C123" s="37"/>
      <c r="D123" s="37"/>
      <c r="E123" s="37"/>
      <c r="K123" s="48"/>
    </row>
    <row r="124">
      <c r="A124" s="37"/>
      <c r="B124" s="37"/>
      <c r="C124" s="37"/>
      <c r="D124" s="37"/>
      <c r="E124" s="37"/>
      <c r="K124" s="48"/>
    </row>
    <row r="125">
      <c r="A125" s="37"/>
      <c r="B125" s="37"/>
      <c r="C125" s="37"/>
      <c r="D125" s="37"/>
      <c r="E125" s="37"/>
      <c r="K125" s="48"/>
    </row>
    <row r="126">
      <c r="A126" s="37"/>
      <c r="B126" s="37"/>
      <c r="C126" s="37"/>
      <c r="D126" s="37"/>
      <c r="E126" s="37"/>
      <c r="K126" s="48"/>
    </row>
    <row r="127">
      <c r="A127" s="37"/>
      <c r="B127" s="37"/>
      <c r="C127" s="37"/>
      <c r="D127" s="37"/>
      <c r="E127" s="37"/>
      <c r="K127" s="48"/>
    </row>
    <row r="128">
      <c r="A128" s="37"/>
      <c r="B128" s="37"/>
      <c r="C128" s="37"/>
      <c r="D128" s="37"/>
      <c r="E128" s="37"/>
      <c r="K128" s="48"/>
    </row>
    <row r="129">
      <c r="A129" s="37"/>
      <c r="B129" s="37"/>
      <c r="C129" s="37"/>
      <c r="D129" s="37"/>
      <c r="E129" s="37"/>
      <c r="K129" s="48"/>
    </row>
    <row r="130">
      <c r="A130" s="37"/>
      <c r="B130" s="37"/>
      <c r="C130" s="37"/>
      <c r="D130" s="37"/>
      <c r="E130" s="37"/>
      <c r="K130" s="48"/>
    </row>
    <row r="131">
      <c r="A131" s="37"/>
      <c r="B131" s="37"/>
      <c r="C131" s="37"/>
      <c r="D131" s="37"/>
      <c r="E131" s="37"/>
      <c r="K131" s="48"/>
    </row>
    <row r="132">
      <c r="A132" s="37"/>
      <c r="B132" s="37"/>
      <c r="C132" s="37"/>
      <c r="D132" s="37"/>
      <c r="E132" s="37"/>
      <c r="K132" s="48"/>
    </row>
    <row r="133">
      <c r="A133" s="37"/>
      <c r="B133" s="37"/>
      <c r="C133" s="37"/>
      <c r="D133" s="37"/>
      <c r="E133" s="37"/>
      <c r="K133" s="48"/>
    </row>
    <row r="134">
      <c r="A134" s="37"/>
      <c r="B134" s="37"/>
      <c r="C134" s="37"/>
      <c r="D134" s="37"/>
      <c r="E134" s="37"/>
      <c r="K134" s="48"/>
    </row>
    <row r="135">
      <c r="A135" s="37"/>
      <c r="B135" s="37"/>
      <c r="C135" s="37"/>
      <c r="D135" s="37"/>
      <c r="E135" s="37"/>
      <c r="K135" s="48"/>
    </row>
    <row r="136">
      <c r="A136" s="37"/>
      <c r="B136" s="37"/>
      <c r="C136" s="37"/>
      <c r="D136" s="37"/>
      <c r="E136" s="37"/>
      <c r="K136" s="48"/>
    </row>
    <row r="137">
      <c r="A137" s="37"/>
      <c r="B137" s="37"/>
      <c r="C137" s="37"/>
      <c r="D137" s="37"/>
      <c r="E137" s="37"/>
      <c r="K137" s="48"/>
    </row>
    <row r="138">
      <c r="A138" s="37"/>
      <c r="B138" s="37"/>
      <c r="C138" s="37"/>
      <c r="D138" s="37"/>
      <c r="E138" s="37"/>
      <c r="K138" s="48"/>
    </row>
    <row r="139">
      <c r="A139" s="37"/>
      <c r="B139" s="37"/>
      <c r="C139" s="37"/>
      <c r="D139" s="37"/>
      <c r="E139" s="37"/>
      <c r="K139" s="48"/>
    </row>
    <row r="140">
      <c r="A140" s="37"/>
      <c r="B140" s="37"/>
      <c r="C140" s="37"/>
      <c r="D140" s="37"/>
      <c r="E140" s="37"/>
      <c r="K140" s="48"/>
    </row>
    <row r="141">
      <c r="A141" s="37"/>
      <c r="B141" s="37"/>
      <c r="C141" s="37"/>
      <c r="D141" s="37"/>
      <c r="E141" s="37"/>
      <c r="K141" s="48"/>
    </row>
    <row r="142">
      <c r="A142" s="37"/>
      <c r="B142" s="37"/>
      <c r="C142" s="37"/>
      <c r="D142" s="37"/>
      <c r="E142" s="37"/>
      <c r="K142" s="48"/>
    </row>
    <row r="143">
      <c r="A143" s="37"/>
      <c r="B143" s="37"/>
      <c r="C143" s="37"/>
      <c r="D143" s="37"/>
      <c r="E143" s="37"/>
      <c r="K143" s="48"/>
    </row>
    <row r="144">
      <c r="A144" s="37"/>
      <c r="B144" s="37"/>
      <c r="C144" s="37"/>
      <c r="D144" s="37"/>
      <c r="E144" s="37"/>
      <c r="K144" s="48"/>
    </row>
    <row r="145">
      <c r="A145" s="37"/>
      <c r="B145" s="37"/>
      <c r="C145" s="37"/>
      <c r="D145" s="37"/>
      <c r="E145" s="37"/>
      <c r="K145" s="48"/>
    </row>
    <row r="146">
      <c r="A146" s="37"/>
      <c r="B146" s="37"/>
      <c r="C146" s="37"/>
      <c r="D146" s="37"/>
      <c r="E146" s="37"/>
      <c r="K146" s="48"/>
    </row>
    <row r="147">
      <c r="A147" s="37"/>
      <c r="B147" s="37"/>
      <c r="C147" s="37"/>
      <c r="D147" s="37"/>
      <c r="E147" s="37"/>
      <c r="K147" s="48"/>
    </row>
    <row r="148">
      <c r="A148" s="37"/>
      <c r="B148" s="37"/>
      <c r="C148" s="37"/>
      <c r="D148" s="37"/>
      <c r="E148" s="37"/>
      <c r="K148" s="48"/>
    </row>
    <row r="149">
      <c r="A149" s="37"/>
      <c r="B149" s="37"/>
      <c r="C149" s="37"/>
      <c r="D149" s="37"/>
      <c r="E149" s="37"/>
      <c r="K149" s="48"/>
    </row>
    <row r="150">
      <c r="A150" s="37"/>
      <c r="B150" s="37"/>
      <c r="C150" s="37"/>
      <c r="D150" s="37"/>
      <c r="E150" s="37"/>
      <c r="K150" s="48"/>
    </row>
    <row r="151">
      <c r="A151" s="37"/>
      <c r="B151" s="37"/>
      <c r="C151" s="37"/>
      <c r="D151" s="37"/>
      <c r="E151" s="37"/>
      <c r="K151" s="48"/>
    </row>
    <row r="152">
      <c r="A152" s="37"/>
      <c r="B152" s="37"/>
      <c r="C152" s="37"/>
      <c r="D152" s="37"/>
      <c r="E152" s="37"/>
      <c r="K152" s="48"/>
    </row>
    <row r="153">
      <c r="A153" s="37"/>
      <c r="B153" s="37"/>
      <c r="C153" s="37"/>
      <c r="D153" s="37"/>
      <c r="E153" s="37"/>
      <c r="K153" s="48"/>
    </row>
    <row r="154">
      <c r="A154" s="37"/>
      <c r="B154" s="37"/>
      <c r="C154" s="37"/>
      <c r="D154" s="37"/>
      <c r="E154" s="37"/>
      <c r="K154" s="48"/>
    </row>
    <row r="155">
      <c r="A155" s="37"/>
      <c r="B155" s="37"/>
      <c r="C155" s="37"/>
      <c r="D155" s="37"/>
      <c r="E155" s="37"/>
      <c r="K155" s="48"/>
    </row>
    <row r="156">
      <c r="A156" s="37"/>
      <c r="B156" s="37"/>
      <c r="C156" s="37"/>
      <c r="D156" s="37"/>
      <c r="E156" s="37"/>
      <c r="K156" s="48"/>
    </row>
    <row r="157">
      <c r="A157" s="37"/>
      <c r="B157" s="37"/>
      <c r="C157" s="37"/>
      <c r="D157" s="37"/>
      <c r="E157" s="37"/>
      <c r="K157" s="48"/>
    </row>
    <row r="158">
      <c r="A158" s="37"/>
      <c r="B158" s="37"/>
      <c r="C158" s="37"/>
      <c r="D158" s="37"/>
      <c r="E158" s="37"/>
      <c r="K158" s="48"/>
    </row>
    <row r="159">
      <c r="A159" s="37"/>
      <c r="B159" s="37"/>
      <c r="C159" s="37"/>
      <c r="D159" s="37"/>
      <c r="E159" s="37"/>
      <c r="K159" s="48"/>
    </row>
    <row r="160">
      <c r="A160" s="37"/>
      <c r="B160" s="37"/>
      <c r="C160" s="37"/>
      <c r="D160" s="37"/>
      <c r="E160" s="37"/>
      <c r="K160" s="48"/>
    </row>
    <row r="161">
      <c r="A161" s="37"/>
      <c r="B161" s="37"/>
      <c r="C161" s="37"/>
      <c r="D161" s="37"/>
      <c r="E161" s="37"/>
      <c r="K161" s="48"/>
    </row>
    <row r="162">
      <c r="A162" s="37"/>
      <c r="B162" s="37"/>
      <c r="C162" s="37"/>
      <c r="D162" s="37"/>
      <c r="E162" s="37"/>
      <c r="K162" s="48"/>
    </row>
    <row r="163">
      <c r="A163" s="37"/>
      <c r="B163" s="37"/>
      <c r="C163" s="37"/>
      <c r="D163" s="37"/>
      <c r="E163" s="37"/>
      <c r="K163" s="48"/>
    </row>
    <row r="164">
      <c r="A164" s="37"/>
      <c r="B164" s="37"/>
      <c r="C164" s="37"/>
      <c r="D164" s="37"/>
      <c r="E164" s="37"/>
      <c r="K164" s="48"/>
    </row>
    <row r="165">
      <c r="A165" s="37"/>
      <c r="B165" s="37"/>
      <c r="C165" s="37"/>
      <c r="D165" s="37"/>
      <c r="E165" s="37"/>
      <c r="K165" s="48"/>
    </row>
    <row r="166">
      <c r="A166" s="37"/>
      <c r="B166" s="37"/>
      <c r="C166" s="37"/>
      <c r="D166" s="37"/>
      <c r="E166" s="37"/>
      <c r="K166" s="4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row r="1010">
      <c r="A1010" s="37"/>
      <c r="B1010" s="37"/>
      <c r="C1010" s="37"/>
      <c r="D1010" s="37"/>
      <c r="E1010" s="37"/>
      <c r="K1010" s="48"/>
    </row>
    <row r="1011">
      <c r="A1011" s="37"/>
      <c r="B1011" s="37"/>
      <c r="C1011" s="37"/>
      <c r="D1011" s="37"/>
      <c r="E1011" s="37"/>
      <c r="K1011" s="48"/>
    </row>
    <row r="1012">
      <c r="A1012" s="37"/>
      <c r="B1012" s="37"/>
      <c r="C1012" s="37"/>
      <c r="D1012" s="37"/>
      <c r="E1012" s="37"/>
      <c r="K1012" s="48"/>
    </row>
    <row r="1013">
      <c r="A1013" s="37"/>
      <c r="B1013" s="37"/>
      <c r="C1013" s="37"/>
      <c r="D1013" s="37"/>
      <c r="E1013" s="37"/>
      <c r="K1013" s="48"/>
    </row>
    <row r="1014">
      <c r="A1014" s="37"/>
      <c r="B1014" s="37"/>
      <c r="C1014" s="37"/>
      <c r="D1014" s="37"/>
      <c r="E1014" s="37"/>
      <c r="K1014" s="48"/>
    </row>
    <row r="1015">
      <c r="A1015" s="37"/>
      <c r="B1015" s="37"/>
      <c r="C1015" s="37"/>
      <c r="D1015" s="37"/>
      <c r="E1015" s="37"/>
      <c r="K1015" s="48"/>
    </row>
    <row r="1016">
      <c r="A1016" s="37"/>
      <c r="B1016" s="37"/>
      <c r="C1016" s="37"/>
      <c r="D1016" s="37"/>
      <c r="E1016" s="37"/>
      <c r="K1016" s="48"/>
    </row>
    <row r="1017">
      <c r="A1017" s="37"/>
      <c r="B1017" s="37"/>
      <c r="C1017" s="37"/>
      <c r="D1017" s="37"/>
      <c r="E1017" s="37"/>
      <c r="K1017" s="48"/>
    </row>
    <row r="1018">
      <c r="A1018" s="37"/>
      <c r="B1018" s="37"/>
      <c r="C1018" s="37"/>
      <c r="D1018" s="37"/>
      <c r="E1018" s="37"/>
      <c r="K1018" s="48"/>
    </row>
    <row r="1019">
      <c r="A1019" s="37"/>
      <c r="B1019" s="37"/>
      <c r="C1019" s="37"/>
      <c r="D1019" s="37"/>
      <c r="E1019" s="37"/>
      <c r="K1019" s="48"/>
    </row>
    <row r="1020">
      <c r="A1020" s="37"/>
      <c r="B1020" s="37"/>
      <c r="C1020" s="37"/>
      <c r="D1020" s="37"/>
      <c r="E1020" s="37"/>
      <c r="K1020" s="48"/>
    </row>
    <row r="1021">
      <c r="A1021" s="37"/>
      <c r="B1021" s="37"/>
      <c r="C1021" s="37"/>
      <c r="D1021" s="37"/>
      <c r="E1021" s="37"/>
      <c r="K1021" s="48"/>
    </row>
    <row r="1022">
      <c r="A1022" s="37"/>
      <c r="B1022" s="37"/>
      <c r="C1022" s="37"/>
      <c r="D1022" s="37"/>
      <c r="E1022" s="37"/>
      <c r="K1022" s="48"/>
    </row>
    <row r="1023">
      <c r="A1023" s="37"/>
      <c r="B1023" s="37"/>
      <c r="C1023" s="37"/>
      <c r="D1023" s="37"/>
      <c r="E1023" s="37"/>
      <c r="K1023" s="48"/>
    </row>
    <row r="1024">
      <c r="A1024" s="37"/>
      <c r="B1024" s="37"/>
      <c r="C1024" s="37"/>
      <c r="D1024" s="37"/>
      <c r="E1024" s="37"/>
      <c r="K1024" s="48"/>
    </row>
    <row r="1025">
      <c r="A1025" s="37"/>
      <c r="B1025" s="37"/>
      <c r="C1025" s="37"/>
      <c r="D1025" s="37"/>
      <c r="E1025" s="37"/>
      <c r="K1025" s="48"/>
    </row>
    <row r="1026">
      <c r="A1026" s="37"/>
      <c r="B1026" s="37"/>
      <c r="C1026" s="37"/>
      <c r="D1026" s="37"/>
      <c r="E1026" s="37"/>
      <c r="K1026" s="48"/>
    </row>
    <row r="1027">
      <c r="A1027" s="37"/>
      <c r="B1027" s="37"/>
      <c r="C1027" s="37"/>
      <c r="D1027" s="37"/>
      <c r="E1027" s="37"/>
      <c r="K1027" s="48"/>
    </row>
    <row r="1028">
      <c r="A1028" s="37"/>
      <c r="B1028" s="37"/>
      <c r="C1028" s="37"/>
      <c r="D1028" s="37"/>
      <c r="E1028" s="37"/>
      <c r="K1028" s="48"/>
    </row>
    <row r="1029">
      <c r="A1029" s="37"/>
      <c r="B1029" s="37"/>
      <c r="C1029" s="37"/>
      <c r="D1029" s="37"/>
      <c r="E1029" s="37"/>
      <c r="K1029" s="48"/>
    </row>
    <row r="1030">
      <c r="A1030" s="37"/>
      <c r="B1030" s="37"/>
      <c r="C1030" s="37"/>
      <c r="D1030" s="37"/>
      <c r="E1030" s="37"/>
      <c r="K1030" s="48"/>
    </row>
    <row r="1031">
      <c r="A1031" s="37"/>
      <c r="B1031" s="37"/>
      <c r="C1031" s="37"/>
      <c r="D1031" s="37"/>
      <c r="E1031" s="37"/>
      <c r="K1031" s="48"/>
    </row>
    <row r="1032">
      <c r="A1032" s="37"/>
      <c r="B1032" s="37"/>
      <c r="C1032" s="37"/>
      <c r="D1032" s="37"/>
      <c r="E1032" s="37"/>
      <c r="K1032" s="48"/>
    </row>
    <row r="1033">
      <c r="A1033" s="37"/>
      <c r="B1033" s="37"/>
      <c r="C1033" s="37"/>
      <c r="D1033" s="37"/>
      <c r="E1033" s="37"/>
      <c r="K1033" s="48"/>
    </row>
    <row r="1034">
      <c r="A1034" s="37"/>
      <c r="B1034" s="37"/>
      <c r="C1034" s="37"/>
      <c r="D1034" s="37"/>
      <c r="E1034" s="37"/>
      <c r="K1034" s="48"/>
    </row>
    <row r="1035">
      <c r="A1035" s="37"/>
      <c r="B1035" s="37"/>
      <c r="C1035" s="37"/>
      <c r="D1035" s="37"/>
      <c r="E1035" s="37"/>
      <c r="K1035" s="48"/>
    </row>
  </sheetData>
  <mergeCells count="5">
    <mergeCell ref="A4:B4"/>
    <mergeCell ref="C4:D4"/>
    <mergeCell ref="A5:B5"/>
    <mergeCell ref="C5:D5"/>
    <mergeCell ref="A6:D7"/>
  </mergeCells>
  <dataValidations>
    <dataValidation type="list" allowBlank="1" showErrorMessage="1" sqref="B8">
      <formula1>"MINH THUẬN,CẨM NHIÊN,Nhung"</formula1>
    </dataValidation>
    <dataValidation type="list" allowBlank="1" showErrorMessage="1" sqref="O3:O60">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37.0"/>
    <col customWidth="1" min="9" max="9" width="22.25"/>
    <col customWidth="1" min="10" max="10" width="28.75"/>
    <col customWidth="1" min="11" max="11" width="34.13"/>
    <col customWidth="1" min="12" max="12" width="16.38"/>
    <col customWidth="1" min="13" max="13" width="25.25"/>
    <col customWidth="1" min="14" max="14" width="24.25"/>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1602</v>
      </c>
      <c r="H2" s="9" t="s">
        <v>1603</v>
      </c>
      <c r="I2" s="9" t="s">
        <v>1604</v>
      </c>
      <c r="J2" s="9" t="s">
        <v>1605</v>
      </c>
      <c r="K2" s="9" t="s">
        <v>8</v>
      </c>
      <c r="L2" s="9" t="s">
        <v>1606</v>
      </c>
      <c r="M2" s="9" t="s">
        <v>1607</v>
      </c>
      <c r="N2" s="9" t="s">
        <v>1608</v>
      </c>
      <c r="O2" s="9" t="s">
        <v>1609</v>
      </c>
      <c r="P2" s="9" t="s">
        <v>1610</v>
      </c>
    </row>
    <row r="3">
      <c r="A3" s="10">
        <f>COUNTA(F:F)-1</f>
        <v>30</v>
      </c>
      <c r="B3" s="11">
        <f>COUNTIF(O:O,"Pass")</f>
        <v>0</v>
      </c>
      <c r="C3" s="11">
        <f>COUNTIF(O:O,"Fail")</f>
        <v>3</v>
      </c>
      <c r="D3" s="11">
        <f>COUNTIF(O:O,"Untest")</f>
        <v>0</v>
      </c>
      <c r="E3" s="8"/>
      <c r="F3" s="12" t="s">
        <v>1611</v>
      </c>
      <c r="G3" s="55" t="s">
        <v>15</v>
      </c>
      <c r="H3" s="12" t="s">
        <v>1612</v>
      </c>
      <c r="I3" s="12"/>
      <c r="J3" s="12" t="s">
        <v>1613</v>
      </c>
      <c r="K3" s="13" t="str">
        <f>IFERROR(__xludf.DUMMYFUNCTION("IF(ISBLANK(J3), ""Input test step"", ARRAYFORMULA(TEXTJOIN(CHAR(10), TRUE, (""Step ""&amp; ROW(INDIRECT(""1:"" &amp; COUNTA(SPLIT(J3, CHAR(10))))) &amp; "": "" &amp; TRANSPOSE(SPLIT(J3, CHAR(10)))))))"),"Step 1: Đăng nhập vào
Step 2: Chọn tab khuyến mãi 
Step 3: Kiểm tra thanh header "" Khuyến mãi """)</f>
        <v>Step 1: Đăng nhập vào
Step 2: Chọn tab khuyến mãi 
Step 3: Kiểm tra thanh header " Khuyến mãi "</v>
      </c>
      <c r="L3" s="14"/>
      <c r="M3" s="12" t="s">
        <v>1614</v>
      </c>
      <c r="N3" s="12" t="s">
        <v>1615</v>
      </c>
      <c r="O3" s="12" t="s">
        <v>2</v>
      </c>
      <c r="P3" s="12"/>
    </row>
    <row r="4">
      <c r="A4" s="15" t="s">
        <v>20</v>
      </c>
      <c r="B4" s="16"/>
      <c r="C4" s="17">
        <f>IFERROR(((B3+C3)/A3),0)</f>
        <v>0.1</v>
      </c>
      <c r="D4" s="16"/>
      <c r="E4" s="18"/>
      <c r="F4" s="12" t="s">
        <v>1616</v>
      </c>
      <c r="G4" s="56"/>
      <c r="H4" s="12" t="s">
        <v>1617</v>
      </c>
      <c r="I4" s="12"/>
      <c r="J4" s="12" t="s">
        <v>1618</v>
      </c>
      <c r="K4" s="13" t="str">
        <f>IFERROR(__xludf.DUMMYFUNCTION("IF(ISBLANK(J4), ""Input test step"", ARRAYFORMULA(TEXTJOIN(CHAR(10), TRUE, (""Step ""&amp; ROW(INDIRECT(""1:"" &amp; COUNTA(SPLIT(J4, CHAR(10))))) &amp; "": "" &amp; TRANSPOSE(SPLIT(J4, CHAR(10)))))))"),"Step 1: Đăng nhập vào
Step 2: Chọn tab khuyến mãi 
Step 3: Kiểm tra thanh tìm kiếm và placeholder")</f>
        <v>Step 1: Đăng nhập vào
Step 2: Chọn tab khuyến mãi 
Step 3: Kiểm tra thanh tìm kiếm và placeholder</v>
      </c>
      <c r="L4" s="14"/>
      <c r="M4" s="12" t="s">
        <v>1619</v>
      </c>
      <c r="N4" s="12" t="s">
        <v>1620</v>
      </c>
      <c r="O4" s="12" t="s">
        <v>2</v>
      </c>
      <c r="P4" s="19"/>
    </row>
    <row r="5">
      <c r="A5" s="15" t="s">
        <v>26</v>
      </c>
      <c r="B5" s="16"/>
      <c r="C5" s="20">
        <f>IFERROR(B3/(B3+C3),0)</f>
        <v>0</v>
      </c>
      <c r="D5" s="16"/>
      <c r="E5" s="18"/>
      <c r="F5" s="12" t="s">
        <v>1621</v>
      </c>
      <c r="G5" s="56"/>
      <c r="H5" s="12" t="s">
        <v>1622</v>
      </c>
      <c r="I5" s="12"/>
      <c r="J5" s="12" t="s">
        <v>1623</v>
      </c>
      <c r="K5" s="13" t="str">
        <f>IFERROR(__xludf.DUMMYFUNCTION("IF(ISBLANK(J5), ""Input test step"", ARRAYFORMULA(TEXTJOIN(CHAR(10), TRUE, (""Step ""&amp; ROW(INDIRECT(""1:"" &amp; COUNTA(SPLIT(J5, CHAR(10))))) &amp; "": "" &amp; TRANSPOSE(SPLIT(J5, CHAR(10)))))))"),"Step 1: Đăng nhập vào
Step 2: Chọn tab khuyến mãi 
Step 3: Kiểm tra thanh chuyển tab và tên trạng thái")</f>
        <v>Step 1: Đăng nhập vào
Step 2: Chọn tab khuyến mãi 
Step 3: Kiểm tra thanh chuyển tab và tên trạng thái</v>
      </c>
      <c r="L5" s="14"/>
      <c r="M5" s="22" t="s">
        <v>1619</v>
      </c>
      <c r="N5" s="22" t="s">
        <v>1624</v>
      </c>
      <c r="O5" s="12" t="s">
        <v>2</v>
      </c>
      <c r="P5" s="19"/>
    </row>
    <row r="6">
      <c r="A6" s="23" t="s">
        <v>1625</v>
      </c>
      <c r="D6" s="24"/>
      <c r="E6" s="18"/>
      <c r="F6" s="12" t="s">
        <v>1626</v>
      </c>
      <c r="G6" s="57"/>
      <c r="H6" s="12" t="s">
        <v>1627</v>
      </c>
      <c r="I6" s="12"/>
      <c r="J6" s="12" t="s">
        <v>1628</v>
      </c>
      <c r="K6" s="13" t="str">
        <f>IFERROR(__xludf.DUMMYFUNCTION("IF(ISBLANK(J6), ""Input test step"", ARRAYFORMULA(TEXTJOIN(CHAR(10), TRUE, (""Step ""&amp; ROW(INDIRECT(""1:"" &amp; COUNTA(SPLIT(J6, CHAR(10))))) &amp; "": "" &amp; TRANSPOSE(SPLIT(J6, CHAR(10)))))))"),"Step 1: Đăng nhập vào
Step 2: Chọn tab khuyến mãi 
Step 3: Kiểm tra hiển thị danh sách list khuyến mãi")</f>
        <v>Step 1: Đăng nhập vào
Step 2: Chọn tab khuyến mãi 
Step 3: Kiểm tra hiển thị danh sách list khuyến mãi</v>
      </c>
      <c r="L6" s="14"/>
      <c r="M6" s="12" t="s">
        <v>1629</v>
      </c>
      <c r="N6" s="12"/>
      <c r="O6" s="12"/>
      <c r="P6" s="19"/>
    </row>
    <row r="7">
      <c r="A7" s="25"/>
      <c r="D7" s="24"/>
      <c r="E7" s="18"/>
      <c r="F7" s="12" t="s">
        <v>1630</v>
      </c>
      <c r="G7" s="55" t="s">
        <v>1631</v>
      </c>
      <c r="H7" s="12" t="s">
        <v>1632</v>
      </c>
      <c r="I7" s="12"/>
      <c r="J7" s="12" t="s">
        <v>1633</v>
      </c>
      <c r="K7" s="13" t="str">
        <f>IFERROR(__xludf.DUMMYFUNCTION("IF(ISBLANK(J7), ""Input test step"", ARRAYFORMULA(TEXTJOIN(CHAR(10), TRUE, (""Step ""&amp; ROW(INDIRECT(""1:"" &amp; COUNTA(SPLIT(J7, CHAR(10))))) &amp; "": "" &amp; TRANSPOSE(SPLIT(J7, CHAR(10)))))))"),"Step 1: Nhấn vào Trường tìm kiếm 
Step 2: Nhập dữ liệu vào")</f>
        <v>Step 1: Nhấn vào Trường tìm kiếm 
Step 2: Nhập dữ liệu vào</v>
      </c>
      <c r="L7" s="14"/>
      <c r="M7" s="12" t="s">
        <v>1634</v>
      </c>
      <c r="N7" s="12"/>
      <c r="O7" s="12"/>
      <c r="P7" s="19"/>
    </row>
    <row r="8">
      <c r="A8" s="25"/>
      <c r="D8" s="24"/>
      <c r="E8" s="18"/>
      <c r="F8" s="12" t="s">
        <v>1635</v>
      </c>
      <c r="G8" s="56"/>
      <c r="H8" s="12" t="s">
        <v>1636</v>
      </c>
      <c r="I8" s="12"/>
      <c r="J8" s="12" t="s">
        <v>1637</v>
      </c>
      <c r="K8" s="13" t="str">
        <f>IFERROR(__xludf.DUMMYFUNCTION("IF(ISBLANK(J8), ""Input test step"", ARRAYFORMULA(TEXTJOIN(CHAR(10), TRUE, (""Step ""&amp; ROW(INDIRECT(""1:"" &amp; COUNTA(SPLIT(J8, CHAR(10))))) &amp; "": "" &amp; TRANSPOSE(SPLIT(J8, CHAR(10)))))))"),"Step 1: Đăng nhập vào
Step 2: Chọn tab khuyến mãi 
Step 3: Nhập mã voucher hợp lệ")</f>
        <v>Step 1: Đăng nhập vào
Step 2: Chọn tab khuyến mãi 
Step 3: Nhập mã voucher hợp lệ</v>
      </c>
      <c r="L8" s="14"/>
      <c r="M8" s="12" t="s">
        <v>1638</v>
      </c>
      <c r="N8" s="12"/>
      <c r="O8" s="12"/>
      <c r="P8" s="19"/>
    </row>
    <row r="9">
      <c r="A9" s="25"/>
      <c r="D9" s="24"/>
      <c r="E9" s="18"/>
      <c r="F9" s="12" t="s">
        <v>1639</v>
      </c>
      <c r="G9" s="56"/>
      <c r="H9" s="45" t="s">
        <v>1640</v>
      </c>
      <c r="I9" s="12"/>
      <c r="J9" s="12" t="s">
        <v>1641</v>
      </c>
      <c r="K9" s="13" t="str">
        <f>IFERROR(__xludf.DUMMYFUNCTION("IF(ISBLANK(J9), ""Input test step"", ARRAYFORMULA(TEXTJOIN(CHAR(10), TRUE, (""Step ""&amp; ROW(INDIRECT(""1:"" &amp; COUNTA(SPLIT(J9, CHAR(10))))) &amp; "": "" &amp; TRANSPOSE(SPLIT(J9, CHAR(10)))))))"),"Step 1: Đăng nhập vào
Step 2: Chọn tab khuyến mãi 
Step 3: Nhập mã không tồn tại")</f>
        <v>Step 1: Đăng nhập vào
Step 2: Chọn tab khuyến mãi 
Step 3: Nhập mã không tồn tại</v>
      </c>
      <c r="L9" s="14"/>
      <c r="M9" s="73" t="s">
        <v>1642</v>
      </c>
      <c r="N9" s="73"/>
      <c r="O9" s="12"/>
      <c r="P9" s="19"/>
    </row>
    <row r="10">
      <c r="A10" s="25"/>
      <c r="D10" s="24"/>
      <c r="E10" s="18"/>
      <c r="F10" s="12" t="s">
        <v>1643</v>
      </c>
      <c r="G10" s="56"/>
      <c r="H10" s="45" t="s">
        <v>1644</v>
      </c>
      <c r="I10" s="12"/>
      <c r="J10" s="12" t="s">
        <v>1645</v>
      </c>
      <c r="K10" s="13" t="str">
        <f>IFERROR(__xludf.DUMMYFUNCTION("IF(ISBLANK(J10), ""Input test step"", ARRAYFORMULA(TEXTJOIN(CHAR(10), TRUE, (""Step ""&amp; ROW(INDIRECT(""1:"" &amp; COUNTA(SPLIT(J10, CHAR(10))))) &amp; "": "" &amp; TRANSPOSE(SPLIT(J10, CHAR(10)))))))"),"Step 1: Đăng nhập vào
Step 2: Chọn tab khuyến mãi 
Step 3: Để thanh tìm kiếm rỗng ")</f>
        <v>Step 1: Đăng nhập vào
Step 2: Chọn tab khuyến mãi 
Step 3: Để thanh tìm kiếm rỗng </v>
      </c>
      <c r="L10" s="14"/>
      <c r="M10" s="73" t="s">
        <v>1646</v>
      </c>
      <c r="N10" s="73"/>
      <c r="O10" s="12"/>
      <c r="P10" s="19"/>
    </row>
    <row r="11">
      <c r="A11" s="25"/>
      <c r="D11" s="24"/>
      <c r="E11" s="18"/>
      <c r="F11" s="12" t="s">
        <v>1647</v>
      </c>
      <c r="G11" s="56"/>
      <c r="H11" s="12" t="s">
        <v>1648</v>
      </c>
      <c r="I11" s="12"/>
      <c r="J11" s="12" t="s">
        <v>1649</v>
      </c>
      <c r="K11" s="13" t="str">
        <f>IFERROR(__xludf.DUMMYFUNCTION("IF(ISBLANK(J11), ""Input test step"", ARRAYFORMULA(TEXTJOIN(CHAR(10), TRUE, (""Step ""&amp; ROW(INDIRECT(""1:"" &amp; COUNTA(SPLIT(J11, CHAR(10))))) &amp; "": "" &amp; TRANSPOSE(SPLIT(J11, CHAR(10)))))))"),"Step 1: Đăng nhập vào
Step 2: Chọn tab khuyến mãi 
Step 3: Nhập ký tự đặc biệt")</f>
        <v>Step 1: Đăng nhập vào
Step 2: Chọn tab khuyến mãi 
Step 3: Nhập ký tự đặc biệt</v>
      </c>
      <c r="L11" s="14"/>
      <c r="M11" s="73" t="s">
        <v>1642</v>
      </c>
      <c r="N11" s="73"/>
      <c r="O11" s="12"/>
      <c r="P11" s="19"/>
    </row>
    <row r="12">
      <c r="A12" s="74" t="s">
        <v>46</v>
      </c>
      <c r="B12" s="75" t="s">
        <v>1650</v>
      </c>
      <c r="C12" s="28"/>
      <c r="D12" s="28"/>
      <c r="E12" s="18"/>
      <c r="F12" s="12" t="s">
        <v>1651</v>
      </c>
      <c r="G12" s="57"/>
      <c r="H12" s="12" t="s">
        <v>1652</v>
      </c>
      <c r="I12" s="12"/>
      <c r="J12" s="12" t="s">
        <v>1653</v>
      </c>
      <c r="K12" s="13" t="str">
        <f>IFERROR(__xludf.DUMMYFUNCTION("IF(ISBLANK(J12), ""Input test step"", ARRAYFORMULA(TEXTJOIN(CHAR(10), TRUE, (""Step ""&amp; ROW(INDIRECT(""1:"" &amp; COUNTA(SPLIT(J12, CHAR(10))))) &amp; "": "" &amp; TRANSPOSE(SPLIT(J12, CHAR(10)))))))"),"Step 1: Đăng nhập vào
Step 2: Chọn tab khuyến mãi 
Step 3: Nhập mã voucher  đã hết hạn")</f>
        <v>Step 1: Đăng nhập vào
Step 2: Chọn tab khuyến mãi 
Step 3: Nhập mã voucher  đã hết hạn</v>
      </c>
      <c r="L12" s="14"/>
      <c r="M12" s="73" t="s">
        <v>1654</v>
      </c>
      <c r="N12" s="73"/>
      <c r="O12" s="12"/>
      <c r="P12" s="19"/>
    </row>
    <row r="13">
      <c r="A13" s="28"/>
      <c r="B13" s="28"/>
      <c r="C13" s="28"/>
      <c r="D13" s="28"/>
      <c r="E13" s="18"/>
      <c r="F13" s="12" t="s">
        <v>1655</v>
      </c>
      <c r="G13" s="55" t="s">
        <v>1622</v>
      </c>
      <c r="H13" s="45" t="s">
        <v>1656</v>
      </c>
      <c r="I13" s="12" t="s">
        <v>1657</v>
      </c>
      <c r="J13" s="12" t="s">
        <v>1658</v>
      </c>
      <c r="K13" s="13" t="str">
        <f>IFERROR(__xludf.DUMMYFUNCTION("IF(ISBLANK(J13), ""Input test step"", ARRAYFORMULA(TEXTJOIN(CHAR(10), TRUE, (""Step ""&amp; ROW(INDIRECT(""1:"" &amp; COUNTA(SPLIT(J13, CHAR(10))))) &amp; "": "" &amp; TRANSPOSE(SPLIT(J13, CHAR(10)))))))"),"Step 1: Đăng nhập vào 
Step 2: Chọn tab khuyến mãi 
Step 3: Chọn tab "" Sẵn có """)</f>
        <v>Step 1: Đăng nhập vào 
Step 2: Chọn tab khuyến mãi 
Step 3: Chọn tab " Sẵn có "</v>
      </c>
      <c r="L13" s="33"/>
      <c r="M13" s="31" t="s">
        <v>1659</v>
      </c>
      <c r="N13" s="31"/>
      <c r="O13" s="12"/>
      <c r="P13" s="32"/>
    </row>
    <row r="14">
      <c r="A14" s="28"/>
      <c r="B14" s="28"/>
      <c r="C14" s="28"/>
      <c r="D14" s="28"/>
      <c r="E14" s="18"/>
      <c r="F14" s="12" t="s">
        <v>1660</v>
      </c>
      <c r="G14" s="56"/>
      <c r="H14" s="45" t="s">
        <v>1661</v>
      </c>
      <c r="I14" s="12" t="s">
        <v>1657</v>
      </c>
      <c r="J14" s="12" t="s">
        <v>1662</v>
      </c>
      <c r="K14" s="13" t="str">
        <f>IFERROR(__xludf.DUMMYFUNCTION("IF(ISBLANK(J14), ""Input test step"", ARRAYFORMULA(TEXTJOIN(CHAR(10), TRUE, (""Step ""&amp; ROW(INDIRECT(""1:"" &amp; COUNTA(SPLIT(J14, CHAR(10))))) &amp; "": "" &amp; TRANSPOSE(SPLIT(J14, CHAR(10)))))))"),"Step 1: Đăng nhập vào 
Step 2: Chọn tab khuyễn mãi 
Step 3: Chọn tab "" Sẵn có ""
Step 4: Nhấn vào một voucher")</f>
        <v>Step 1: Đăng nhập vào 
Step 2: Chọn tab khuyễn mãi 
Step 3: Chọn tab " Sẵn có "
Step 4: Nhấn vào một voucher</v>
      </c>
      <c r="L14" s="33"/>
      <c r="M14" s="31" t="s">
        <v>1663</v>
      </c>
      <c r="N14" s="31"/>
      <c r="O14" s="12"/>
      <c r="P14" s="32"/>
    </row>
    <row r="15">
      <c r="A15" s="28"/>
      <c r="B15" s="28"/>
      <c r="C15" s="28"/>
      <c r="D15" s="28"/>
      <c r="E15" s="18"/>
      <c r="F15" s="12" t="s">
        <v>1664</v>
      </c>
      <c r="G15" s="56"/>
      <c r="H15" s="12" t="s">
        <v>1665</v>
      </c>
      <c r="I15" s="12" t="s">
        <v>1657</v>
      </c>
      <c r="J15" s="12" t="s">
        <v>1666</v>
      </c>
      <c r="K15" s="13" t="str">
        <f>IFERROR(__xludf.DUMMYFUNCTION("IF(ISBLANK(J15), ""Input test step"", ARRAYFORMULA(TEXTJOIN(CHAR(10), TRUE, (""Step ""&amp; ROW(INDIRECT(""1:"" &amp; COUNTA(SPLIT(J15, CHAR(10))))) &amp; "": "" &amp; TRANSPOSE(SPLIT(J15, CHAR(10)))))))"),"Step 1: Đăng nhập vào 
Step 2: Chọn tab khuyến mãi 
Step 3: Chọn tab "" Sẵn có ""
Step 4: Nhập từ khoá vào thanh tìm kiếm")</f>
        <v>Step 1: Đăng nhập vào 
Step 2: Chọn tab khuyến mãi 
Step 3: Chọn tab " Sẵn có "
Step 4: Nhập từ khoá vào thanh tìm kiếm</v>
      </c>
      <c r="L15" s="34"/>
      <c r="M15" s="31" t="s">
        <v>1667</v>
      </c>
      <c r="N15" s="31"/>
      <c r="O15" s="12"/>
      <c r="P15" s="32"/>
    </row>
    <row r="16">
      <c r="A16" s="28"/>
      <c r="B16" s="28"/>
      <c r="C16" s="28"/>
      <c r="D16" s="28"/>
      <c r="E16" s="18"/>
      <c r="F16" s="12" t="s">
        <v>1668</v>
      </c>
      <c r="G16" s="56"/>
      <c r="H16" s="45" t="s">
        <v>1669</v>
      </c>
      <c r="I16" s="12" t="s">
        <v>1670</v>
      </c>
      <c r="J16" s="12" t="s">
        <v>1671</v>
      </c>
      <c r="K16" s="13" t="str">
        <f>IFERROR(__xludf.DUMMYFUNCTION("IF(ISBLANK(J16), ""Input test step"", ARRAYFORMULA(TEXTJOIN(CHAR(10), TRUE, (""Step ""&amp; ROW(INDIRECT(""1:"" &amp; COUNTA(SPLIT(J16, CHAR(10))))) &amp; "": "" &amp; TRANSPOSE(SPLIT(J16, CHAR(10)))))))"),"Step 1: Đăng nhập vào 
Step 2: Chọn tab khuyến mãi 
Step 3: Chọn tab "" Sẵn có "" mà không có voucher nào")</f>
        <v>Step 1: Đăng nhập vào 
Step 2: Chọn tab khuyến mãi 
Step 3: Chọn tab " Sẵn có " mà không có voucher nào</v>
      </c>
      <c r="L16" s="34"/>
      <c r="M16" s="73" t="s">
        <v>1672</v>
      </c>
      <c r="N16" s="73"/>
      <c r="O16" s="12"/>
      <c r="P16" s="32"/>
    </row>
    <row r="17">
      <c r="A17" s="28"/>
      <c r="B17" s="28"/>
      <c r="C17" s="28"/>
      <c r="D17" s="28"/>
      <c r="E17" s="18"/>
      <c r="F17" s="12" t="s">
        <v>1673</v>
      </c>
      <c r="G17" s="56"/>
      <c r="H17" s="45" t="s">
        <v>1674</v>
      </c>
      <c r="I17" s="12" t="s">
        <v>1657</v>
      </c>
      <c r="J17" s="12" t="s">
        <v>1675</v>
      </c>
      <c r="K17" s="13" t="str">
        <f>IFERROR(__xludf.DUMMYFUNCTION("IF(ISBLANK(J17), ""Input test step"", ARRAYFORMULA(TEXTJOIN(CHAR(10), TRUE, (""Step ""&amp; ROW(INDIRECT(""1:"" &amp; COUNTA(SPLIT(J17, CHAR(10))))) &amp; "": "" &amp; TRANSPOSE(SPLIT(J17, CHAR(10)))))))"),"Step 1: Đăng nhập vào 
Step 2: Chọn tab khuyến mãi 
Step 3: Chọn tab "" Đã sử dụng """)</f>
        <v>Step 1: Đăng nhập vào 
Step 2: Chọn tab khuyến mãi 
Step 3: Chọn tab " Đã sử dụng "</v>
      </c>
      <c r="L17" s="34"/>
      <c r="M17" s="73" t="s">
        <v>1676</v>
      </c>
      <c r="N17" s="73"/>
      <c r="O17" s="12"/>
      <c r="P17" s="32"/>
    </row>
    <row r="18">
      <c r="A18" s="35"/>
      <c r="B18" s="35"/>
      <c r="C18" s="35"/>
      <c r="D18" s="35"/>
      <c r="E18" s="18"/>
      <c r="F18" s="12" t="s">
        <v>1677</v>
      </c>
      <c r="G18" s="56"/>
      <c r="H18" s="45" t="s">
        <v>1678</v>
      </c>
      <c r="I18" s="12" t="s">
        <v>1657</v>
      </c>
      <c r="J18" s="12" t="s">
        <v>1679</v>
      </c>
      <c r="K18" s="13" t="str">
        <f>IFERROR(__xludf.DUMMYFUNCTION("IF(ISBLANK(J18), ""Input test step"", ARRAYFORMULA(TEXTJOIN(CHAR(10), TRUE, (""Step ""&amp; ROW(INDIRECT(""1:"" &amp; COUNTA(SPLIT(J18, CHAR(10))))) &amp; "": "" &amp; TRANSPOSE(SPLIT(J18, CHAR(10)))))))"),"Step 1: Đăng nhập vào 
Step 2: Chọn tab khuyến mãi 
Step 3: Chọn tab "" Đã sử dụng "" 
Step 4: Nhập từ khoá vào thanh tìm kiếm")</f>
        <v>Step 1: Đăng nhập vào 
Step 2: Chọn tab khuyến mãi 
Step 3: Chọn tab " Đã sử dụng " 
Step 4: Nhập từ khoá vào thanh tìm kiếm</v>
      </c>
      <c r="L18" s="34"/>
      <c r="M18" s="73" t="s">
        <v>1680</v>
      </c>
      <c r="N18" s="73"/>
      <c r="O18" s="12"/>
      <c r="P18" s="32"/>
    </row>
    <row r="19">
      <c r="A19" s="35"/>
      <c r="B19" s="35"/>
      <c r="C19" s="35"/>
      <c r="D19" s="76"/>
      <c r="E19" s="18"/>
      <c r="F19" s="12" t="s">
        <v>1681</v>
      </c>
      <c r="G19" s="56"/>
      <c r="H19" s="45" t="s">
        <v>1669</v>
      </c>
      <c r="I19" s="12" t="s">
        <v>1670</v>
      </c>
      <c r="J19" s="12" t="s">
        <v>1682</v>
      </c>
      <c r="K19" s="13" t="str">
        <f>IFERROR(__xludf.DUMMYFUNCTION("IF(ISBLANK(J19), ""Input test step"", ARRAYFORMULA(TEXTJOIN(CHAR(10), TRUE, (""Step ""&amp; ROW(INDIRECT(""1:"" &amp; COUNTA(SPLIT(J19, CHAR(10))))) &amp; "": "" &amp; TRANSPOSE(SPLIT(J19, CHAR(10)))))))"),"Step 1: Đăng nhập vào 
Step 2: Chọn tab khuyến mãi 
Step 3: Chọn tab "" Đã sử dụng "" mà không có voucher nào")</f>
        <v>Step 1: Đăng nhập vào 
Step 2: Chọn tab khuyến mãi 
Step 3: Chọn tab " Đã sử dụng " mà không có voucher nào</v>
      </c>
      <c r="L19" s="34"/>
      <c r="M19" s="73" t="s">
        <v>1672</v>
      </c>
      <c r="N19" s="73"/>
      <c r="O19" s="12"/>
      <c r="P19" s="32"/>
    </row>
    <row r="20">
      <c r="A20" s="35"/>
      <c r="B20" s="35"/>
      <c r="C20" s="35"/>
      <c r="D20" s="35"/>
      <c r="E20" s="18"/>
      <c r="F20" s="12" t="s">
        <v>1683</v>
      </c>
      <c r="G20" s="56"/>
      <c r="H20" s="45" t="s">
        <v>1684</v>
      </c>
      <c r="I20" s="12" t="s">
        <v>1657</v>
      </c>
      <c r="J20" s="12" t="s">
        <v>1685</v>
      </c>
      <c r="K20" s="13" t="str">
        <f>IFERROR(__xludf.DUMMYFUNCTION("IF(ISBLANK(J20), ""Input test step"", ARRAYFORMULA(TEXTJOIN(CHAR(10), TRUE, (""Step ""&amp; ROW(INDIRECT(""1:"" &amp; COUNTA(SPLIT(J20, CHAR(10))))) &amp; "": "" &amp; TRANSPOSE(SPLIT(J20, CHAR(10)))))))"),"Step 1: Đăng nhập vào 
Step 2: Chọn tab khuyến mãi 
Step 3: Chọn tab "" Hết hạn """)</f>
        <v>Step 1: Đăng nhập vào 
Step 2: Chọn tab khuyến mãi 
Step 3: Chọn tab " Hết hạn "</v>
      </c>
      <c r="L20" s="34"/>
      <c r="M20" s="73" t="s">
        <v>1686</v>
      </c>
      <c r="N20" s="73"/>
      <c r="O20" s="12"/>
      <c r="P20" s="32"/>
    </row>
    <row r="21">
      <c r="A21" s="36"/>
      <c r="B21" s="36"/>
      <c r="C21" s="36"/>
      <c r="D21" s="36"/>
      <c r="E21" s="27"/>
      <c r="F21" s="12" t="s">
        <v>1687</v>
      </c>
      <c r="G21" s="56"/>
      <c r="H21" s="45" t="s">
        <v>1688</v>
      </c>
      <c r="I21" s="12" t="s">
        <v>1657</v>
      </c>
      <c r="J21" s="12" t="s">
        <v>1689</v>
      </c>
      <c r="K21" s="13" t="str">
        <f>IFERROR(__xludf.DUMMYFUNCTION("IF(ISBLANK(J21), ""Input test step"", ARRAYFORMULA(TEXTJOIN(CHAR(10), TRUE, (""Step ""&amp; ROW(INDIRECT(""1:"" &amp; COUNTA(SPLIT(J21, CHAR(10))))) &amp; "": "" &amp; TRANSPOSE(SPLIT(J21, CHAR(10)))))))"),"Step 1: Đăng nhập vào 
Step 2: Chọn tab khuyến mãi 
Step 3: Chọn tab "" Hết hạn "" 
Step 4: Nhấn từ khoá vào thanh tìm kiếm")</f>
        <v>Step 1: Đăng nhập vào 
Step 2: Chọn tab khuyến mãi 
Step 3: Chọn tab " Hết hạn " 
Step 4: Nhấn từ khoá vào thanh tìm kiếm</v>
      </c>
      <c r="L21" s="14"/>
      <c r="M21" s="73" t="s">
        <v>1690</v>
      </c>
      <c r="N21" s="73"/>
      <c r="O21" s="12"/>
      <c r="P21" s="32"/>
    </row>
    <row r="22">
      <c r="A22" s="37"/>
      <c r="B22" s="37"/>
      <c r="C22" s="37"/>
      <c r="D22" s="37"/>
      <c r="E22" s="37"/>
      <c r="F22" s="12" t="s">
        <v>1691</v>
      </c>
      <c r="G22" s="56"/>
      <c r="H22" s="45" t="s">
        <v>1669</v>
      </c>
      <c r="I22" s="12" t="s">
        <v>1670</v>
      </c>
      <c r="J22" s="12" t="s">
        <v>1692</v>
      </c>
      <c r="K22" s="13" t="str">
        <f>IFERROR(__xludf.DUMMYFUNCTION("IF(ISBLANK(J22), ""Input test step"", ARRAYFORMULA(TEXTJOIN(CHAR(10), TRUE, (""Step ""&amp; ROW(INDIRECT(""1:"" &amp; COUNTA(SPLIT(J22, CHAR(10))))) &amp; "": "" &amp; TRANSPOSE(SPLIT(J22, CHAR(10)))))))"),"Step 1: Đăng nhập vào 
Step 2: Chọn tab khuyến mãi 
Step 3: Chọn tab "" Hết hạn "" mà không có voucher nào")</f>
        <v>Step 1: Đăng nhập vào 
Step 2: Chọn tab khuyến mãi 
Step 3: Chọn tab " Hết hạn " mà không có voucher nào</v>
      </c>
      <c r="L22" s="14"/>
      <c r="M22" s="73" t="s">
        <v>1672</v>
      </c>
      <c r="N22" s="73"/>
      <c r="O22" s="12"/>
      <c r="P22" s="38"/>
    </row>
    <row r="23">
      <c r="A23" s="37"/>
      <c r="B23" s="37"/>
      <c r="C23" s="37"/>
      <c r="D23" s="37"/>
      <c r="E23" s="37"/>
      <c r="F23" s="12" t="s">
        <v>1693</v>
      </c>
      <c r="G23" s="57"/>
      <c r="H23" s="12" t="s">
        <v>1694</v>
      </c>
      <c r="I23" s="12"/>
      <c r="J23" s="12" t="s">
        <v>1695</v>
      </c>
      <c r="K23" s="13" t="str">
        <f>IFERROR(__xludf.DUMMYFUNCTION("IF(ISBLANK(J23), ""Input test step"", ARRAYFORMULA(TEXTJOIN(CHAR(10), TRUE, (""Step ""&amp; ROW(INDIRECT(""1:"" &amp; COUNTA(SPLIT(J23, CHAR(10))))) &amp; "": "" &amp; TRANSPOSE(SPLIT(J23, CHAR(10)))))))"),"Step 1: Đăng nhập vào 
Step 2: Chọn tab khuyến mãi 
Step 3: Chuyển từ tab "" Sẵn có "" hoặc "" Đã sử dụng "" hoặc "" Hết hạn""")</f>
        <v>Step 1: Đăng nhập vào 
Step 2: Chọn tab khuyến mãi 
Step 3: Chuyển từ tab " Sẵn có " hoặc " Đã sử dụng " hoặc " Hết hạn"</v>
      </c>
      <c r="L23" s="14"/>
      <c r="M23" s="22" t="s">
        <v>1696</v>
      </c>
      <c r="N23" s="22"/>
      <c r="O23" s="12"/>
      <c r="P23" s="38"/>
    </row>
    <row r="24">
      <c r="A24" s="37"/>
      <c r="B24" s="37"/>
      <c r="C24" s="37"/>
      <c r="D24" s="37"/>
      <c r="E24" s="37"/>
      <c r="F24" s="12" t="s">
        <v>1697</v>
      </c>
      <c r="G24" s="55" t="s">
        <v>1698</v>
      </c>
      <c r="H24" s="45" t="s">
        <v>1699</v>
      </c>
      <c r="I24" s="12" t="s">
        <v>1657</v>
      </c>
      <c r="J24" s="12" t="s">
        <v>1700</v>
      </c>
      <c r="K24" s="13" t="str">
        <f>IFERROR(__xludf.DUMMYFUNCTION("IF(ISBLANK(J24), ""Input test step"", ARRAYFORMULA(TEXTJOIN(CHAR(10), TRUE, (""Step ""&amp; ROW(INDIRECT(""1:"" &amp; COUNTA(SPLIT(J24, CHAR(10))))) &amp; "": "" &amp; TRANSPOSE(SPLIT(J24, CHAR(10)))))))"),"Step 1: Đăng nhập vào 
Step 2: Chọn tab khuyến mãi 
Step 3: Kiểm tra các voucher được hiển thị")</f>
        <v>Step 1: Đăng nhập vào 
Step 2: Chọn tab khuyến mãi 
Step 3: Kiểm tra các voucher được hiển thị</v>
      </c>
      <c r="L24" s="14"/>
      <c r="M24" s="52" t="s">
        <v>1701</v>
      </c>
      <c r="N24" s="12"/>
      <c r="O24" s="12"/>
      <c r="P24" s="38"/>
    </row>
    <row r="25">
      <c r="A25" s="37"/>
      <c r="B25" s="37"/>
      <c r="C25" s="37"/>
      <c r="D25" s="37"/>
      <c r="E25" s="37"/>
      <c r="F25" s="12" t="s">
        <v>1702</v>
      </c>
      <c r="G25" s="56"/>
      <c r="H25" s="45" t="s">
        <v>1703</v>
      </c>
      <c r="I25" s="12" t="s">
        <v>1657</v>
      </c>
      <c r="J25" s="12" t="s">
        <v>1704</v>
      </c>
      <c r="K25" s="13" t="str">
        <f>IFERROR(__xludf.DUMMYFUNCTION("IF(ISBLANK(J25), ""Input test step"", ARRAYFORMULA(TEXTJOIN(CHAR(10), TRUE, (""Step ""&amp; ROW(INDIRECT(""1:"" &amp; COUNTA(SPLIT(J25, CHAR(10))))) &amp; "": "" &amp; TRANSPOSE(SPLIT(J25, CHAR(10)))))))"),"Step 1: Đăng nhập vào 
Step 2: Chọn tab khuyến mãi 
Step 3: Quan sát trạng thái ( Sẵn có hoặc Đã sử dụng hoặc Hết hạn ) của các voucher")</f>
        <v>Step 1: Đăng nhập vào 
Step 2: Chọn tab khuyến mãi 
Step 3: Quan sát trạng thái ( Sẵn có hoặc Đã sử dụng hoặc Hết hạn ) của các voucher</v>
      </c>
      <c r="L25" s="14"/>
      <c r="M25" s="73" t="s">
        <v>1705</v>
      </c>
      <c r="N25" s="12"/>
      <c r="O25" s="12"/>
      <c r="P25" s="38"/>
    </row>
    <row r="26">
      <c r="A26" s="37"/>
      <c r="B26" s="37"/>
      <c r="C26" s="37"/>
      <c r="D26" s="37"/>
      <c r="E26" s="37"/>
      <c r="F26" s="12" t="s">
        <v>1706</v>
      </c>
      <c r="G26" s="56"/>
      <c r="H26" s="45" t="s">
        <v>1707</v>
      </c>
      <c r="I26" s="12" t="s">
        <v>1657</v>
      </c>
      <c r="J26" s="12" t="s">
        <v>1708</v>
      </c>
      <c r="K26" s="13" t="str">
        <f>IFERROR(__xludf.DUMMYFUNCTION("IF(ISBLANK(J26), ""Input test step"", ARRAYFORMULA(TEXTJOIN(CHAR(10), TRUE, (""Step ""&amp; ROW(INDIRECT(""1:"" &amp; COUNTA(SPLIT(J26, CHAR(10))))) &amp; "": "" &amp; TRANSPOSE(SPLIT(J26, CHAR(10)))))))"),"Step 1: Đăng nhập vào 
Step 2: Chọn tab khuyến mãi 
Step 3: Quan sát màu nền của từng voucher hiển thị đúng")</f>
        <v>Step 1: Đăng nhập vào 
Step 2: Chọn tab khuyến mãi 
Step 3: Quan sát màu nền của từng voucher hiển thị đúng</v>
      </c>
      <c r="L26" s="14"/>
      <c r="M26" s="52" t="s">
        <v>1709</v>
      </c>
      <c r="N26" s="12"/>
      <c r="O26" s="12"/>
      <c r="P26" s="38"/>
    </row>
    <row r="27">
      <c r="A27" s="37"/>
      <c r="B27" s="37"/>
      <c r="C27" s="37"/>
      <c r="D27" s="37"/>
      <c r="E27" s="37"/>
      <c r="F27" s="12" t="s">
        <v>1710</v>
      </c>
      <c r="G27" s="56"/>
      <c r="H27" s="45" t="s">
        <v>1711</v>
      </c>
      <c r="I27" s="12" t="s">
        <v>1657</v>
      </c>
      <c r="J27" s="12" t="s">
        <v>1712</v>
      </c>
      <c r="K27" s="13" t="str">
        <f>IFERROR(__xludf.DUMMYFUNCTION("IF(ISBLANK(J27), ""Input test step"", ARRAYFORMULA(TEXTJOIN(CHAR(10), TRUE, (""Step ""&amp; ROW(INDIRECT(""1:"" &amp; COUNTA(SPLIT(J27, CHAR(10))))) &amp; "": "" &amp; TRANSPOSE(SPLIT(J27, CHAR(10)))))))"),"Step 1: Đăng nhập vào 
Step 2: Chọn tab khuyến mãi 
Step 3: Kiểm tra tổng số lượng voucher được hiển thị và só sánh với số lượng trong cơ sở dữ liệu")</f>
        <v>Step 1: Đăng nhập vào 
Step 2: Chọn tab khuyến mãi 
Step 3: Kiểm tra tổng số lượng voucher được hiển thị và só sánh với số lượng trong cơ sở dữ liệu</v>
      </c>
      <c r="L27" s="14"/>
      <c r="M27" s="73" t="s">
        <v>1713</v>
      </c>
      <c r="N27" s="12"/>
      <c r="O27" s="12"/>
      <c r="P27" s="38"/>
    </row>
    <row r="28">
      <c r="A28" s="37"/>
      <c r="B28" s="37"/>
      <c r="C28" s="37"/>
      <c r="D28" s="37"/>
      <c r="E28" s="37"/>
      <c r="F28" s="12" t="s">
        <v>1714</v>
      </c>
      <c r="G28" s="56"/>
      <c r="H28" s="45" t="s">
        <v>1715</v>
      </c>
      <c r="I28" s="12" t="s">
        <v>1657</v>
      </c>
      <c r="J28" s="12" t="s">
        <v>1716</v>
      </c>
      <c r="K28" s="13" t="str">
        <f>IFERROR(__xludf.DUMMYFUNCTION("IF(ISBLANK(J28), ""Input test step"", ARRAYFORMULA(TEXTJOIN(CHAR(10), TRUE, (""Step ""&amp; ROW(INDIRECT(""1:"" &amp; COUNTA(SPLIT(J28, CHAR(10))))) &amp; "": "" &amp; TRANSPOSE(SPLIT(J28, CHAR(10)))))))"),"Step 1: Đăng nhập vào 
Step 2: Chọn tab khuyến mãi 
Step 3: Thêm, sửa  hoặc xoá một voucher trong hệ thống 
Step 4: Làm mới trang danh sách")</f>
        <v>Step 1: Đăng nhập vào 
Step 2: Chọn tab khuyến mãi 
Step 3: Thêm, sửa  hoặc xoá một voucher trong hệ thống 
Step 4: Làm mới trang danh sách</v>
      </c>
      <c r="L28" s="14"/>
      <c r="M28" s="73" t="s">
        <v>1717</v>
      </c>
      <c r="N28" s="12"/>
      <c r="O28" s="12"/>
      <c r="P28" s="38"/>
    </row>
    <row r="29">
      <c r="A29" s="37"/>
      <c r="B29" s="37"/>
      <c r="C29" s="37"/>
      <c r="D29" s="37"/>
      <c r="E29" s="37"/>
      <c r="F29" s="12" t="s">
        <v>1718</v>
      </c>
      <c r="G29" s="56"/>
      <c r="H29" s="45" t="s">
        <v>1669</v>
      </c>
      <c r="I29" s="12" t="s">
        <v>1670</v>
      </c>
      <c r="J29" s="12" t="s">
        <v>1719</v>
      </c>
      <c r="K29" s="13" t="str">
        <f>IFERROR(__xludf.DUMMYFUNCTION("IF(ISBLANK(J29), ""Input test step"", ARRAYFORMULA(TEXTJOIN(CHAR(10), TRUE, (""Step ""&amp; ROW(INDIRECT(""1:"" &amp; COUNTA(SPLIT(J29, CHAR(10))))) &amp; "": "" &amp; TRANSPOSE(SPLIT(J29, CHAR(10)))))))"),"Step 1: Đăng nhập vào 
Step 2: Chọn tab khuyến mãi 
Step 3: Đảm bảo không có voucher nào trong danh sách")</f>
        <v>Step 1: Đăng nhập vào 
Step 2: Chọn tab khuyến mãi 
Step 3: Đảm bảo không có voucher nào trong danh sách</v>
      </c>
      <c r="L29" s="14"/>
      <c r="M29" s="73" t="s">
        <v>1672</v>
      </c>
      <c r="N29" s="12"/>
      <c r="O29" s="12"/>
      <c r="P29" s="38"/>
    </row>
    <row r="30">
      <c r="A30" s="37"/>
      <c r="B30" s="37"/>
      <c r="C30" s="37"/>
      <c r="D30" s="37"/>
      <c r="E30" s="37"/>
      <c r="F30" s="12" t="s">
        <v>1720</v>
      </c>
      <c r="G30" s="56"/>
      <c r="H30" s="12" t="s">
        <v>1721</v>
      </c>
      <c r="I30" s="12" t="s">
        <v>1722</v>
      </c>
      <c r="J30" s="12" t="s">
        <v>1723</v>
      </c>
      <c r="K30" s="13" t="str">
        <f>IFERROR(__xludf.DUMMYFUNCTION("IF(ISBLANK(J30), ""Input test step"", ARRAYFORMULA(TEXTJOIN(CHAR(10), TRUE, (""Step ""&amp; ROW(INDIRECT(""1:"" &amp; COUNTA(SPLIT(J30, CHAR(10))))) &amp; "": "" &amp; TRANSPOSE(SPLIT(J30, CHAR(10)))))))"),"Step 1: Người dùng đăng nhập thành công
Step 2: Điều hướng đến trang giỏ hàng
Step 3: Chọn 1 sản phẩm có sẵn trong giỏ hàng
Step 4: Nhấn (&gt;) bên phải vùng hiển thị số tiền giảm giá của sản phẩm vừa chọn
Step 5: Chọn 1 voucher mà đơn hàng đủ điều kiện áp d"&amp;"ụng
Step 6: Chọn button""Sử dụng""
Step 7: Chọn button ""Thanh toán""
Step 8: Chọn button ""Đặt hàng""
Step 9: Điều hướng đến trang khuyến mãi
Step 10: Chọn vào tab ""Đã sử dụng""
Step 11: Kiểm tra và xác nhận voucher vừa áp dụng cho đơn hàng hiển thị tro"&amp;"ng danh sách")</f>
        <v>Step 1: Người dùng đăng nhập thành công
Step 2: Điều hướng đến trang giỏ hàng
Step 3: Chọn 1 sản phẩm có sẵn trong giỏ hàng
Step 4: Nhấn (&gt;) bên phải vùng hiển thị số tiền giảm giá của sản phẩm vừa chọn
Step 5: Chọn 1 voucher mà đơn hàng đủ điều kiện áp dụng
Step 6: Chọn button"Sử dụng"
Step 7: Chọn button "Thanh toán"
Step 8: Chọn button "Đặt hàng"
Step 9: Điều hướng đến trang khuyến mãi
Step 10: Chọn vào tab "Đã sử dụng"
Step 11: Kiểm tra và xác nhận voucher vừa áp dụng cho đơn hàng hiển thị trong danh sách</v>
      </c>
      <c r="L30" s="14"/>
      <c r="M30" s="12" t="s">
        <v>1724</v>
      </c>
      <c r="N30" s="12"/>
      <c r="O30" s="12"/>
      <c r="P30" s="38"/>
    </row>
    <row r="31">
      <c r="A31" s="37"/>
      <c r="B31" s="37"/>
      <c r="C31" s="37"/>
      <c r="D31" s="37"/>
      <c r="E31" s="37"/>
      <c r="F31" s="12" t="s">
        <v>1725</v>
      </c>
      <c r="G31" s="56"/>
      <c r="H31" s="12" t="s">
        <v>1726</v>
      </c>
      <c r="I31" s="12" t="s">
        <v>1722</v>
      </c>
      <c r="J31" s="12" t="s">
        <v>1727</v>
      </c>
      <c r="K31" s="13" t="str">
        <f>IFERROR(__xludf.DUMMYFUNCTION("IF(ISBLANK(J31), ""Input test step"", ARRAYFORMULA(TEXTJOIN(CHAR(10), TRUE, (""Step ""&amp; ROW(INDIRECT(""1:"" &amp; COUNTA(SPLIT(J31, CHAR(10))))) &amp; "": "" &amp; TRANSPOSE(SPLIT(J31, CHAR(10)))))))"),"Step 1: Đăng nhập thành công vào hệ thống
Step 2: Điều hướng đến trang khuyến mãi
Step 3: Chọn tab ""Hết hạn""
Step 4: Quan sát ngày hết hạn của 1 voucher có trong danh sách
Step 5: Kiểm tra và xác nhận ngày hết hạn của voucher đó nhỏ hơn so với ngày hiện"&amp;" tại")</f>
        <v>Step 1: Đăng nhập thành công vào hệ thống
Step 2: Điều hướng đến trang khuyến mãi
Step 3: Chọn tab "Hết hạn"
Step 4: Quan sát ngày hết hạn của 1 voucher có trong danh sách
Step 5: Kiểm tra và xác nhận ngày hết hạn của voucher đó nhỏ hơn so với ngày hiện tại</v>
      </c>
      <c r="L31" s="14"/>
      <c r="M31" s="12" t="s">
        <v>1728</v>
      </c>
      <c r="N31" s="12"/>
      <c r="O31" s="12"/>
      <c r="P31" s="38"/>
    </row>
    <row r="32">
      <c r="A32" s="37"/>
      <c r="B32" s="37"/>
      <c r="C32" s="37"/>
      <c r="D32" s="37"/>
      <c r="E32" s="37"/>
      <c r="F32" s="12" t="s">
        <v>1729</v>
      </c>
      <c r="G32" s="57"/>
      <c r="H32" s="12" t="s">
        <v>1730</v>
      </c>
      <c r="I32" s="12" t="s">
        <v>1722</v>
      </c>
      <c r="J32" s="12" t="s">
        <v>1731</v>
      </c>
      <c r="K32" s="13" t="str">
        <f>IFERROR(__xludf.DUMMYFUNCTION("IF(ISBLANK(J32), ""Input test step"", ARRAYFORMULA(TEXTJOIN(CHAR(10), TRUE, (""Step ""&amp; ROW(INDIRECT(""1:"" &amp; COUNTA(SPLIT(J32, CHAR(10))))) &amp; "": "" &amp; TRANSPOSE(SPLIT(J32, CHAR(10)))))))"),"Step 1: Đăng nhập thành công vào hệ thống
Step 2: Điều hướng đến trang khuyến mãi
Step 3: Chọn tab ""Có sẵn""
Step 4: Quan sát ngày hết hạn của 1 voucher có trong danh sách
Step 5: Kiểm tra và xác nhận ngày hết hạn của voucher đó lớn hơn so với ngày hiện "&amp;"tại")</f>
        <v>Step 1: Đăng nhập thành công vào hệ thống
Step 2: Điều hướng đến trang khuyến mãi
Step 3: Chọn tab "Có sẵn"
Step 4: Quan sát ngày hết hạn của 1 voucher có trong danh sách
Step 5: Kiểm tra và xác nhận ngày hết hạn của voucher đó lớn hơn so với ngày hiện tại</v>
      </c>
      <c r="L32" s="14"/>
      <c r="M32" s="12" t="s">
        <v>1732</v>
      </c>
      <c r="N32" s="12"/>
      <c r="O32" s="12"/>
      <c r="P32" s="38"/>
    </row>
    <row r="33">
      <c r="A33" s="37"/>
      <c r="B33" s="37"/>
      <c r="C33" s="37"/>
      <c r="D33" s="37"/>
      <c r="E33" s="37"/>
      <c r="F33" s="53"/>
      <c r="G33" s="53"/>
      <c r="H33" s="53"/>
      <c r="I33" s="53"/>
      <c r="J33" s="53"/>
      <c r="K33" s="77"/>
      <c r="L33" s="78"/>
      <c r="M33" s="53"/>
      <c r="N33" s="53"/>
      <c r="O33" s="53"/>
    </row>
    <row r="34">
      <c r="A34" s="37"/>
      <c r="B34" s="37"/>
      <c r="C34" s="37"/>
      <c r="D34" s="37"/>
      <c r="E34" s="37"/>
      <c r="F34" s="53"/>
      <c r="G34" s="53"/>
      <c r="H34" s="53"/>
      <c r="I34" s="53"/>
      <c r="J34" s="53"/>
      <c r="K34" s="77"/>
      <c r="L34" s="78"/>
      <c r="M34" s="53"/>
      <c r="N34" s="53"/>
      <c r="O34" s="53"/>
    </row>
    <row r="35">
      <c r="A35" s="37"/>
      <c r="B35" s="37"/>
      <c r="C35" s="37"/>
      <c r="D35" s="37"/>
      <c r="E35" s="37"/>
      <c r="F35" s="53"/>
      <c r="G35" s="53"/>
      <c r="H35" s="53"/>
      <c r="I35" s="53"/>
      <c r="J35" s="53"/>
      <c r="K35" s="77"/>
      <c r="L35" s="78"/>
      <c r="M35" s="53"/>
      <c r="N35" s="53"/>
      <c r="O35" s="53"/>
    </row>
    <row r="36">
      <c r="A36" s="37"/>
      <c r="B36" s="37"/>
      <c r="C36" s="37"/>
      <c r="D36" s="37"/>
      <c r="E36" s="37"/>
      <c r="F36" s="53"/>
      <c r="G36" s="53"/>
      <c r="H36" s="53"/>
      <c r="I36" s="53"/>
      <c r="J36" s="53"/>
      <c r="K36" s="77"/>
      <c r="L36" s="78"/>
      <c r="M36" s="53"/>
      <c r="N36" s="53"/>
      <c r="O36" s="53"/>
    </row>
    <row r="37">
      <c r="A37" s="37"/>
      <c r="B37" s="37"/>
      <c r="C37" s="37"/>
      <c r="D37" s="37"/>
      <c r="E37" s="37"/>
      <c r="F37" s="53"/>
      <c r="G37" s="53"/>
      <c r="H37" s="53"/>
      <c r="I37" s="53"/>
      <c r="J37" s="53"/>
      <c r="K37" s="77"/>
      <c r="L37" s="78"/>
      <c r="M37" s="53"/>
      <c r="N37" s="53"/>
      <c r="O37" s="53"/>
    </row>
    <row r="38">
      <c r="A38" s="37"/>
      <c r="B38" s="37"/>
      <c r="C38" s="37"/>
      <c r="D38" s="37"/>
      <c r="E38" s="37"/>
      <c r="F38" s="53"/>
      <c r="G38" s="53"/>
      <c r="H38" s="53"/>
      <c r="I38" s="53"/>
      <c r="J38" s="53"/>
      <c r="K38" s="77"/>
      <c r="L38" s="78"/>
      <c r="M38" s="53"/>
      <c r="N38" s="53"/>
      <c r="O38" s="53"/>
    </row>
    <row r="39">
      <c r="A39" s="37"/>
      <c r="B39" s="37"/>
      <c r="C39" s="37"/>
      <c r="D39" s="37"/>
      <c r="E39" s="37"/>
      <c r="F39" s="53"/>
      <c r="G39" s="53"/>
      <c r="H39" s="53"/>
      <c r="I39" s="53"/>
      <c r="J39" s="53"/>
      <c r="K39" s="77"/>
      <c r="L39" s="78"/>
      <c r="M39" s="53"/>
      <c r="N39" s="53"/>
      <c r="O39" s="53"/>
    </row>
    <row r="40">
      <c r="A40" s="37"/>
      <c r="B40" s="37"/>
      <c r="C40" s="37"/>
      <c r="D40" s="37"/>
      <c r="E40" s="37"/>
      <c r="F40" s="53"/>
      <c r="G40" s="53"/>
      <c r="H40" s="53"/>
      <c r="I40" s="53"/>
      <c r="J40" s="53"/>
      <c r="K40" s="77"/>
      <c r="L40" s="78"/>
      <c r="M40" s="53"/>
      <c r="N40" s="53"/>
      <c r="O40" s="53"/>
    </row>
    <row r="41">
      <c r="A41" s="37"/>
      <c r="B41" s="37"/>
      <c r="C41" s="37"/>
      <c r="D41" s="37"/>
      <c r="E41" s="37"/>
      <c r="F41" s="53"/>
      <c r="G41" s="53"/>
      <c r="H41" s="53"/>
      <c r="I41" s="53"/>
      <c r="J41" s="53"/>
      <c r="K41" s="77"/>
      <c r="L41" s="78"/>
      <c r="M41" s="53"/>
      <c r="N41" s="53"/>
      <c r="O41" s="53"/>
    </row>
    <row r="42">
      <c r="A42" s="37"/>
      <c r="B42" s="37"/>
      <c r="C42" s="37"/>
      <c r="D42" s="37"/>
      <c r="E42" s="37"/>
      <c r="F42" s="53"/>
      <c r="G42" s="53"/>
      <c r="H42" s="53"/>
      <c r="I42" s="53"/>
      <c r="J42" s="53"/>
      <c r="K42" s="77"/>
      <c r="L42" s="78"/>
      <c r="M42" s="53"/>
      <c r="N42" s="53"/>
      <c r="O42" s="53"/>
    </row>
    <row r="43">
      <c r="A43" s="37"/>
      <c r="B43" s="37"/>
      <c r="C43" s="37"/>
      <c r="D43" s="37"/>
      <c r="E43" s="37"/>
      <c r="F43" s="53"/>
      <c r="G43" s="53"/>
      <c r="H43" s="53"/>
      <c r="I43" s="53"/>
      <c r="J43" s="53"/>
      <c r="K43" s="77"/>
      <c r="L43" s="78"/>
      <c r="M43" s="53"/>
      <c r="N43" s="53"/>
      <c r="O43" s="53"/>
    </row>
    <row r="44">
      <c r="A44" s="37"/>
      <c r="B44" s="37"/>
      <c r="C44" s="37"/>
      <c r="D44" s="37"/>
      <c r="E44" s="37"/>
      <c r="F44" s="53"/>
      <c r="G44" s="53"/>
      <c r="H44" s="53"/>
      <c r="I44" s="53"/>
      <c r="J44" s="53"/>
      <c r="K44" s="77"/>
      <c r="L44" s="78"/>
      <c r="M44" s="53"/>
      <c r="N44" s="53"/>
      <c r="O44" s="53"/>
    </row>
    <row r="45">
      <c r="A45" s="37"/>
      <c r="B45" s="37"/>
      <c r="C45" s="37"/>
      <c r="D45" s="37"/>
      <c r="E45" s="37"/>
      <c r="F45" s="53"/>
      <c r="G45" s="53"/>
      <c r="H45" s="53"/>
      <c r="I45" s="53"/>
      <c r="J45" s="53"/>
      <c r="K45" s="77"/>
      <c r="L45" s="78"/>
      <c r="M45" s="53"/>
      <c r="N45" s="53"/>
      <c r="O45" s="53"/>
    </row>
    <row r="46">
      <c r="A46" s="37"/>
      <c r="B46" s="37"/>
      <c r="C46" s="37"/>
      <c r="D46" s="37"/>
      <c r="E46" s="37"/>
      <c r="F46" s="53"/>
      <c r="G46" s="53"/>
      <c r="H46" s="53"/>
      <c r="I46" s="53"/>
      <c r="J46" s="53"/>
      <c r="K46" s="77"/>
      <c r="L46" s="78"/>
      <c r="M46" s="53"/>
      <c r="N46" s="53"/>
      <c r="O46" s="53"/>
    </row>
    <row r="47">
      <c r="A47" s="37"/>
      <c r="B47" s="37"/>
      <c r="C47" s="37"/>
      <c r="D47" s="37"/>
      <c r="E47" s="37"/>
      <c r="F47" s="53"/>
      <c r="G47" s="53"/>
      <c r="H47" s="53"/>
      <c r="I47" s="53"/>
      <c r="J47" s="53"/>
      <c r="K47" s="77"/>
      <c r="L47" s="78"/>
      <c r="M47" s="53"/>
      <c r="N47" s="53"/>
      <c r="O47" s="53"/>
    </row>
    <row r="48">
      <c r="A48" s="37"/>
      <c r="B48" s="37"/>
      <c r="C48" s="37"/>
      <c r="D48" s="37"/>
      <c r="E48" s="37"/>
      <c r="F48" s="53"/>
      <c r="G48" s="53"/>
      <c r="H48" s="53"/>
      <c r="I48" s="53"/>
      <c r="J48" s="53"/>
      <c r="K48" s="77"/>
      <c r="L48" s="78"/>
      <c r="M48" s="53"/>
      <c r="N48" s="53"/>
      <c r="O48" s="53"/>
    </row>
    <row r="49">
      <c r="A49" s="37"/>
      <c r="B49" s="37"/>
      <c r="C49" s="37"/>
      <c r="D49" s="37"/>
      <c r="E49" s="37"/>
      <c r="F49" s="53"/>
      <c r="G49" s="53"/>
      <c r="H49" s="53"/>
      <c r="I49" s="53"/>
      <c r="J49" s="53"/>
      <c r="K49" s="77"/>
      <c r="L49" s="78"/>
      <c r="M49" s="53"/>
      <c r="N49" s="53"/>
      <c r="O49" s="53"/>
    </row>
    <row r="50">
      <c r="A50" s="37"/>
      <c r="B50" s="37"/>
      <c r="C50" s="37"/>
      <c r="D50" s="37"/>
      <c r="E50" s="37"/>
      <c r="F50" s="53"/>
      <c r="G50" s="53"/>
      <c r="H50" s="53"/>
      <c r="I50" s="53"/>
      <c r="J50" s="53"/>
      <c r="K50" s="77"/>
      <c r="L50" s="78"/>
      <c r="M50" s="53"/>
      <c r="N50" s="53"/>
      <c r="O50" s="53"/>
    </row>
    <row r="51">
      <c r="A51" s="37"/>
      <c r="B51" s="37"/>
      <c r="C51" s="37"/>
      <c r="D51" s="37"/>
      <c r="E51" s="37"/>
      <c r="F51" s="53"/>
      <c r="G51" s="53"/>
      <c r="H51" s="53"/>
      <c r="I51" s="53"/>
      <c r="J51" s="53"/>
      <c r="K51" s="77"/>
      <c r="L51" s="78"/>
      <c r="M51" s="53"/>
      <c r="N51" s="53"/>
      <c r="O51" s="53"/>
    </row>
    <row r="52">
      <c r="A52" s="37"/>
      <c r="B52" s="37"/>
      <c r="C52" s="37"/>
      <c r="D52" s="37"/>
      <c r="E52" s="37"/>
      <c r="F52" s="53"/>
      <c r="G52" s="53"/>
      <c r="H52" s="53"/>
      <c r="I52" s="53"/>
      <c r="J52" s="53"/>
      <c r="K52" s="77"/>
      <c r="L52" s="78"/>
      <c r="M52" s="53"/>
      <c r="N52" s="53"/>
      <c r="O52" s="53"/>
    </row>
    <row r="53">
      <c r="A53" s="37"/>
      <c r="B53" s="37"/>
      <c r="C53" s="37"/>
      <c r="D53" s="37"/>
      <c r="E53" s="37"/>
      <c r="F53" s="53"/>
      <c r="G53" s="53"/>
      <c r="H53" s="53"/>
      <c r="I53" s="53"/>
      <c r="J53" s="53"/>
      <c r="K53" s="77"/>
      <c r="L53" s="78"/>
      <c r="M53" s="53"/>
      <c r="N53" s="53"/>
      <c r="O53" s="53"/>
    </row>
    <row r="54">
      <c r="A54" s="37"/>
      <c r="B54" s="37"/>
      <c r="C54" s="37"/>
      <c r="D54" s="37"/>
      <c r="E54" s="37"/>
      <c r="F54" s="53"/>
      <c r="G54" s="53"/>
      <c r="H54" s="53"/>
      <c r="I54" s="53"/>
      <c r="J54" s="53"/>
      <c r="K54" s="77"/>
      <c r="L54" s="78"/>
      <c r="M54" s="53"/>
      <c r="N54" s="53"/>
      <c r="O54" s="53"/>
    </row>
    <row r="55">
      <c r="A55" s="37"/>
      <c r="B55" s="37"/>
      <c r="C55" s="37"/>
      <c r="D55" s="37"/>
      <c r="E55" s="37"/>
      <c r="F55" s="53"/>
      <c r="G55" s="53"/>
      <c r="H55" s="53"/>
      <c r="I55" s="53"/>
      <c r="J55" s="53"/>
      <c r="K55" s="77"/>
      <c r="L55" s="78"/>
      <c r="M55" s="53"/>
      <c r="N55" s="53"/>
      <c r="O55" s="53"/>
    </row>
    <row r="56">
      <c r="A56" s="37"/>
      <c r="B56" s="37"/>
      <c r="C56" s="37"/>
      <c r="D56" s="37"/>
      <c r="E56" s="37"/>
      <c r="F56" s="53"/>
      <c r="G56" s="53"/>
      <c r="H56" s="53"/>
      <c r="I56" s="53"/>
      <c r="J56" s="53"/>
      <c r="K56" s="77"/>
      <c r="L56" s="78"/>
      <c r="M56" s="53"/>
      <c r="N56" s="53"/>
      <c r="O56" s="53"/>
    </row>
    <row r="57">
      <c r="A57" s="37"/>
      <c r="B57" s="37"/>
      <c r="C57" s="37"/>
      <c r="D57" s="37"/>
      <c r="E57" s="37"/>
      <c r="F57" s="53"/>
      <c r="G57" s="53"/>
      <c r="H57" s="53"/>
      <c r="I57" s="53"/>
      <c r="J57" s="53"/>
      <c r="K57" s="77"/>
      <c r="L57" s="78"/>
      <c r="M57" s="53"/>
      <c r="N57" s="53"/>
      <c r="O57" s="53"/>
    </row>
    <row r="58">
      <c r="A58" s="37"/>
      <c r="B58" s="37"/>
      <c r="C58" s="37"/>
      <c r="D58" s="37"/>
      <c r="E58" s="37"/>
      <c r="F58" s="53"/>
      <c r="G58" s="53"/>
      <c r="H58" s="53"/>
      <c r="I58" s="53"/>
      <c r="J58" s="53"/>
      <c r="K58" s="77"/>
      <c r="L58" s="78"/>
      <c r="M58" s="53"/>
      <c r="N58" s="53"/>
      <c r="O58" s="53"/>
    </row>
    <row r="59">
      <c r="A59" s="37"/>
      <c r="B59" s="37"/>
      <c r="C59" s="37"/>
      <c r="D59" s="37"/>
      <c r="E59" s="37"/>
      <c r="F59" s="53"/>
      <c r="G59" s="53"/>
      <c r="H59" s="53"/>
      <c r="I59" s="53"/>
      <c r="J59" s="53"/>
      <c r="K59" s="77"/>
      <c r="L59" s="78"/>
      <c r="M59" s="53"/>
      <c r="N59" s="53"/>
      <c r="O59" s="53"/>
    </row>
    <row r="60">
      <c r="A60" s="37"/>
      <c r="B60" s="37"/>
      <c r="C60" s="37"/>
      <c r="D60" s="37"/>
      <c r="E60" s="37"/>
      <c r="F60" s="53"/>
      <c r="G60" s="53"/>
      <c r="H60" s="53"/>
      <c r="I60" s="53"/>
      <c r="J60" s="53"/>
      <c r="K60" s="77"/>
      <c r="L60" s="78"/>
      <c r="M60" s="53"/>
      <c r="N60" s="53"/>
      <c r="O60" s="53"/>
    </row>
    <row r="61">
      <c r="A61" s="37"/>
      <c r="B61" s="37"/>
      <c r="C61" s="37"/>
      <c r="D61" s="37"/>
      <c r="E61" s="37"/>
      <c r="F61" s="53"/>
      <c r="G61" s="53"/>
      <c r="H61" s="53"/>
      <c r="I61" s="53"/>
      <c r="J61" s="53"/>
      <c r="K61" s="77"/>
      <c r="L61" s="78"/>
      <c r="M61" s="53"/>
      <c r="N61" s="53"/>
      <c r="O61" s="53"/>
    </row>
    <row r="62">
      <c r="A62" s="37"/>
      <c r="B62" s="37"/>
      <c r="C62" s="37"/>
      <c r="D62" s="37"/>
      <c r="E62" s="37"/>
      <c r="F62" s="53"/>
      <c r="G62" s="53"/>
      <c r="H62" s="53"/>
      <c r="I62" s="53"/>
      <c r="J62" s="53"/>
      <c r="K62" s="77"/>
      <c r="L62" s="78"/>
      <c r="M62" s="53"/>
      <c r="N62" s="53"/>
      <c r="O62" s="53"/>
    </row>
    <row r="63">
      <c r="A63" s="37"/>
      <c r="B63" s="37"/>
      <c r="C63" s="37"/>
      <c r="D63" s="37"/>
      <c r="E63" s="37"/>
      <c r="F63" s="53"/>
      <c r="G63" s="53"/>
      <c r="H63" s="53"/>
      <c r="I63" s="53"/>
      <c r="J63" s="53"/>
      <c r="K63" s="77"/>
      <c r="L63" s="78"/>
      <c r="M63" s="53"/>
      <c r="N63" s="53"/>
      <c r="O63" s="53"/>
    </row>
    <row r="64">
      <c r="A64" s="37"/>
      <c r="B64" s="37"/>
      <c r="C64" s="37"/>
      <c r="D64" s="37"/>
      <c r="E64" s="37"/>
      <c r="F64" s="53"/>
      <c r="G64" s="53"/>
      <c r="H64" s="53"/>
      <c r="I64" s="53"/>
      <c r="J64" s="53"/>
      <c r="K64" s="77"/>
      <c r="L64" s="78"/>
      <c r="M64" s="53"/>
      <c r="N64" s="53"/>
      <c r="O64" s="53"/>
    </row>
    <row r="65">
      <c r="A65" s="37"/>
      <c r="B65" s="37"/>
      <c r="C65" s="37"/>
      <c r="D65" s="37"/>
      <c r="E65" s="37"/>
      <c r="F65" s="53"/>
      <c r="G65" s="53"/>
      <c r="H65" s="53"/>
      <c r="I65" s="53"/>
      <c r="J65" s="53"/>
      <c r="K65" s="77"/>
      <c r="L65" s="78"/>
      <c r="M65" s="53"/>
      <c r="N65" s="53"/>
      <c r="O65" s="53"/>
    </row>
    <row r="66">
      <c r="A66" s="37"/>
      <c r="B66" s="37"/>
      <c r="C66" s="37"/>
      <c r="D66" s="37"/>
      <c r="E66" s="37"/>
      <c r="F66" s="53"/>
      <c r="G66" s="53"/>
      <c r="H66" s="53"/>
      <c r="I66" s="53"/>
      <c r="J66" s="53"/>
      <c r="K66" s="77"/>
      <c r="L66" s="78"/>
      <c r="M66" s="53"/>
      <c r="N66" s="53"/>
      <c r="O66" s="53"/>
    </row>
    <row r="67">
      <c r="A67" s="37"/>
      <c r="B67" s="37"/>
      <c r="C67" s="37"/>
      <c r="D67" s="37"/>
      <c r="E67" s="37"/>
      <c r="F67" s="53"/>
      <c r="G67" s="53"/>
      <c r="H67" s="53"/>
      <c r="I67" s="53"/>
      <c r="J67" s="53"/>
      <c r="K67" s="77"/>
      <c r="L67" s="78"/>
      <c r="M67" s="53"/>
      <c r="N67" s="53"/>
      <c r="O67" s="53"/>
    </row>
    <row r="68">
      <c r="A68" s="37"/>
      <c r="B68" s="37"/>
      <c r="C68" s="37"/>
      <c r="D68" s="37"/>
      <c r="E68" s="37"/>
      <c r="F68" s="53"/>
      <c r="G68" s="53"/>
      <c r="H68" s="53"/>
      <c r="I68" s="53"/>
      <c r="J68" s="53"/>
      <c r="K68" s="77"/>
      <c r="L68" s="78"/>
      <c r="M68" s="53"/>
      <c r="N68" s="53"/>
      <c r="O68" s="53"/>
    </row>
    <row r="69">
      <c r="A69" s="37"/>
      <c r="B69" s="37"/>
      <c r="C69" s="37"/>
      <c r="D69" s="37"/>
      <c r="E69" s="37"/>
      <c r="F69" s="53"/>
      <c r="G69" s="53"/>
      <c r="H69" s="53"/>
      <c r="I69" s="53"/>
      <c r="J69" s="53"/>
      <c r="K69" s="77"/>
      <c r="L69" s="78"/>
      <c r="M69" s="53"/>
      <c r="N69" s="53"/>
      <c r="O69" s="53"/>
    </row>
    <row r="70">
      <c r="A70" s="37"/>
      <c r="B70" s="37"/>
      <c r="C70" s="37"/>
      <c r="D70" s="37"/>
      <c r="E70" s="37"/>
      <c r="F70" s="53"/>
      <c r="G70" s="53"/>
      <c r="H70" s="53"/>
      <c r="I70" s="53"/>
      <c r="J70" s="53"/>
      <c r="K70" s="77"/>
      <c r="L70" s="78"/>
      <c r="M70" s="53"/>
      <c r="N70" s="53"/>
      <c r="O70" s="53"/>
    </row>
    <row r="71">
      <c r="A71" s="37"/>
      <c r="B71" s="37"/>
      <c r="C71" s="37"/>
      <c r="D71" s="37"/>
      <c r="E71" s="37"/>
      <c r="F71" s="53"/>
      <c r="G71" s="53"/>
      <c r="H71" s="53"/>
      <c r="I71" s="53"/>
      <c r="J71" s="53"/>
      <c r="K71" s="77"/>
      <c r="L71" s="78"/>
      <c r="M71" s="53"/>
      <c r="N71" s="53"/>
      <c r="O71" s="53"/>
    </row>
    <row r="72">
      <c r="A72" s="37"/>
      <c r="B72" s="37"/>
      <c r="C72" s="37"/>
      <c r="D72" s="37"/>
      <c r="E72" s="37"/>
      <c r="F72" s="53"/>
      <c r="G72" s="53"/>
      <c r="H72" s="53"/>
      <c r="I72" s="53"/>
      <c r="J72" s="53"/>
      <c r="K72" s="77"/>
      <c r="L72" s="78"/>
      <c r="M72" s="53"/>
      <c r="N72" s="53"/>
      <c r="O72" s="53"/>
    </row>
    <row r="73">
      <c r="A73" s="37"/>
      <c r="B73" s="37"/>
      <c r="C73" s="37"/>
      <c r="D73" s="37"/>
      <c r="E73" s="37"/>
      <c r="F73" s="53"/>
      <c r="G73" s="53"/>
      <c r="H73" s="53"/>
      <c r="I73" s="53"/>
      <c r="J73" s="53"/>
      <c r="K73" s="77"/>
      <c r="L73" s="78"/>
      <c r="M73" s="53"/>
      <c r="N73" s="53"/>
      <c r="O73" s="53"/>
    </row>
    <row r="74">
      <c r="A74" s="37"/>
      <c r="B74" s="37"/>
      <c r="C74" s="37"/>
      <c r="D74" s="37"/>
      <c r="E74" s="37"/>
      <c r="F74" s="53"/>
      <c r="G74" s="53"/>
      <c r="H74" s="53"/>
      <c r="I74" s="53"/>
      <c r="J74" s="53"/>
      <c r="K74" s="77"/>
      <c r="L74" s="78"/>
      <c r="M74" s="53"/>
      <c r="N74" s="53"/>
      <c r="O74" s="53"/>
    </row>
    <row r="75">
      <c r="A75" s="37"/>
      <c r="B75" s="37"/>
      <c r="C75" s="37"/>
      <c r="D75" s="37"/>
      <c r="E75" s="37"/>
      <c r="F75" s="53"/>
      <c r="G75" s="53"/>
      <c r="H75" s="53"/>
      <c r="I75" s="53"/>
      <c r="J75" s="53"/>
      <c r="K75" s="77"/>
      <c r="L75" s="78"/>
      <c r="M75" s="53"/>
      <c r="N75" s="53"/>
      <c r="O75" s="53"/>
    </row>
    <row r="76">
      <c r="A76" s="37"/>
      <c r="B76" s="37"/>
      <c r="C76" s="37"/>
      <c r="D76" s="37"/>
      <c r="E76" s="37"/>
      <c r="F76" s="53"/>
      <c r="G76" s="53"/>
      <c r="H76" s="53"/>
      <c r="I76" s="53"/>
      <c r="J76" s="53"/>
      <c r="K76" s="77"/>
      <c r="L76" s="78"/>
      <c r="M76" s="53"/>
      <c r="N76" s="53"/>
      <c r="O76" s="53"/>
    </row>
    <row r="77">
      <c r="A77" s="37"/>
      <c r="B77" s="37"/>
      <c r="C77" s="37"/>
      <c r="D77" s="37"/>
      <c r="E77" s="37"/>
      <c r="F77" s="53"/>
      <c r="G77" s="53"/>
      <c r="H77" s="53"/>
      <c r="I77" s="53"/>
      <c r="J77" s="53"/>
      <c r="K77" s="77"/>
      <c r="L77" s="78"/>
      <c r="M77" s="53"/>
      <c r="N77" s="53"/>
      <c r="O77" s="53"/>
    </row>
    <row r="78">
      <c r="A78" s="37"/>
      <c r="B78" s="37"/>
      <c r="C78" s="37"/>
      <c r="D78" s="37"/>
      <c r="E78" s="37"/>
      <c r="F78" s="53"/>
      <c r="G78" s="53"/>
      <c r="H78" s="53"/>
      <c r="I78" s="53"/>
      <c r="J78" s="53"/>
      <c r="K78" s="77"/>
      <c r="L78" s="78"/>
      <c r="M78" s="53"/>
      <c r="N78" s="53"/>
      <c r="O78" s="53"/>
    </row>
    <row r="79">
      <c r="A79" s="37"/>
      <c r="B79" s="37"/>
      <c r="C79" s="37"/>
      <c r="D79" s="37"/>
      <c r="E79" s="37"/>
      <c r="F79" s="53"/>
      <c r="G79" s="53"/>
      <c r="H79" s="53"/>
      <c r="I79" s="53"/>
      <c r="J79" s="53"/>
      <c r="K79" s="77"/>
      <c r="L79" s="78"/>
      <c r="M79" s="53"/>
      <c r="N79" s="53"/>
      <c r="O79" s="53"/>
    </row>
    <row r="80">
      <c r="A80" s="37"/>
      <c r="B80" s="37"/>
      <c r="C80" s="37"/>
      <c r="D80" s="37"/>
      <c r="E80" s="37"/>
      <c r="F80" s="53"/>
      <c r="G80" s="53"/>
      <c r="H80" s="53"/>
      <c r="I80" s="53"/>
      <c r="J80" s="53"/>
      <c r="K80" s="77"/>
      <c r="L80" s="78"/>
      <c r="M80" s="53"/>
      <c r="N80" s="53"/>
      <c r="O80" s="53"/>
    </row>
    <row r="81">
      <c r="A81" s="37"/>
      <c r="B81" s="37"/>
      <c r="C81" s="37"/>
      <c r="D81" s="37"/>
      <c r="E81" s="37"/>
      <c r="F81" s="53"/>
      <c r="G81" s="53"/>
      <c r="H81" s="53"/>
      <c r="I81" s="53"/>
      <c r="J81" s="53"/>
      <c r="K81" s="77"/>
      <c r="L81" s="78"/>
      <c r="M81" s="53"/>
      <c r="N81" s="53"/>
      <c r="O81" s="53"/>
    </row>
    <row r="82">
      <c r="A82" s="37"/>
      <c r="B82" s="37"/>
      <c r="C82" s="37"/>
      <c r="D82" s="37"/>
      <c r="E82" s="37"/>
      <c r="F82" s="53"/>
      <c r="G82" s="53"/>
      <c r="H82" s="53"/>
      <c r="I82" s="53"/>
      <c r="J82" s="53"/>
      <c r="K82" s="77"/>
      <c r="L82" s="78"/>
      <c r="M82" s="53"/>
      <c r="N82" s="53"/>
      <c r="O82" s="53"/>
    </row>
    <row r="83">
      <c r="A83" s="37"/>
      <c r="B83" s="37"/>
      <c r="C83" s="37"/>
      <c r="D83" s="37"/>
      <c r="E83" s="37"/>
      <c r="F83" s="53"/>
      <c r="G83" s="53"/>
      <c r="H83" s="53"/>
      <c r="I83" s="53"/>
      <c r="J83" s="53"/>
      <c r="K83" s="77"/>
      <c r="L83" s="78"/>
      <c r="M83" s="53"/>
      <c r="N83" s="53"/>
      <c r="O83" s="53"/>
    </row>
    <row r="84">
      <c r="A84" s="37"/>
      <c r="B84" s="37"/>
      <c r="C84" s="37"/>
      <c r="D84" s="37"/>
      <c r="E84" s="37"/>
      <c r="F84" s="53"/>
      <c r="G84" s="53"/>
      <c r="H84" s="53"/>
      <c r="I84" s="53"/>
      <c r="J84" s="53"/>
      <c r="K84" s="77"/>
      <c r="L84" s="78"/>
      <c r="M84" s="53"/>
      <c r="N84" s="53"/>
      <c r="O84" s="53"/>
    </row>
    <row r="85">
      <c r="A85" s="37"/>
      <c r="B85" s="37"/>
      <c r="C85" s="37"/>
      <c r="D85" s="37"/>
      <c r="E85" s="37"/>
      <c r="F85" s="53"/>
      <c r="G85" s="53"/>
      <c r="H85" s="53"/>
      <c r="I85" s="53"/>
      <c r="J85" s="53"/>
      <c r="K85" s="77"/>
      <c r="L85" s="78"/>
      <c r="M85" s="53"/>
      <c r="N85" s="53"/>
      <c r="O85" s="53"/>
    </row>
    <row r="86">
      <c r="A86" s="37"/>
      <c r="B86" s="37"/>
      <c r="C86" s="37"/>
      <c r="D86" s="37"/>
      <c r="E86" s="37"/>
      <c r="F86" s="53"/>
      <c r="G86" s="53"/>
      <c r="H86" s="53"/>
      <c r="I86" s="53"/>
      <c r="J86" s="53"/>
      <c r="K86" s="77"/>
      <c r="L86" s="78"/>
      <c r="M86" s="53"/>
      <c r="N86" s="53"/>
      <c r="O86" s="53"/>
    </row>
    <row r="87">
      <c r="A87" s="37"/>
      <c r="B87" s="37"/>
      <c r="C87" s="37"/>
      <c r="D87" s="37"/>
      <c r="E87" s="37"/>
      <c r="F87" s="53"/>
      <c r="G87" s="53"/>
      <c r="H87" s="53"/>
      <c r="I87" s="53"/>
      <c r="J87" s="53"/>
      <c r="K87" s="77"/>
      <c r="L87" s="78"/>
      <c r="M87" s="53"/>
      <c r="N87" s="53"/>
      <c r="O87" s="53"/>
    </row>
    <row r="88">
      <c r="A88" s="37"/>
      <c r="B88" s="37"/>
      <c r="C88" s="37"/>
      <c r="D88" s="37"/>
      <c r="E88" s="37"/>
      <c r="F88" s="53"/>
      <c r="G88" s="53"/>
      <c r="H88" s="53"/>
      <c r="I88" s="53"/>
      <c r="J88" s="53"/>
      <c r="K88" s="77"/>
      <c r="L88" s="78"/>
      <c r="M88" s="53"/>
      <c r="N88" s="53"/>
      <c r="O88" s="53"/>
    </row>
    <row r="89">
      <c r="A89" s="37"/>
      <c r="B89" s="37"/>
      <c r="C89" s="37"/>
      <c r="D89" s="37"/>
      <c r="E89" s="37"/>
      <c r="F89" s="53"/>
      <c r="G89" s="53"/>
      <c r="H89" s="53"/>
      <c r="I89" s="53"/>
      <c r="J89" s="53"/>
      <c r="K89" s="77"/>
      <c r="L89" s="78"/>
      <c r="M89" s="53"/>
      <c r="N89" s="53"/>
      <c r="O89" s="53"/>
    </row>
    <row r="90">
      <c r="A90" s="37"/>
      <c r="B90" s="37"/>
      <c r="C90" s="37"/>
      <c r="D90" s="37"/>
      <c r="E90" s="37"/>
      <c r="F90" s="53"/>
      <c r="G90" s="53"/>
      <c r="H90" s="53"/>
      <c r="I90" s="53"/>
      <c r="J90" s="53"/>
      <c r="K90" s="77"/>
      <c r="L90" s="78"/>
      <c r="M90" s="53"/>
      <c r="N90" s="53"/>
      <c r="O90" s="53"/>
    </row>
    <row r="91">
      <c r="A91" s="37"/>
      <c r="B91" s="37"/>
      <c r="C91" s="37"/>
      <c r="D91" s="37"/>
      <c r="E91" s="37"/>
      <c r="F91" s="53"/>
      <c r="G91" s="53"/>
      <c r="H91" s="53"/>
      <c r="I91" s="53"/>
      <c r="J91" s="53"/>
      <c r="K91" s="77"/>
      <c r="L91" s="78"/>
      <c r="M91" s="53"/>
      <c r="N91" s="53"/>
      <c r="O91" s="53"/>
    </row>
    <row r="92">
      <c r="A92" s="37"/>
      <c r="B92" s="37"/>
      <c r="C92" s="37"/>
      <c r="D92" s="37"/>
      <c r="E92" s="37"/>
      <c r="F92" s="53"/>
      <c r="G92" s="53"/>
      <c r="H92" s="53"/>
      <c r="I92" s="53"/>
      <c r="J92" s="53"/>
      <c r="K92" s="77"/>
      <c r="L92" s="78"/>
      <c r="M92" s="53"/>
      <c r="N92" s="53"/>
      <c r="O92" s="53"/>
    </row>
    <row r="93">
      <c r="A93" s="37"/>
      <c r="B93" s="37"/>
      <c r="C93" s="37"/>
      <c r="D93" s="37"/>
      <c r="E93" s="37"/>
      <c r="F93" s="53"/>
      <c r="G93" s="53"/>
      <c r="H93" s="53"/>
      <c r="I93" s="53"/>
      <c r="J93" s="53"/>
      <c r="K93" s="77"/>
      <c r="L93" s="78"/>
      <c r="M93" s="53"/>
      <c r="N93" s="53"/>
      <c r="O93" s="53"/>
    </row>
    <row r="94">
      <c r="A94" s="37"/>
      <c r="B94" s="37"/>
      <c r="C94" s="37"/>
      <c r="D94" s="37"/>
      <c r="E94" s="37"/>
      <c r="F94" s="53"/>
      <c r="G94" s="53"/>
      <c r="H94" s="53"/>
      <c r="I94" s="53"/>
      <c r="J94" s="53"/>
      <c r="K94" s="77"/>
      <c r="L94" s="78"/>
      <c r="M94" s="53"/>
      <c r="N94" s="53"/>
      <c r="O94" s="53"/>
    </row>
    <row r="95">
      <c r="A95" s="37"/>
      <c r="B95" s="37"/>
      <c r="C95" s="37"/>
      <c r="D95" s="37"/>
      <c r="E95" s="37"/>
      <c r="F95" s="53"/>
      <c r="G95" s="53"/>
      <c r="H95" s="53"/>
      <c r="I95" s="53"/>
      <c r="J95" s="53"/>
      <c r="K95" s="77"/>
      <c r="L95" s="78"/>
      <c r="M95" s="53"/>
      <c r="N95" s="53"/>
      <c r="O95" s="53"/>
    </row>
    <row r="96">
      <c r="A96" s="37"/>
      <c r="B96" s="37"/>
      <c r="C96" s="37"/>
      <c r="D96" s="37"/>
      <c r="E96" s="37"/>
      <c r="F96" s="53"/>
      <c r="G96" s="53"/>
      <c r="H96" s="53"/>
      <c r="I96" s="53"/>
      <c r="J96" s="53"/>
      <c r="K96" s="77"/>
      <c r="L96" s="78"/>
      <c r="M96" s="53"/>
      <c r="N96" s="53"/>
      <c r="O96" s="53"/>
    </row>
    <row r="97">
      <c r="A97" s="37"/>
      <c r="B97" s="37"/>
      <c r="C97" s="37"/>
      <c r="D97" s="37"/>
      <c r="E97" s="37"/>
      <c r="F97" s="53"/>
      <c r="G97" s="53"/>
      <c r="H97" s="53"/>
      <c r="I97" s="53"/>
      <c r="J97" s="53"/>
      <c r="K97" s="77"/>
      <c r="L97" s="78"/>
      <c r="M97" s="53"/>
      <c r="N97" s="53"/>
      <c r="O97" s="53"/>
    </row>
    <row r="98">
      <c r="A98" s="37"/>
      <c r="B98" s="37"/>
      <c r="C98" s="37"/>
      <c r="D98" s="37"/>
      <c r="E98" s="37"/>
      <c r="F98" s="53"/>
      <c r="G98" s="53"/>
      <c r="H98" s="53"/>
      <c r="I98" s="53"/>
      <c r="J98" s="53"/>
      <c r="K98" s="77"/>
      <c r="L98" s="78"/>
      <c r="M98" s="53"/>
      <c r="N98" s="53"/>
      <c r="O98" s="53"/>
    </row>
    <row r="99">
      <c r="A99" s="37"/>
      <c r="B99" s="37"/>
      <c r="C99" s="37"/>
      <c r="D99" s="37"/>
      <c r="E99" s="37"/>
      <c r="F99" s="53"/>
      <c r="G99" s="53"/>
      <c r="H99" s="53"/>
      <c r="I99" s="53"/>
      <c r="J99" s="53"/>
      <c r="K99" s="77"/>
      <c r="L99" s="78"/>
      <c r="M99" s="53"/>
      <c r="N99" s="53"/>
      <c r="O99" s="53"/>
    </row>
    <row r="100">
      <c r="A100" s="37"/>
      <c r="B100" s="37"/>
      <c r="C100" s="37"/>
      <c r="D100" s="37"/>
      <c r="E100" s="37"/>
      <c r="K100" s="48"/>
    </row>
    <row r="101">
      <c r="A101" s="37"/>
      <c r="B101" s="37"/>
      <c r="C101" s="37"/>
      <c r="D101" s="37"/>
      <c r="E101" s="37"/>
      <c r="K101" s="48"/>
    </row>
    <row r="102">
      <c r="A102" s="37"/>
      <c r="B102" s="37"/>
      <c r="C102" s="37"/>
      <c r="D102" s="37"/>
      <c r="E102" s="37"/>
      <c r="K102" s="48"/>
    </row>
    <row r="103">
      <c r="A103" s="37"/>
      <c r="B103" s="37"/>
      <c r="C103" s="37"/>
      <c r="D103" s="37"/>
      <c r="E103" s="37"/>
      <c r="K103" s="48"/>
    </row>
    <row r="104">
      <c r="A104" s="37"/>
      <c r="B104" s="37"/>
      <c r="C104" s="37"/>
      <c r="D104" s="37"/>
      <c r="E104" s="37"/>
      <c r="K104" s="48"/>
    </row>
    <row r="105">
      <c r="A105" s="37"/>
      <c r="B105" s="37"/>
      <c r="C105" s="37"/>
      <c r="D105" s="37"/>
      <c r="E105" s="37"/>
      <c r="K105" s="48"/>
    </row>
    <row r="106">
      <c r="A106" s="37"/>
      <c r="B106" s="37"/>
      <c r="C106" s="37"/>
      <c r="D106" s="37"/>
      <c r="E106" s="37"/>
      <c r="K106" s="48"/>
    </row>
    <row r="107">
      <c r="A107" s="37"/>
      <c r="B107" s="37"/>
      <c r="C107" s="37"/>
      <c r="D107" s="37"/>
      <c r="E107" s="37"/>
      <c r="K107" s="48"/>
    </row>
    <row r="108">
      <c r="A108" s="37"/>
      <c r="B108" s="37"/>
      <c r="C108" s="37"/>
      <c r="D108" s="37"/>
      <c r="E108" s="37"/>
      <c r="K108" s="48"/>
    </row>
    <row r="109">
      <c r="A109" s="37"/>
      <c r="B109" s="37"/>
      <c r="C109" s="37"/>
      <c r="D109" s="37"/>
      <c r="E109" s="37"/>
      <c r="K109" s="48"/>
    </row>
    <row r="110">
      <c r="A110" s="37"/>
      <c r="B110" s="37"/>
      <c r="C110" s="37"/>
      <c r="D110" s="37"/>
      <c r="E110" s="37"/>
      <c r="K110" s="48"/>
    </row>
    <row r="111">
      <c r="A111" s="37"/>
      <c r="B111" s="37"/>
      <c r="C111" s="37"/>
      <c r="D111" s="37"/>
      <c r="E111" s="37"/>
      <c r="K111" s="48"/>
    </row>
    <row r="112">
      <c r="A112" s="37"/>
      <c r="B112" s="37"/>
      <c r="C112" s="37"/>
      <c r="D112" s="37"/>
      <c r="E112" s="37"/>
      <c r="K112" s="48"/>
    </row>
    <row r="113">
      <c r="A113" s="37"/>
      <c r="B113" s="37"/>
      <c r="C113" s="37"/>
      <c r="D113" s="37"/>
      <c r="E113" s="37"/>
      <c r="K113" s="48"/>
    </row>
    <row r="114">
      <c r="A114" s="37"/>
      <c r="B114" s="37"/>
      <c r="C114" s="37"/>
      <c r="D114" s="37"/>
      <c r="E114" s="37"/>
      <c r="K114" s="48"/>
    </row>
    <row r="115">
      <c r="A115" s="37"/>
      <c r="B115" s="37"/>
      <c r="C115" s="37"/>
      <c r="D115" s="37"/>
      <c r="E115" s="37"/>
      <c r="K115" s="48"/>
    </row>
    <row r="116">
      <c r="A116" s="37"/>
      <c r="B116" s="37"/>
      <c r="C116" s="37"/>
      <c r="D116" s="37"/>
      <c r="E116" s="37"/>
      <c r="K116" s="48"/>
    </row>
    <row r="117">
      <c r="A117" s="37"/>
      <c r="B117" s="37"/>
      <c r="C117" s="37"/>
      <c r="D117" s="37"/>
      <c r="E117" s="37"/>
      <c r="K117" s="48"/>
    </row>
    <row r="118">
      <c r="A118" s="37"/>
      <c r="B118" s="37"/>
      <c r="C118" s="37"/>
      <c r="D118" s="37"/>
      <c r="E118" s="37"/>
      <c r="K118" s="48"/>
    </row>
    <row r="119">
      <c r="A119" s="37"/>
      <c r="B119" s="37"/>
      <c r="C119" s="37"/>
      <c r="D119" s="37"/>
      <c r="E119" s="37"/>
      <c r="K119" s="48"/>
    </row>
    <row r="120">
      <c r="A120" s="37"/>
      <c r="B120" s="37"/>
      <c r="C120" s="37"/>
      <c r="D120" s="37"/>
      <c r="E120" s="37"/>
      <c r="K120" s="48"/>
    </row>
    <row r="121">
      <c r="A121" s="37"/>
      <c r="B121" s="37"/>
      <c r="C121" s="37"/>
      <c r="D121" s="37"/>
      <c r="E121" s="37"/>
      <c r="K121" s="48"/>
    </row>
    <row r="122">
      <c r="A122" s="37"/>
      <c r="B122" s="37"/>
      <c r="C122" s="37"/>
      <c r="D122" s="37"/>
      <c r="E122" s="37"/>
      <c r="K122" s="48"/>
    </row>
    <row r="123">
      <c r="A123" s="37"/>
      <c r="B123" s="37"/>
      <c r="C123" s="37"/>
      <c r="D123" s="37"/>
      <c r="E123" s="37"/>
      <c r="K123" s="48"/>
    </row>
    <row r="124">
      <c r="A124" s="37"/>
      <c r="B124" s="37"/>
      <c r="C124" s="37"/>
      <c r="D124" s="37"/>
      <c r="E124" s="37"/>
      <c r="K124" s="48"/>
    </row>
    <row r="125">
      <c r="A125" s="37"/>
      <c r="B125" s="37"/>
      <c r="C125" s="37"/>
      <c r="D125" s="37"/>
      <c r="E125" s="37"/>
      <c r="K125" s="48"/>
    </row>
    <row r="126">
      <c r="A126" s="37"/>
      <c r="B126" s="37"/>
      <c r="C126" s="37"/>
      <c r="D126" s="37"/>
      <c r="E126" s="37"/>
      <c r="K126" s="48"/>
    </row>
    <row r="127">
      <c r="A127" s="37"/>
      <c r="B127" s="37"/>
      <c r="C127" s="37"/>
      <c r="D127" s="37"/>
      <c r="E127" s="37"/>
      <c r="K127" s="48"/>
    </row>
    <row r="128">
      <c r="A128" s="37"/>
      <c r="B128" s="37"/>
      <c r="C128" s="37"/>
      <c r="D128" s="37"/>
      <c r="E128" s="37"/>
      <c r="K128" s="48"/>
    </row>
    <row r="129">
      <c r="A129" s="37"/>
      <c r="B129" s="37"/>
      <c r="C129" s="37"/>
      <c r="D129" s="37"/>
      <c r="E129" s="37"/>
      <c r="K129" s="48"/>
    </row>
    <row r="130">
      <c r="A130" s="37"/>
      <c r="B130" s="37"/>
      <c r="C130" s="37"/>
      <c r="D130" s="37"/>
      <c r="E130" s="37"/>
      <c r="K130" s="48"/>
    </row>
    <row r="131">
      <c r="A131" s="37"/>
      <c r="B131" s="37"/>
      <c r="C131" s="37"/>
      <c r="D131" s="37"/>
      <c r="E131" s="37"/>
      <c r="K131" s="48"/>
    </row>
    <row r="132">
      <c r="A132" s="37"/>
      <c r="B132" s="37"/>
      <c r="C132" s="37"/>
      <c r="D132" s="37"/>
      <c r="E132" s="37"/>
      <c r="K132" s="48"/>
    </row>
    <row r="133">
      <c r="A133" s="37"/>
      <c r="B133" s="37"/>
      <c r="C133" s="37"/>
      <c r="D133" s="37"/>
      <c r="E133" s="37"/>
      <c r="K133" s="48"/>
    </row>
    <row r="134">
      <c r="A134" s="37"/>
      <c r="B134" s="37"/>
      <c r="C134" s="37"/>
      <c r="D134" s="37"/>
      <c r="E134" s="37"/>
      <c r="K134" s="48"/>
    </row>
    <row r="135">
      <c r="A135" s="37"/>
      <c r="B135" s="37"/>
      <c r="C135" s="37"/>
      <c r="D135" s="37"/>
      <c r="E135" s="37"/>
      <c r="K135" s="48"/>
    </row>
    <row r="136">
      <c r="A136" s="37"/>
      <c r="B136" s="37"/>
      <c r="C136" s="37"/>
      <c r="D136" s="37"/>
      <c r="E136" s="37"/>
      <c r="K136" s="48"/>
    </row>
    <row r="137">
      <c r="A137" s="37"/>
      <c r="B137" s="37"/>
      <c r="C137" s="37"/>
      <c r="D137" s="37"/>
      <c r="E137" s="37"/>
      <c r="K137" s="48"/>
    </row>
    <row r="138">
      <c r="A138" s="37"/>
      <c r="B138" s="37"/>
      <c r="C138" s="37"/>
      <c r="D138" s="37"/>
      <c r="E138" s="37"/>
      <c r="K138" s="48"/>
    </row>
    <row r="139">
      <c r="A139" s="37"/>
      <c r="B139" s="37"/>
      <c r="C139" s="37"/>
      <c r="D139" s="37"/>
      <c r="E139" s="37"/>
      <c r="K139" s="48"/>
    </row>
    <row r="140">
      <c r="A140" s="37"/>
      <c r="B140" s="37"/>
      <c r="C140" s="37"/>
      <c r="D140" s="37"/>
      <c r="E140" s="37"/>
      <c r="K140" s="48"/>
    </row>
    <row r="141">
      <c r="A141" s="37"/>
      <c r="B141" s="37"/>
      <c r="C141" s="37"/>
      <c r="D141" s="37"/>
      <c r="E141" s="37"/>
      <c r="K141" s="48"/>
    </row>
    <row r="142">
      <c r="A142" s="37"/>
      <c r="B142" s="37"/>
      <c r="C142" s="37"/>
      <c r="D142" s="37"/>
      <c r="E142" s="37"/>
      <c r="K142" s="48"/>
    </row>
    <row r="143">
      <c r="A143" s="37"/>
      <c r="B143" s="37"/>
      <c r="C143" s="37"/>
      <c r="D143" s="37"/>
      <c r="E143" s="37"/>
      <c r="K143" s="48"/>
    </row>
    <row r="144">
      <c r="A144" s="37"/>
      <c r="B144" s="37"/>
      <c r="C144" s="37"/>
      <c r="D144" s="37"/>
      <c r="E144" s="37"/>
      <c r="K144" s="48"/>
    </row>
    <row r="145">
      <c r="A145" s="37"/>
      <c r="B145" s="37"/>
      <c r="C145" s="37"/>
      <c r="D145" s="37"/>
      <c r="E145" s="37"/>
      <c r="K145" s="48"/>
    </row>
    <row r="146">
      <c r="A146" s="37"/>
      <c r="B146" s="37"/>
      <c r="C146" s="37"/>
      <c r="D146" s="37"/>
      <c r="E146" s="37"/>
      <c r="K146" s="48"/>
    </row>
    <row r="147">
      <c r="A147" s="37"/>
      <c r="B147" s="37"/>
      <c r="C147" s="37"/>
      <c r="D147" s="37"/>
      <c r="E147" s="37"/>
      <c r="K147" s="48"/>
    </row>
    <row r="148">
      <c r="A148" s="37"/>
      <c r="B148" s="37"/>
      <c r="C148" s="37"/>
      <c r="D148" s="37"/>
      <c r="E148" s="37"/>
      <c r="K148" s="48"/>
    </row>
    <row r="149">
      <c r="A149" s="37"/>
      <c r="B149" s="37"/>
      <c r="C149" s="37"/>
      <c r="D149" s="37"/>
      <c r="E149" s="37"/>
      <c r="K149" s="48"/>
    </row>
    <row r="150">
      <c r="A150" s="37"/>
      <c r="B150" s="37"/>
      <c r="C150" s="37"/>
      <c r="D150" s="37"/>
      <c r="E150" s="37"/>
      <c r="K150" s="48"/>
    </row>
    <row r="151">
      <c r="A151" s="37"/>
      <c r="B151" s="37"/>
      <c r="C151" s="37"/>
      <c r="D151" s="37"/>
      <c r="E151" s="37"/>
      <c r="K151" s="48"/>
    </row>
    <row r="152">
      <c r="A152" s="37"/>
      <c r="B152" s="37"/>
      <c r="C152" s="37"/>
      <c r="D152" s="37"/>
      <c r="E152" s="37"/>
      <c r="K152" s="48"/>
    </row>
    <row r="153">
      <c r="A153" s="37"/>
      <c r="B153" s="37"/>
      <c r="C153" s="37"/>
      <c r="D153" s="37"/>
      <c r="E153" s="37"/>
      <c r="K153" s="48"/>
    </row>
    <row r="154">
      <c r="A154" s="37"/>
      <c r="B154" s="37"/>
      <c r="C154" s="37"/>
      <c r="D154" s="37"/>
      <c r="E154" s="37"/>
      <c r="K154" s="48"/>
    </row>
    <row r="155">
      <c r="A155" s="37"/>
      <c r="B155" s="37"/>
      <c r="C155" s="37"/>
      <c r="D155" s="37"/>
      <c r="E155" s="37"/>
      <c r="K155" s="48"/>
    </row>
    <row r="156">
      <c r="A156" s="37"/>
      <c r="B156" s="37"/>
      <c r="C156" s="37"/>
      <c r="D156" s="37"/>
      <c r="E156" s="37"/>
      <c r="K156" s="48"/>
    </row>
    <row r="157">
      <c r="A157" s="37"/>
      <c r="B157" s="37"/>
      <c r="C157" s="37"/>
      <c r="D157" s="37"/>
      <c r="E157" s="37"/>
      <c r="K157" s="48"/>
    </row>
    <row r="158">
      <c r="A158" s="37"/>
      <c r="B158" s="37"/>
      <c r="C158" s="37"/>
      <c r="D158" s="37"/>
      <c r="E158" s="37"/>
      <c r="K158" s="48"/>
    </row>
    <row r="159">
      <c r="A159" s="37"/>
      <c r="B159" s="37"/>
      <c r="C159" s="37"/>
      <c r="D159" s="37"/>
      <c r="E159" s="37"/>
      <c r="K159" s="48"/>
    </row>
    <row r="160">
      <c r="A160" s="37"/>
      <c r="B160" s="37"/>
      <c r="C160" s="37"/>
      <c r="D160" s="37"/>
      <c r="E160" s="37"/>
      <c r="K160" s="48"/>
    </row>
    <row r="161">
      <c r="A161" s="37"/>
      <c r="B161" s="37"/>
      <c r="C161" s="37"/>
      <c r="D161" s="37"/>
      <c r="E161" s="37"/>
      <c r="K161" s="48"/>
    </row>
    <row r="162">
      <c r="A162" s="37"/>
      <c r="B162" s="37"/>
      <c r="C162" s="37"/>
      <c r="D162" s="37"/>
      <c r="E162" s="37"/>
      <c r="K162" s="48"/>
    </row>
    <row r="163">
      <c r="A163" s="37"/>
      <c r="B163" s="37"/>
      <c r="C163" s="37"/>
      <c r="D163" s="37"/>
      <c r="E163" s="37"/>
      <c r="K163" s="48"/>
    </row>
    <row r="164">
      <c r="A164" s="37"/>
      <c r="B164" s="37"/>
      <c r="C164" s="37"/>
      <c r="D164" s="37"/>
      <c r="E164" s="37"/>
      <c r="K164" s="48"/>
    </row>
    <row r="165">
      <c r="A165" s="37"/>
      <c r="B165" s="37"/>
      <c r="C165" s="37"/>
      <c r="D165" s="37"/>
      <c r="E165" s="37"/>
      <c r="K165" s="48"/>
    </row>
    <row r="166">
      <c r="A166" s="37"/>
      <c r="B166" s="37"/>
      <c r="C166" s="37"/>
      <c r="D166" s="37"/>
      <c r="E166" s="37"/>
      <c r="K166" s="4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sheetData>
  <mergeCells count="9">
    <mergeCell ref="G13:G23"/>
    <mergeCell ref="G24:G32"/>
    <mergeCell ref="G3:G6"/>
    <mergeCell ref="A4:B4"/>
    <mergeCell ref="C4:D4"/>
    <mergeCell ref="A5:B5"/>
    <mergeCell ref="C5:D5"/>
    <mergeCell ref="A6:D11"/>
    <mergeCell ref="G7:G12"/>
  </mergeCells>
  <dataValidations>
    <dataValidation type="list" allowBlank="1" showErrorMessage="1" sqref="B12">
      <formula1>"MINH THUẬN,CẨM NHIÊN,Nhung"</formula1>
    </dataValidation>
    <dataValidation type="list" allowBlank="1" showErrorMessage="1" sqref="O3:O32">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7.75"/>
    <col customWidth="1" min="10" max="10" width="33.0"/>
    <col customWidth="1" min="11" max="11" width="34.88"/>
    <col customWidth="1" min="12" max="12" width="19.5"/>
    <col customWidth="1" min="13" max="13" width="25.25"/>
    <col customWidth="1" min="14" max="14" width="24.25"/>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53</v>
      </c>
      <c r="B3" s="11">
        <f>COUNTIF(O:O,"Pass")</f>
        <v>22</v>
      </c>
      <c r="C3" s="11">
        <f>COUNTIF(O:O,"Fail")</f>
        <v>17</v>
      </c>
      <c r="D3" s="11">
        <f>COUNTIF(O:O,"Untest")</f>
        <v>0</v>
      </c>
      <c r="E3" s="8"/>
      <c r="F3" s="12" t="s">
        <v>1733</v>
      </c>
      <c r="G3" s="55" t="s">
        <v>15</v>
      </c>
      <c r="H3" s="12" t="s">
        <v>1612</v>
      </c>
      <c r="I3" s="12" t="s">
        <v>1734</v>
      </c>
      <c r="J3" s="12" t="s">
        <v>1735</v>
      </c>
      <c r="K3" s="13" t="str">
        <f>IFERROR(__xludf.DUMMYFUNCTION("IF(ISBLANK(J3), ""Input test step"", ARRAYFORMULA(TEXTJOIN(CHAR(10), TRUE, (""Step ""&amp; ROW(INDIRECT(""1:"" &amp; COUNTA(SPLIT(J3, CHAR(10))))) &amp; "": "" &amp; TRANSPOSE(SPLIT(J3, CHAR(10)))))))"),"Step 1: Đăng nhập vào tài khoản 
Step 2: Chọn mục Cá nhân
Step 3: Kiểm tra màu sắc, kích thước, cỡ chữ")</f>
        <v>Step 1: Đăng nhập vào tài khoản 
Step 2: Chọn mục Cá nhân
Step 3: Kiểm tra màu sắc, kích thước, cỡ chữ</v>
      </c>
      <c r="L3" s="14"/>
      <c r="M3" s="12" t="s">
        <v>1736</v>
      </c>
      <c r="N3" s="12" t="s">
        <v>1736</v>
      </c>
      <c r="O3" s="12" t="s">
        <v>1</v>
      </c>
      <c r="P3" s="12"/>
    </row>
    <row r="4">
      <c r="A4" s="58"/>
      <c r="B4" s="59"/>
      <c r="C4" s="60"/>
      <c r="D4" s="60"/>
      <c r="E4" s="18"/>
      <c r="F4" s="12" t="s">
        <v>1737</v>
      </c>
      <c r="G4" s="56"/>
      <c r="H4" s="12" t="s">
        <v>1738</v>
      </c>
      <c r="I4" s="12" t="s">
        <v>1734</v>
      </c>
      <c r="J4" s="12" t="s">
        <v>1739</v>
      </c>
      <c r="K4" s="13" t="str">
        <f>IFERROR(__xludf.DUMMYFUNCTION("IF(ISBLANK(J4), ""Input test step"", ARRAYFORMULA(TEXTJOIN(CHAR(10), TRUE, (""Step ""&amp; ROW(INDIRECT(""1:"" &amp; COUNTA(SPLIT(J4, CHAR(10))))) &amp; "": "" &amp; TRANSPOSE(SPLIT(J4, CHAR(10)))))))"),"Step 1: Đăng nhập vào tài khoản 
Step 2: Chọn mục Cá nhân
Step 3: Kiểm tra ảnh đại diện lấy theo zalo của tài khoản")</f>
        <v>Step 1: Đăng nhập vào tài khoản 
Step 2: Chọn mục Cá nhân
Step 3: Kiểm tra ảnh đại diện lấy theo zalo của tài khoản</v>
      </c>
      <c r="L4" s="14"/>
      <c r="M4" s="12" t="s">
        <v>1740</v>
      </c>
      <c r="N4" s="12" t="s">
        <v>1741</v>
      </c>
      <c r="O4" s="12" t="s">
        <v>2</v>
      </c>
      <c r="P4" s="19"/>
    </row>
    <row r="5">
      <c r="A5" s="15" t="s">
        <v>20</v>
      </c>
      <c r="B5" s="16"/>
      <c r="C5" s="17">
        <f>IFERROR(((B3+C3)/A3),0)</f>
        <v>0.7358490566</v>
      </c>
      <c r="D5" s="16"/>
      <c r="E5" s="18"/>
      <c r="F5" s="12" t="s">
        <v>1742</v>
      </c>
      <c r="G5" s="56"/>
      <c r="H5" s="12" t="s">
        <v>1743</v>
      </c>
      <c r="I5" s="12" t="s">
        <v>1734</v>
      </c>
      <c r="J5" s="12" t="s">
        <v>1744</v>
      </c>
      <c r="K5" s="13" t="str">
        <f>IFERROR(__xludf.DUMMYFUNCTION("IF(ISBLANK(J5), ""Input test step"", ARRAYFORMULA(TEXTJOIN(CHAR(10), TRUE, (""Step ""&amp; ROW(INDIRECT(""1:"" &amp; COUNTA(SPLIT(J5, CHAR(10))))) &amp; "": "" &amp; TRANSPOSE(SPLIT(J5, CHAR(10)))))))"),"Step 1: Đăng nhập vào tài khoản 
Step 2: Chọn mục Cá nhân
Step 3: Kiểm tra màu sắc, kích thước, cỡ chữ và icon")</f>
        <v>Step 1: Đăng nhập vào tài khoản 
Step 2: Chọn mục Cá nhân
Step 3: Kiểm tra màu sắc, kích thước, cỡ chữ và icon</v>
      </c>
      <c r="L5" s="14"/>
      <c r="M5" s="12" t="s">
        <v>1745</v>
      </c>
      <c r="N5" s="12" t="s">
        <v>1745</v>
      </c>
      <c r="O5" s="12" t="s">
        <v>1</v>
      </c>
      <c r="P5" s="19"/>
    </row>
    <row r="6">
      <c r="A6" s="15" t="s">
        <v>26</v>
      </c>
      <c r="B6" s="16"/>
      <c r="C6" s="20">
        <f>IFERROR(B3/(B3+C3),0)</f>
        <v>0.5641025641</v>
      </c>
      <c r="D6" s="16"/>
      <c r="E6" s="18"/>
      <c r="F6" s="12" t="s">
        <v>1746</v>
      </c>
      <c r="G6" s="56"/>
      <c r="H6" s="12" t="s">
        <v>1747</v>
      </c>
      <c r="I6" s="12" t="s">
        <v>1734</v>
      </c>
      <c r="J6" s="12" t="s">
        <v>1748</v>
      </c>
      <c r="K6" s="13" t="str">
        <f>IFERROR(__xludf.DUMMYFUNCTION("IF(ISBLANK(J6), ""Input test step"", ARRAYFORMULA(TEXTJOIN(CHAR(10), TRUE, (""Step ""&amp; ROW(INDIRECT(""1:"" &amp; COUNTA(SPLIT(J6, CHAR(10))))) &amp; "": "" &amp; TRANSPOSE(SPLIT(J6, CHAR(10)))))))"),"Step 1: Đăng nhập vào tài khoản 
Step 2: Chọn mục Cá nhân
Step 3: Kiểm tra màu sắc, kích thước, cỡ chữ và nhấn button "" Quan tâm "" hoặc "" Đã quan tâm """)</f>
        <v>Step 1: Đăng nhập vào tài khoản 
Step 2: Chọn mục Cá nhân
Step 3: Kiểm tra màu sắc, kích thước, cỡ chữ và nhấn button " Quan tâm " hoặc " Đã quan tâm "</v>
      </c>
      <c r="L6" s="14"/>
      <c r="M6" s="12" t="s">
        <v>1749</v>
      </c>
      <c r="N6" s="22" t="s">
        <v>1750</v>
      </c>
      <c r="O6" s="12" t="s">
        <v>2</v>
      </c>
      <c r="P6" s="19"/>
    </row>
    <row r="7">
      <c r="A7" s="79"/>
      <c r="B7" s="79"/>
      <c r="C7" s="80"/>
      <c r="D7" s="80"/>
      <c r="E7" s="18"/>
      <c r="F7" s="12" t="s">
        <v>1751</v>
      </c>
      <c r="G7" s="56"/>
      <c r="H7" s="12" t="s">
        <v>1752</v>
      </c>
      <c r="I7" s="12" t="s">
        <v>1734</v>
      </c>
      <c r="J7" s="12" t="s">
        <v>1753</v>
      </c>
      <c r="K7" s="13" t="str">
        <f>IFERROR(__xludf.DUMMYFUNCTION("IF(ISBLANK(J7), ""Input test step"", ARRAYFORMULA(TEXTJOIN(CHAR(10), TRUE, (""Step ""&amp; ROW(INDIRECT(""1:"" &amp; COUNTA(SPLIT(J7, CHAR(10))))) &amp; "": "" &amp; TRANSPOSE(SPLIT(J7, CHAR(10)))))))"),"Step 1: Đăng nhập vào tài khoản 
Step 2: Chọn mục Cá nhân
Step 3: Kiểm tra khoảng cách giữa "" Official Account "" và "" Thông tin quản lý cá nhân "" , khoảng cách giữa các trường")</f>
        <v>Step 1: Đăng nhập vào tài khoản 
Step 2: Chọn mục Cá nhân
Step 3: Kiểm tra khoảng cách giữa " Official Account " và " Thông tin quản lý cá nhân " , khoảng cách giữa các trường</v>
      </c>
      <c r="L7" s="14" t="s">
        <v>1754</v>
      </c>
      <c r="M7" s="12" t="s">
        <v>1755</v>
      </c>
      <c r="N7" s="12" t="s">
        <v>1756</v>
      </c>
      <c r="O7" s="12" t="s">
        <v>2</v>
      </c>
      <c r="P7" s="19"/>
    </row>
    <row r="8">
      <c r="A8" s="23" t="s">
        <v>1757</v>
      </c>
      <c r="D8" s="24"/>
      <c r="E8" s="18"/>
      <c r="F8" s="12" t="s">
        <v>1758</v>
      </c>
      <c r="G8" s="56"/>
      <c r="H8" s="12" t="s">
        <v>1759</v>
      </c>
      <c r="I8" s="12" t="s">
        <v>1734</v>
      </c>
      <c r="J8" s="12" t="s">
        <v>1735</v>
      </c>
      <c r="K8" s="13" t="str">
        <f>IFERROR(__xludf.DUMMYFUNCTION("IF(ISBLANK(J8), ""Input test step"", ARRAYFORMULA(TEXTJOIN(CHAR(10), TRUE, (""Step ""&amp; ROW(INDIRECT(""1:"" &amp; COUNTA(SPLIT(J8, CHAR(10))))) &amp; "": "" &amp; TRANSPOSE(SPLIT(J8, CHAR(10)))))))"),"Step 1: Đăng nhập vào tài khoản 
Step 2: Chọn mục Cá nhân
Step 3: Kiểm tra màu sắc, kích thước, cỡ chữ")</f>
        <v>Step 1: Đăng nhập vào tài khoản 
Step 2: Chọn mục Cá nhân
Step 3: Kiểm tra màu sắc, kích thước, cỡ chữ</v>
      </c>
      <c r="L8" s="14"/>
      <c r="M8" s="12" t="s">
        <v>1736</v>
      </c>
      <c r="N8" s="12" t="s">
        <v>1736</v>
      </c>
      <c r="O8" s="12" t="s">
        <v>1</v>
      </c>
      <c r="P8" s="19"/>
    </row>
    <row r="9">
      <c r="A9" s="26" t="s">
        <v>46</v>
      </c>
      <c r="B9" s="27" t="s">
        <v>1650</v>
      </c>
      <c r="C9" s="29"/>
      <c r="D9" s="29"/>
      <c r="E9" s="18"/>
      <c r="F9" s="12" t="s">
        <v>1760</v>
      </c>
      <c r="G9" s="56"/>
      <c r="H9" s="30" t="s">
        <v>1761</v>
      </c>
      <c r="I9" s="12" t="s">
        <v>1734</v>
      </c>
      <c r="J9" s="12" t="s">
        <v>1744</v>
      </c>
      <c r="K9" s="65" t="str">
        <f>IFERROR(__xludf.DUMMYFUNCTION("IF(ISBLANK(J9), ""Input test step"", ARRAYFORMULA(TEXTJOIN(CHAR(10), TRUE, (""Step ""&amp; ROW(INDIRECT(""1:"" &amp; COUNTA(SPLIT(J9, CHAR(10))))) &amp; "": "" &amp; TRANSPOSE(SPLIT(J9, CHAR(10)))))))"),"Step 1: Đăng nhập vào tài khoản 
Step 2: Chọn mục Cá nhân
Step 3: Kiểm tra màu sắc, kích thước, cỡ chữ và icon")</f>
        <v>Step 1: Đăng nhập vào tài khoản 
Step 2: Chọn mục Cá nhân
Step 3: Kiểm tra màu sắc, kích thước, cỡ chữ và icon</v>
      </c>
      <c r="L9" s="66"/>
      <c r="M9" s="12" t="s">
        <v>1745</v>
      </c>
      <c r="N9" s="12" t="s">
        <v>1745</v>
      </c>
      <c r="O9" s="30" t="s">
        <v>1</v>
      </c>
      <c r="P9" s="81"/>
      <c r="R9" s="52" t="s">
        <v>1762</v>
      </c>
    </row>
    <row r="10">
      <c r="A10" s="28"/>
      <c r="B10" s="28"/>
      <c r="C10" s="28"/>
      <c r="D10" s="28"/>
      <c r="E10" s="18"/>
      <c r="F10" s="12" t="s">
        <v>1763</v>
      </c>
      <c r="G10" s="56"/>
      <c r="H10" s="30" t="s">
        <v>1764</v>
      </c>
      <c r="I10" s="12" t="s">
        <v>1734</v>
      </c>
      <c r="J10" s="12" t="s">
        <v>1744</v>
      </c>
      <c r="K10" s="65" t="str">
        <f>IFERROR(__xludf.DUMMYFUNCTION("IF(ISBLANK(J10), ""Input test step"", ARRAYFORMULA(TEXTJOIN(CHAR(10), TRUE, (""Step ""&amp; ROW(INDIRECT(""1:"" &amp; COUNTA(SPLIT(J10, CHAR(10))))) &amp; "": "" &amp; TRANSPOSE(SPLIT(J10, CHAR(10)))))))"),"Step 1: Đăng nhập vào tài khoản 
Step 2: Chọn mục Cá nhân
Step 3: Kiểm tra màu sắc, kích thước, cỡ chữ và icon")</f>
        <v>Step 1: Đăng nhập vào tài khoản 
Step 2: Chọn mục Cá nhân
Step 3: Kiểm tra màu sắc, kích thước, cỡ chữ và icon</v>
      </c>
      <c r="L10" s="66"/>
      <c r="M10" s="12" t="s">
        <v>1745</v>
      </c>
      <c r="N10" s="12" t="s">
        <v>1745</v>
      </c>
      <c r="O10" s="30" t="s">
        <v>1</v>
      </c>
      <c r="P10" s="81"/>
    </row>
    <row r="11">
      <c r="A11" s="28"/>
      <c r="B11" s="28"/>
      <c r="C11" s="28"/>
      <c r="D11" s="28"/>
      <c r="E11" s="18"/>
      <c r="F11" s="12" t="s">
        <v>1765</v>
      </c>
      <c r="G11" s="56"/>
      <c r="H11" s="30" t="s">
        <v>1766</v>
      </c>
      <c r="I11" s="12" t="s">
        <v>1734</v>
      </c>
      <c r="J11" s="12" t="s">
        <v>1744</v>
      </c>
      <c r="K11" s="65" t="str">
        <f>IFERROR(__xludf.DUMMYFUNCTION("IF(ISBLANK(J11), ""Input test step"", ARRAYFORMULA(TEXTJOIN(CHAR(10), TRUE, (""Step ""&amp; ROW(INDIRECT(""1:"" &amp; COUNTA(SPLIT(J11, CHAR(10))))) &amp; "": "" &amp; TRANSPOSE(SPLIT(J11, CHAR(10)))))))"),"Step 1: Đăng nhập vào tài khoản 
Step 2: Chọn mục Cá nhân
Step 3: Kiểm tra màu sắc, kích thước, cỡ chữ và icon")</f>
        <v>Step 1: Đăng nhập vào tài khoản 
Step 2: Chọn mục Cá nhân
Step 3: Kiểm tra màu sắc, kích thước, cỡ chữ và icon</v>
      </c>
      <c r="L11" s="66"/>
      <c r="M11" s="12" t="s">
        <v>1745</v>
      </c>
      <c r="N11" s="12" t="s">
        <v>1745</v>
      </c>
      <c r="O11" s="30" t="s">
        <v>1</v>
      </c>
      <c r="P11" s="81"/>
    </row>
    <row r="12">
      <c r="A12" s="28"/>
      <c r="B12" s="28"/>
      <c r="C12" s="28"/>
      <c r="D12" s="28"/>
      <c r="E12" s="18"/>
      <c r="F12" s="12"/>
      <c r="G12" s="56"/>
      <c r="H12" s="30" t="s">
        <v>1767</v>
      </c>
      <c r="I12" s="12" t="s">
        <v>1734</v>
      </c>
      <c r="J12" s="12" t="s">
        <v>1768</v>
      </c>
      <c r="K12" s="65" t="str">
        <f>IFERROR(__xludf.DUMMYFUNCTION("IF(ISBLANK(J12), ""Input test step"", ARRAYFORMULA(TEXTJOIN(CHAR(10), TRUE, (""Step ""&amp; ROW(INDIRECT(""1:"" &amp; COUNTA(SPLIT(J12, CHAR(10))))) &amp; "": "" &amp; TRANSPOSE(SPLIT(J12, CHAR(10)))))))"),"Step 1: Đăng nhập vào tài khoản 
Step 2: Chọn mục Cá nhân
Step 3: Kiểm tra khi nhấn vào icon "" Chờ thanh toán ""  để chuyển sang màn hình Lịch sử đơn hàng - trạng thái chờ xác nhận ")</f>
        <v>Step 1: Đăng nhập vào tài khoản 
Step 2: Chọn mục Cá nhân
Step 3: Kiểm tra khi nhấn vào icon " Chờ thanh toán "  để chuyển sang màn hình Lịch sử đơn hàng - trạng thái chờ xác nhận </v>
      </c>
      <c r="L12" s="66"/>
      <c r="M12" s="12" t="s">
        <v>1769</v>
      </c>
      <c r="N12" s="12" t="s">
        <v>1770</v>
      </c>
      <c r="O12" s="30" t="s">
        <v>2</v>
      </c>
      <c r="P12" s="81"/>
    </row>
    <row r="13">
      <c r="A13" s="28"/>
      <c r="B13" s="28"/>
      <c r="C13" s="28"/>
      <c r="D13" s="28"/>
      <c r="E13" s="18"/>
      <c r="F13" s="12"/>
      <c r="G13" s="56"/>
      <c r="H13" s="30" t="s">
        <v>1771</v>
      </c>
      <c r="I13" s="12" t="s">
        <v>1734</v>
      </c>
      <c r="J13" s="12" t="s">
        <v>1772</v>
      </c>
      <c r="K13" s="65" t="str">
        <f>IFERROR(__xludf.DUMMYFUNCTION("IF(ISBLANK(J13), ""Input test step"", ARRAYFORMULA(TEXTJOIN(CHAR(10), TRUE, (""Step ""&amp; ROW(INDIRECT(""1:"" &amp; COUNTA(SPLIT(J13, CHAR(10))))) &amp; "": "" &amp; TRANSPOSE(SPLIT(J13, CHAR(10)))))))"),"Step 1: Đăng nhập vào tài khoản 
Step 2: Chọn mục Cá nhân
Step 3: Kiểm tra khi nhấn vào icon "" Đang xử lý""  để chuyển sang màn hình Lịch sử đơn hàng - trạng thái Đang xử lý")</f>
        <v>Step 1: Đăng nhập vào tài khoản 
Step 2: Chọn mục Cá nhân
Step 3: Kiểm tra khi nhấn vào icon " Đang xử lý"  để chuyển sang màn hình Lịch sử đơn hàng - trạng thái Đang xử lý</v>
      </c>
      <c r="L13" s="66"/>
      <c r="M13" s="12" t="s">
        <v>1773</v>
      </c>
      <c r="N13" s="12" t="s">
        <v>1770</v>
      </c>
      <c r="O13" s="30" t="s">
        <v>2</v>
      </c>
      <c r="P13" s="81"/>
    </row>
    <row r="14">
      <c r="A14" s="28"/>
      <c r="B14" s="28"/>
      <c r="C14" s="28"/>
      <c r="D14" s="28"/>
      <c r="E14" s="18"/>
      <c r="F14" s="12"/>
      <c r="G14" s="56"/>
      <c r="H14" s="30" t="s">
        <v>1774</v>
      </c>
      <c r="I14" s="12" t="s">
        <v>1734</v>
      </c>
      <c r="J14" s="12" t="s">
        <v>1775</v>
      </c>
      <c r="K14" s="65" t="str">
        <f>IFERROR(__xludf.DUMMYFUNCTION("IF(ISBLANK(J14), ""Input test step"", ARRAYFORMULA(TEXTJOIN(CHAR(10), TRUE, (""Step ""&amp; ROW(INDIRECT(""1:"" &amp; COUNTA(SPLIT(J14, CHAR(10))))) &amp; "": "" &amp; TRANSPOSE(SPLIT(J14, CHAR(10)))))))"),"Step 1: Đăng nhập vào tài khoản 
Step 2: Chọn mục Cá nhân
Step 3: Kiểm tra khi nhấn vào icon "" Đang giao ""  để chuyển sang màn hình Lịch sử đơn hàng - trạng thái Đang giao ")</f>
        <v>Step 1: Đăng nhập vào tài khoản 
Step 2: Chọn mục Cá nhân
Step 3: Kiểm tra khi nhấn vào icon " Đang giao "  để chuyển sang màn hình Lịch sử đơn hàng - trạng thái Đang giao </v>
      </c>
      <c r="L14" s="66"/>
      <c r="M14" s="12" t="s">
        <v>1776</v>
      </c>
      <c r="N14" s="12" t="s">
        <v>1770</v>
      </c>
      <c r="O14" s="30" t="s">
        <v>2</v>
      </c>
      <c r="P14" s="81"/>
    </row>
    <row r="15">
      <c r="A15" s="28"/>
      <c r="B15" s="28"/>
      <c r="C15" s="28"/>
      <c r="D15" s="28"/>
      <c r="E15" s="18"/>
      <c r="F15" s="12"/>
      <c r="G15" s="56"/>
      <c r="H15" s="30" t="s">
        <v>1777</v>
      </c>
      <c r="I15" s="12" t="s">
        <v>1734</v>
      </c>
      <c r="J15" s="12" t="s">
        <v>1778</v>
      </c>
      <c r="K15" s="65" t="str">
        <f>IFERROR(__xludf.DUMMYFUNCTION("IF(ISBLANK(J15), ""Input test step"", ARRAYFORMULA(TEXTJOIN(CHAR(10), TRUE, (""Step ""&amp; ROW(INDIRECT(""1:"" &amp; COUNTA(SPLIT(J15, CHAR(10))))) &amp; "": "" &amp; TRANSPOSE(SPLIT(J15, CHAR(10)))))))"),"Step 1: Đăng nhập vào tài khoản 
Step 2: Chọn mục Cá nhân
Step 3: Kiểm tra khi nhấn vào icon "" Đã hoàn thành ""  để chuyển sang màn hình Lịch sử đơn hàng - trạng thái Đã giao")</f>
        <v>Step 1: Đăng nhập vào tài khoản 
Step 2: Chọn mục Cá nhân
Step 3: Kiểm tra khi nhấn vào icon " Đã hoàn thành "  để chuyển sang màn hình Lịch sử đơn hàng - trạng thái Đã giao</v>
      </c>
      <c r="L15" s="66"/>
      <c r="M15" s="12" t="s">
        <v>1779</v>
      </c>
      <c r="N15" s="12" t="s">
        <v>1770</v>
      </c>
      <c r="O15" s="30" t="s">
        <v>2</v>
      </c>
      <c r="P15" s="81"/>
    </row>
    <row r="16">
      <c r="A16" s="28"/>
      <c r="B16" s="28"/>
      <c r="C16" s="28"/>
      <c r="D16" s="28"/>
      <c r="E16" s="18"/>
      <c r="F16" s="12" t="s">
        <v>1780</v>
      </c>
      <c r="G16" s="56"/>
      <c r="H16" s="30" t="s">
        <v>1781</v>
      </c>
      <c r="I16" s="12" t="s">
        <v>1734</v>
      </c>
      <c r="J16" s="12" t="s">
        <v>1744</v>
      </c>
      <c r="K16" s="65" t="str">
        <f>IFERROR(__xludf.DUMMYFUNCTION("IF(ISBLANK(J16), ""Input test step"", ARRAYFORMULA(TEXTJOIN(CHAR(10), TRUE, (""Step ""&amp; ROW(INDIRECT(""1:"" &amp; COUNTA(SPLIT(J16, CHAR(10))))) &amp; "": "" &amp; TRANSPOSE(SPLIT(J16, CHAR(10)))))))"),"Step 1: Đăng nhập vào tài khoản 
Step 2: Chọn mục Cá nhân
Step 3: Kiểm tra màu sắc, kích thước, cỡ chữ và icon")</f>
        <v>Step 1: Đăng nhập vào tài khoản 
Step 2: Chọn mục Cá nhân
Step 3: Kiểm tra màu sắc, kích thước, cỡ chữ và icon</v>
      </c>
      <c r="L16" s="66"/>
      <c r="M16" s="12" t="s">
        <v>1745</v>
      </c>
      <c r="N16" s="12" t="s">
        <v>1745</v>
      </c>
      <c r="O16" s="30" t="s">
        <v>1</v>
      </c>
      <c r="P16" s="81"/>
    </row>
    <row r="17">
      <c r="A17" s="26"/>
      <c r="B17" s="27"/>
      <c r="C17" s="28"/>
      <c r="D17" s="28"/>
      <c r="E17" s="18"/>
      <c r="F17" s="12" t="s">
        <v>1782</v>
      </c>
      <c r="G17" s="56"/>
      <c r="H17" s="12" t="s">
        <v>1783</v>
      </c>
      <c r="I17" s="12" t="s">
        <v>1734</v>
      </c>
      <c r="J17" s="12" t="s">
        <v>1784</v>
      </c>
      <c r="K17" s="65" t="str">
        <f>IFERROR(__xludf.DUMMYFUNCTION("IF(ISBLANK(J17), ""Input test step"", ARRAYFORMULA(TEXTJOIN(CHAR(10), TRUE, (""Step ""&amp; ROW(INDIRECT(""1:"" &amp; COUNTA(SPLIT(J17, CHAR(10))))) &amp; "": "" &amp; TRANSPOSE(SPLIT(J17, CHAR(10)))))))"),"Step 1: Đăng nhập vào tài khoản 
Step 2: Chọn mục Cá nhân
Step 3: Kiểm tra màu sắc, kích thước, cỡ chữ ,icon và số tiền hiển thị")</f>
        <v>Step 1: Đăng nhập vào tài khoản 
Step 2: Chọn mục Cá nhân
Step 3: Kiểm tra màu sắc, kích thước, cỡ chữ ,icon và số tiền hiển thị</v>
      </c>
      <c r="L17" s="14"/>
      <c r="M17" s="12" t="s">
        <v>1745</v>
      </c>
      <c r="N17" s="12" t="s">
        <v>1745</v>
      </c>
      <c r="O17" s="12" t="s">
        <v>1</v>
      </c>
      <c r="P17" s="19"/>
    </row>
    <row r="18">
      <c r="A18" s="26"/>
      <c r="B18" s="27"/>
      <c r="C18" s="28"/>
      <c r="D18" s="28"/>
      <c r="E18" s="18"/>
      <c r="F18" s="12" t="s">
        <v>1785</v>
      </c>
      <c r="G18" s="57"/>
      <c r="H18" s="12" t="s">
        <v>1786</v>
      </c>
      <c r="I18" s="12" t="s">
        <v>1734</v>
      </c>
      <c r="J18" s="12" t="s">
        <v>1744</v>
      </c>
      <c r="K18" s="65" t="str">
        <f>IFERROR(__xludf.DUMMYFUNCTION("IF(ISBLANK(J18), ""Input test step"", ARRAYFORMULA(TEXTJOIN(CHAR(10), TRUE, (""Step ""&amp; ROW(INDIRECT(""1:"" &amp; COUNTA(SPLIT(J18, CHAR(10))))) &amp; "": "" &amp; TRANSPOSE(SPLIT(J18, CHAR(10)))))))"),"Step 1: Đăng nhập vào tài khoản 
Step 2: Chọn mục Cá nhân
Step 3: Kiểm tra màu sắc, kích thước, cỡ chữ và icon")</f>
        <v>Step 1: Đăng nhập vào tài khoản 
Step 2: Chọn mục Cá nhân
Step 3: Kiểm tra màu sắc, kích thước, cỡ chữ và icon</v>
      </c>
      <c r="L18" s="14"/>
      <c r="M18" s="12" t="s">
        <v>1745</v>
      </c>
      <c r="N18" s="12" t="s">
        <v>1745</v>
      </c>
      <c r="O18" s="12" t="s">
        <v>1</v>
      </c>
      <c r="P18" s="19"/>
    </row>
    <row r="19">
      <c r="C19" s="28"/>
      <c r="D19" s="28"/>
      <c r="E19" s="18"/>
      <c r="F19" s="12"/>
      <c r="G19" s="55" t="s">
        <v>1787</v>
      </c>
      <c r="H19" s="12" t="s">
        <v>1788</v>
      </c>
      <c r="I19" s="12" t="s">
        <v>1789</v>
      </c>
      <c r="J19" s="12" t="s">
        <v>1790</v>
      </c>
      <c r="K19" s="65" t="str">
        <f>IFERROR(__xludf.DUMMYFUNCTION("IF(ISBLANK(J19), ""Input test step"", ARRAYFORMULA(TEXTJOIN(CHAR(10), TRUE, (""Step ""&amp; ROW(INDIRECT(""1:"" &amp; COUNTA(SPLIT(J19, CHAR(10))))) &amp; "": "" &amp; TRANSPOSE(SPLIT(J19, CHAR(10)))))))"),"Step 1: Đăng nhập vào tài khoản 
Step 2: Chọn mục Cá nhân
Step 3: Chọn Chỉnh sửa thông tin --&gt; tại  màn hình chỉnh sửa thông tin kiểm tra các trường Thông tin cá nhân")</f>
        <v>Step 1: Đăng nhập vào tài khoản 
Step 2: Chọn mục Cá nhân
Step 3: Chọn Chỉnh sửa thông tin --&gt; tại  màn hình chỉnh sửa thông tin kiểm tra các trường Thông tin cá nhân</v>
      </c>
      <c r="L19" s="14"/>
      <c r="M19" s="12" t="s">
        <v>1791</v>
      </c>
      <c r="N19" s="12" t="s">
        <v>1791</v>
      </c>
      <c r="O19" s="12" t="s">
        <v>1</v>
      </c>
      <c r="P19" s="19"/>
    </row>
    <row r="20">
      <c r="C20" s="28"/>
      <c r="D20" s="28"/>
      <c r="E20" s="18"/>
      <c r="F20" s="12"/>
      <c r="G20" s="56"/>
      <c r="H20" s="12" t="s">
        <v>1752</v>
      </c>
      <c r="I20" s="12" t="s">
        <v>1789</v>
      </c>
      <c r="J20" s="12" t="s">
        <v>1792</v>
      </c>
      <c r="K20" s="65" t="str">
        <f>IFERROR(__xludf.DUMMYFUNCTION("IF(ISBLANK(J20), ""Input test step"", ARRAYFORMULA(TEXTJOIN(CHAR(10), TRUE, (""Step ""&amp; ROW(INDIRECT(""1:"" &amp; COUNTA(SPLIT(J20, CHAR(10))))) &amp; "": "" &amp; TRANSPOSE(SPLIT(J20, CHAR(10)))))))"),"Step 1: Đăng nhập vào tài khoản 
Step 2: Chọn mục Cá nhân
Step 3: Chọn Chỉnh sửa thông tin --&gt; tại  màn hình chỉnh sửa thông tin kiểm tra khoảng cách giữa các ô với nhau")</f>
        <v>Step 1: Đăng nhập vào tài khoản 
Step 2: Chọn mục Cá nhân
Step 3: Chọn Chỉnh sửa thông tin --&gt; tại  màn hình chỉnh sửa thông tin kiểm tra khoảng cách giữa các ô với nhau</v>
      </c>
      <c r="L20" s="14"/>
      <c r="M20" s="12" t="s">
        <v>1793</v>
      </c>
      <c r="N20" s="12" t="s">
        <v>1794</v>
      </c>
      <c r="O20" s="12" t="s">
        <v>2</v>
      </c>
      <c r="P20" s="19"/>
    </row>
    <row r="21">
      <c r="C21" s="28"/>
      <c r="D21" s="28"/>
      <c r="E21" s="18"/>
      <c r="F21" s="12"/>
      <c r="G21" s="56"/>
      <c r="H21" s="12" t="s">
        <v>1795</v>
      </c>
      <c r="I21" s="12" t="s">
        <v>1789</v>
      </c>
      <c r="J21" s="12" t="s">
        <v>1796</v>
      </c>
      <c r="K21" s="65" t="str">
        <f>IFERROR(__xludf.DUMMYFUNCTION("IF(ISBLANK(J21), ""Input test step"", ARRAYFORMULA(TEXTJOIN(CHAR(10), TRUE, (""Step ""&amp; ROW(INDIRECT(""1:"" &amp; COUNTA(SPLIT(J21, CHAR(10))))) &amp; "": "" &amp; TRANSPOSE(SPLIT(J21, CHAR(10)))))))"),"Step 1: Đăng nhập vào tài khoản 
Step 2: Chọn mục Cá nhân
Step 3: Chọn Chỉnh sửa thông tin --&gt; tại  màn hình chỉnh sửa thông tin  chọn ngày sinh
Step 4: Kiểm tra thanh header "" Chọn ngày "" ( đúng màu sắc, kích thước, cỡ chữ )")</f>
        <v>Step 1: Đăng nhập vào tài khoản 
Step 2: Chọn mục Cá nhân
Step 3: Chọn Chỉnh sửa thông tin --&gt; tại  màn hình chỉnh sửa thông tin  chọn ngày sinh
Step 4: Kiểm tra thanh header " Chọn ngày " ( đúng màu sắc, kích thước, cỡ chữ )</v>
      </c>
      <c r="L21" s="14"/>
      <c r="M21" s="12" t="s">
        <v>1797</v>
      </c>
      <c r="N21" s="12" t="s">
        <v>1798</v>
      </c>
      <c r="O21" s="12" t="s">
        <v>2</v>
      </c>
      <c r="P21" s="19"/>
    </row>
    <row r="22">
      <c r="C22" s="28"/>
      <c r="D22" s="28"/>
      <c r="E22" s="18"/>
      <c r="F22" s="12"/>
      <c r="G22" s="82"/>
      <c r="H22" s="12" t="s">
        <v>1799</v>
      </c>
      <c r="I22" s="12" t="s">
        <v>1789</v>
      </c>
      <c r="J22" s="12" t="s">
        <v>1800</v>
      </c>
      <c r="K22" s="65" t="str">
        <f>IFERROR(__xludf.DUMMYFUNCTION("IF(ISBLANK(J22), ""Input test step"", ARRAYFORMULA(TEXTJOIN(CHAR(10), TRUE, (""Step ""&amp; ROW(INDIRECT(""1:"" &amp; COUNTA(SPLIT(J22, CHAR(10))))) &amp; "": "" &amp; TRANSPOSE(SPLIT(J22, CHAR(10)))))))"),"Step 1: Đăng nhập vào tài khoản 
Step 2: Chọn mục Cá nhân
Step 3: Chọn Chỉnh sửa thông tin --&gt; tại  màn hình chỉnh sửa thông tin  chọn ngày sinh
Step 4: Kiểm tra layout "" Chọn ngày sinh """)</f>
        <v>Step 1: Đăng nhập vào tài khoản 
Step 2: Chọn mục Cá nhân
Step 3: Chọn Chỉnh sửa thông tin --&gt; tại  màn hình chỉnh sửa thông tin  chọn ngày sinh
Step 4: Kiểm tra layout " Chọn ngày sinh "</v>
      </c>
      <c r="L22" s="14"/>
      <c r="M22" s="12" t="s">
        <v>1801</v>
      </c>
      <c r="N22" s="12" t="s">
        <v>1802</v>
      </c>
      <c r="O22" s="12" t="s">
        <v>2</v>
      </c>
      <c r="P22" s="19"/>
    </row>
    <row r="23">
      <c r="C23" s="28"/>
      <c r="D23" s="28"/>
      <c r="E23" s="18"/>
      <c r="F23" s="12" t="s">
        <v>1803</v>
      </c>
      <c r="G23" s="55" t="s">
        <v>1804</v>
      </c>
      <c r="H23" s="12" t="s">
        <v>1805</v>
      </c>
      <c r="I23" s="12" t="s">
        <v>1734</v>
      </c>
      <c r="J23" s="12" t="s">
        <v>1806</v>
      </c>
      <c r="K23" s="13" t="str">
        <f>IFERROR(__xludf.DUMMYFUNCTION("IF(ISBLANK(J23), ""Input test step"", ARRAYFORMULA(TEXTJOIN(CHAR(10), TRUE, (""Step ""&amp; ROW(INDIRECT(""1:"" &amp; COUNTA(SPLIT(J23, CHAR(10))))) &amp; "": "" &amp; TRANSPOSE(SPLIT(J23, CHAR(10)))))))"),"Step 1: Đăng nhập vào tài khoản
Step 2: Chọn tab Cá nhân 
Step 3: Chọn chỉnh sửa thông tin")</f>
        <v>Step 1: Đăng nhập vào tài khoản
Step 2: Chọn tab Cá nhân 
Step 3: Chọn chỉnh sửa thông tin</v>
      </c>
      <c r="L23" s="14"/>
      <c r="M23" s="12" t="s">
        <v>1807</v>
      </c>
      <c r="N23" s="12" t="s">
        <v>1808</v>
      </c>
      <c r="O23" s="12" t="s">
        <v>2</v>
      </c>
      <c r="P23" s="19"/>
    </row>
    <row r="24">
      <c r="A24" s="28"/>
      <c r="B24" s="28"/>
      <c r="C24" s="28"/>
      <c r="D24" s="28"/>
      <c r="E24" s="18"/>
      <c r="F24" s="12" t="s">
        <v>1809</v>
      </c>
      <c r="G24" s="56"/>
      <c r="H24" s="73" t="s">
        <v>1810</v>
      </c>
      <c r="I24" s="12" t="s">
        <v>1811</v>
      </c>
      <c r="J24" s="12" t="s">
        <v>1812</v>
      </c>
      <c r="K24" s="13" t="str">
        <f>IFERROR(__xludf.DUMMYFUNCTION("IF(ISBLANK(J24), ""Input test step"", ARRAYFORMULA(TEXTJOIN(CHAR(10), TRUE, (""Step ""&amp; ROW(INDIRECT(""1:"" &amp; COUNTA(SPLIT(J24, CHAR(10))))) &amp; "": "" &amp; TRANSPOSE(SPLIT(J24, CHAR(10)))))))"),"Step 1: Đăng nhập vào tài khoản
Step 2: Chọn tab Cá nhân 
Step 3: Chọn chỉnh sửa thông tin 
Step 4: Kiểm tra ảnh đại diện")</f>
        <v>Step 1: Đăng nhập vào tài khoản
Step 2: Chọn tab Cá nhân 
Step 3: Chọn chỉnh sửa thông tin 
Step 4: Kiểm tra ảnh đại diện</v>
      </c>
      <c r="L24" s="14"/>
      <c r="M24" s="73" t="s">
        <v>1813</v>
      </c>
      <c r="N24" s="12" t="s">
        <v>1814</v>
      </c>
      <c r="O24" s="12" t="s">
        <v>2</v>
      </c>
      <c r="P24" s="19"/>
    </row>
    <row r="25">
      <c r="A25" s="28"/>
      <c r="B25" s="28"/>
      <c r="C25" s="28"/>
      <c r="D25" s="28"/>
      <c r="E25" s="18"/>
      <c r="F25" s="12" t="s">
        <v>1815</v>
      </c>
      <c r="G25" s="56"/>
      <c r="H25" s="73" t="s">
        <v>1816</v>
      </c>
      <c r="I25" s="12" t="s">
        <v>1811</v>
      </c>
      <c r="J25" s="12" t="s">
        <v>1817</v>
      </c>
      <c r="K25" s="13" t="str">
        <f>IFERROR(__xludf.DUMMYFUNCTION("IF(ISBLANK(J25), ""Input test step"", ARRAYFORMULA(TEXTJOIN(CHAR(10), TRUE, (""Step ""&amp; ROW(INDIRECT(""1:"" &amp; COUNTA(SPLIT(J25, CHAR(10))))) &amp; "": "" &amp; TRANSPOSE(SPLIT(J25, CHAR(10)))))))"),"Step 1: Đăng nhập vào tài khoản
Step 2: Chọn tab Cá nhân 
Step 3: Quan sát thông tin cá nhân hiển thị")</f>
        <v>Step 1: Đăng nhập vào tài khoản
Step 2: Chọn tab Cá nhân 
Step 3: Quan sát thông tin cá nhân hiển thị</v>
      </c>
      <c r="L25" s="14"/>
      <c r="M25" s="73" t="s">
        <v>1818</v>
      </c>
      <c r="N25" s="73" t="s">
        <v>1818</v>
      </c>
      <c r="O25" s="12" t="s">
        <v>1</v>
      </c>
      <c r="P25" s="19"/>
    </row>
    <row r="26">
      <c r="A26" s="28"/>
      <c r="B26" s="28"/>
      <c r="C26" s="28"/>
      <c r="D26" s="28"/>
      <c r="E26" s="18"/>
      <c r="F26" s="12" t="s">
        <v>1819</v>
      </c>
      <c r="G26" s="56"/>
      <c r="H26" s="45" t="s">
        <v>1820</v>
      </c>
      <c r="I26" s="12" t="s">
        <v>1811</v>
      </c>
      <c r="J26" s="12" t="s">
        <v>1821</v>
      </c>
      <c r="K26" s="13" t="str">
        <f>IFERROR(__xludf.DUMMYFUNCTION("IF(ISBLANK(J26), ""Input test step"", ARRAYFORMULA(TEXTJOIN(CHAR(10), TRUE, (""Step ""&amp; ROW(INDIRECT(""1:"" &amp; COUNTA(SPLIT(J26, CHAR(10))))) &amp; "": "" &amp; TRANSPOSE(SPLIT(J26, CHAR(10)))))))"),"Step 1: Đăng nhập vào tài khoản
Step 2: Chọn tab Cá nhân 
Step 3: Chọn chỉnh  sửa  thông tin 
Step 4: Quan sát trường họ và tên")</f>
        <v>Step 1: Đăng nhập vào tài khoản
Step 2: Chọn tab Cá nhân 
Step 3: Chọn chỉnh  sửa  thông tin 
Step 4: Quan sát trường họ và tên</v>
      </c>
      <c r="L26" s="14"/>
      <c r="M26" s="73" t="s">
        <v>1822</v>
      </c>
      <c r="N26" s="73" t="s">
        <v>1822</v>
      </c>
      <c r="O26" s="12" t="s">
        <v>1</v>
      </c>
      <c r="P26" s="32"/>
    </row>
    <row r="27">
      <c r="A27" s="28"/>
      <c r="B27" s="28"/>
      <c r="C27" s="28"/>
      <c r="D27" s="28"/>
      <c r="E27" s="18"/>
      <c r="F27" s="12" t="s">
        <v>1823</v>
      </c>
      <c r="G27" s="56"/>
      <c r="H27" s="12" t="s">
        <v>1824</v>
      </c>
      <c r="I27" s="12" t="s">
        <v>1811</v>
      </c>
      <c r="J27" s="12" t="s">
        <v>1825</v>
      </c>
      <c r="K27" s="13" t="str">
        <f>IFERROR(__xludf.DUMMYFUNCTION("IF(ISBLANK(J27), ""Input test step"", ARRAYFORMULA(TEXTJOIN(CHAR(10), TRUE, (""Step ""&amp; ROW(INDIRECT(""1:"" &amp; COUNTA(SPLIT(J27, CHAR(10))))) &amp; "": "" &amp; TRANSPOSE(SPLIT(J27, CHAR(10)))))))"),"Step 1: Đăng nhập vào tài khoản
Step 2: Chọn tab Cá nhân 
Step 3: Chọn chỉnh  sửa  thông tin 
Step 4: Nhấn vào ô chỉnh sửa họ và tên 
Step 5: Nhập họ và tên mới hợp lệ 
Step 6: Nhấn "" Lưu thay đổi """)</f>
        <v>Step 1: Đăng nhập vào tài khoản
Step 2: Chọn tab Cá nhân 
Step 3: Chọn chỉnh  sửa  thông tin 
Step 4: Nhấn vào ô chỉnh sửa họ và tên 
Step 5: Nhập họ và tên mới hợp lệ 
Step 6: Nhấn " Lưu thay đổi "</v>
      </c>
      <c r="L27" s="33"/>
      <c r="M27" s="73" t="s">
        <v>1826</v>
      </c>
      <c r="N27" s="73" t="s">
        <v>1826</v>
      </c>
      <c r="O27" s="12" t="s">
        <v>1</v>
      </c>
      <c r="P27" s="32"/>
    </row>
    <row r="28">
      <c r="A28" s="28"/>
      <c r="B28" s="28"/>
      <c r="C28" s="28"/>
      <c r="D28" s="28"/>
      <c r="E28" s="18"/>
      <c r="F28" s="12" t="s">
        <v>1827</v>
      </c>
      <c r="G28" s="56"/>
      <c r="H28" s="73" t="s">
        <v>1828</v>
      </c>
      <c r="I28" s="12" t="s">
        <v>1811</v>
      </c>
      <c r="J28" s="12" t="s">
        <v>1829</v>
      </c>
      <c r="K28" s="13" t="str">
        <f>IFERROR(__xludf.DUMMYFUNCTION("IF(ISBLANK(J28), ""Input test step"", ARRAYFORMULA(TEXTJOIN(CHAR(10), TRUE, (""Step ""&amp; ROW(INDIRECT(""1:"" &amp; COUNTA(SPLIT(J28, CHAR(10))))) &amp; "": "" &amp; TRANSPOSE(SPLIT(J28, CHAR(10)))))))"),"Step 1: Đăng nhập vào tài khoản
Step 2: Chọn tab Cá nhân 
Step 3: Chọn chỉnh  sửa  thông tin 
Step 4: Nhấn vào ô chỉnh sửa họ và tên 
Step 5: Nhập ký tự đặc biệt 
Step 6: Nhấn "" Lưu thay đổi """)</f>
        <v>Step 1: Đăng nhập vào tài khoản
Step 2: Chọn tab Cá nhân 
Step 3: Chọn chỉnh  sửa  thông tin 
Step 4: Nhấn vào ô chỉnh sửa họ và tên 
Step 5: Nhập ký tự đặc biệt 
Step 6: Nhấn " Lưu thay đổi "</v>
      </c>
      <c r="L28" s="33"/>
      <c r="M28" s="52" t="s">
        <v>1830</v>
      </c>
      <c r="N28" s="31"/>
      <c r="O28" s="12"/>
      <c r="P28" s="32"/>
    </row>
    <row r="29">
      <c r="A29" s="28"/>
      <c r="B29" s="28"/>
      <c r="C29" s="28"/>
      <c r="D29" s="28"/>
      <c r="E29" s="18"/>
      <c r="F29" s="12" t="s">
        <v>1831</v>
      </c>
      <c r="G29" s="56"/>
      <c r="H29" s="45" t="s">
        <v>1832</v>
      </c>
      <c r="I29" s="12" t="s">
        <v>1811</v>
      </c>
      <c r="J29" s="12" t="s">
        <v>1833</v>
      </c>
      <c r="K29" s="13" t="str">
        <f>IFERROR(__xludf.DUMMYFUNCTION("IF(ISBLANK(J29), ""Input test step"", ARRAYFORMULA(TEXTJOIN(CHAR(10), TRUE, (""Step ""&amp; ROW(INDIRECT(""1:"" &amp; COUNTA(SPLIT(J29, CHAR(10))))) &amp; "": "" &amp; TRANSPOSE(SPLIT(J29, CHAR(10)))))))"),"Step 1: Đăng nhập vào tài khoản
Step 2: Chọn tab Cá nhân 
Step 3: Chọn chỉnh  sửa  thông tin 
Step 4: Nhấn vào ô chỉnh sửa họ và tên 
Step 5: Để trống ô Họ và tên
Step 6: Nhấn "" Lưu thay đổi """)</f>
        <v>Step 1: Đăng nhập vào tài khoản
Step 2: Chọn tab Cá nhân 
Step 3: Chọn chỉnh  sửa  thông tin 
Step 4: Nhấn vào ô chỉnh sửa họ và tên 
Step 5: Để trống ô Họ và tên
Step 6: Nhấn " Lưu thay đổi "</v>
      </c>
      <c r="L29" s="34"/>
      <c r="M29" s="73" t="s">
        <v>1834</v>
      </c>
      <c r="N29" s="31"/>
      <c r="O29" s="12"/>
      <c r="P29" s="32"/>
    </row>
    <row r="30">
      <c r="A30" s="28"/>
      <c r="B30" s="28"/>
      <c r="C30" s="28"/>
      <c r="D30" s="28"/>
      <c r="E30" s="18"/>
      <c r="F30" s="12" t="s">
        <v>1835</v>
      </c>
      <c r="G30" s="56"/>
      <c r="H30" s="12" t="s">
        <v>1836</v>
      </c>
      <c r="I30" s="12" t="s">
        <v>1811</v>
      </c>
      <c r="J30" s="12" t="s">
        <v>1837</v>
      </c>
      <c r="K30" s="13" t="str">
        <f>IFERROR(__xludf.DUMMYFUNCTION("IF(ISBLANK(J30), ""Input test step"", ARRAYFORMULA(TEXTJOIN(CHAR(10), TRUE, (""Step ""&amp; ROW(INDIRECT(""1:"" &amp; COUNTA(SPLIT(J30, CHAR(10))))) &amp; "": "" &amp; TRANSPOSE(SPLIT(J30, CHAR(10)))))))"),"Step 1: Đăng nhập vào tài khoản
Step 2: Chọn tab Cá nhân 
Step 3: Chọn chỉnh  sửa  thông tin 
Step 4: Nhấn vào ô chỉnh sửa họ và tên 
Step 5: Nhập max kí tự
Step 6: Nhấn "" Lưu thay đổi """)</f>
        <v>Step 1: Đăng nhập vào tài khoản
Step 2: Chọn tab Cá nhân 
Step 3: Chọn chỉnh  sửa  thông tin 
Step 4: Nhấn vào ô chỉnh sửa họ và tên 
Step 5: Nhập max kí tự
Step 6: Nhấn " Lưu thay đổi "</v>
      </c>
      <c r="L30" s="34"/>
      <c r="M30" s="73" t="s">
        <v>1838</v>
      </c>
      <c r="N30" s="31" t="s">
        <v>1839</v>
      </c>
      <c r="O30" s="12" t="s">
        <v>2</v>
      </c>
      <c r="P30" s="32"/>
    </row>
    <row r="31">
      <c r="C31" s="35"/>
      <c r="D31" s="35"/>
      <c r="E31" s="18"/>
      <c r="F31" s="12" t="s">
        <v>1840</v>
      </c>
      <c r="G31" s="56"/>
      <c r="H31" s="12" t="s">
        <v>1841</v>
      </c>
      <c r="I31" s="12" t="s">
        <v>1811</v>
      </c>
      <c r="J31" s="12" t="s">
        <v>1842</v>
      </c>
      <c r="K31" s="13" t="str">
        <f>IFERROR(__xludf.DUMMYFUNCTION("IF(ISBLANK(J31), ""Input test step"", ARRAYFORMULA(TEXTJOIN(CHAR(10), TRUE, (""Step ""&amp; ROW(INDIRECT(""1:"" &amp; COUNTA(SPLIT(J31, CHAR(10))))) &amp; "": "" &amp; TRANSPOSE(SPLIT(J31, CHAR(10)))))))"),"Step 1: Đăng nhập vào tài khoản
Step 2: Chọn tab Cá nhân 
Step 3: Chọn chỉnh  sửa  thông tin 
Step 4: Nhấn vào ô chỉnh sửa họ và tên 
Step 5: Nhập min kí tự
Step 6: Nhấn "" Lưu thay đổi """)</f>
        <v>Step 1: Đăng nhập vào tài khoản
Step 2: Chọn tab Cá nhân 
Step 3: Chọn chỉnh  sửa  thông tin 
Step 4: Nhấn vào ô chỉnh sửa họ và tên 
Step 5: Nhập min kí tự
Step 6: Nhấn " Lưu thay đổi "</v>
      </c>
      <c r="L31" s="34"/>
      <c r="M31" s="73" t="s">
        <v>1843</v>
      </c>
      <c r="N31" s="31"/>
      <c r="O31" s="12"/>
      <c r="P31" s="32"/>
    </row>
    <row r="32">
      <c r="A32" s="35"/>
      <c r="B32" s="35"/>
      <c r="C32" s="35"/>
      <c r="D32" s="35"/>
      <c r="E32" s="18"/>
      <c r="F32" s="12" t="s">
        <v>1844</v>
      </c>
      <c r="G32" s="56"/>
      <c r="H32" s="45" t="s">
        <v>1845</v>
      </c>
      <c r="I32" s="12" t="s">
        <v>1811</v>
      </c>
      <c r="J32" s="12" t="s">
        <v>1846</v>
      </c>
      <c r="K32" s="13" t="str">
        <f>IFERROR(__xludf.DUMMYFUNCTION("IF(ISBLANK(J32), ""Input test step"", ARRAYFORMULA(TEXTJOIN(CHAR(10), TRUE, (""Step ""&amp; ROW(INDIRECT(""1:"" &amp; COUNTA(SPLIT(J32, CHAR(10))))) &amp; "": "" &amp; TRANSPOSE(SPLIT(J32, CHAR(10)))))))"),"Step 1: Đăng nhập vào tài khoản
Step 2: Chọn tab Cá nhân 
Step 3: Chọn chỉnh  sửa  thông tin 
Step 4: Nhập họ và tên mới hợp lệ và nhấn "" Lưu thay đổi "" ")</f>
        <v>Step 1: Đăng nhập vào tài khoản
Step 2: Chọn tab Cá nhân 
Step 3: Chọn chỉnh  sửa  thông tin 
Step 4: Nhập họ và tên mới hợp lệ và nhấn " Lưu thay đổi " </v>
      </c>
      <c r="L32" s="34"/>
      <c r="M32" s="73" t="s">
        <v>1847</v>
      </c>
      <c r="N32" s="12"/>
      <c r="O32" s="12"/>
      <c r="P32" s="32"/>
    </row>
    <row r="33">
      <c r="A33" s="35"/>
      <c r="B33" s="35"/>
      <c r="C33" s="35"/>
      <c r="D33" s="35"/>
      <c r="E33" s="18"/>
      <c r="F33" s="12" t="s">
        <v>1848</v>
      </c>
      <c r="G33" s="56"/>
      <c r="H33" s="45" t="s">
        <v>1849</v>
      </c>
      <c r="I33" s="12" t="s">
        <v>1811</v>
      </c>
      <c r="J33" s="12" t="s">
        <v>1850</v>
      </c>
      <c r="K33" s="13" t="str">
        <f>IFERROR(__xludf.DUMMYFUNCTION("IF(ISBLANK(J33), ""Input test step"", ARRAYFORMULA(TEXTJOIN(CHAR(10), TRUE, (""Step ""&amp; ROW(INDIRECT(""1:"" &amp; COUNTA(SPLIT(J33, CHAR(10))))) &amp; "": "" &amp; TRANSPOSE(SPLIT(J33, CHAR(10)))))))"),"Step 1: Đăng nhập vào tài khoản
Step 2: Chọn tab Cá nhân 
Step 3: Chọn chỉnh  sửa  thông tin 
Step 4: Xoá họ và tên hiện tại 
Step 5: Nhấn "" Lưu thay đổi """)</f>
        <v>Step 1: Đăng nhập vào tài khoản
Step 2: Chọn tab Cá nhân 
Step 3: Chọn chỉnh  sửa  thông tin 
Step 4: Xoá họ và tên hiện tại 
Step 5: Nhấn " Lưu thay đổi "</v>
      </c>
      <c r="L33" s="34"/>
      <c r="M33" s="73" t="s">
        <v>1834</v>
      </c>
      <c r="N33" s="12"/>
      <c r="O33" s="12"/>
      <c r="P33" s="32"/>
    </row>
    <row r="34">
      <c r="A34" s="35"/>
      <c r="B34" s="35"/>
      <c r="C34" s="35"/>
      <c r="D34" s="35"/>
      <c r="E34" s="18"/>
      <c r="F34" s="12" t="s">
        <v>1851</v>
      </c>
      <c r="G34" s="56"/>
      <c r="H34" s="73" t="s">
        <v>1852</v>
      </c>
      <c r="I34" s="12" t="s">
        <v>1811</v>
      </c>
      <c r="J34" s="12" t="s">
        <v>1853</v>
      </c>
      <c r="K34" s="13" t="str">
        <f>IFERROR(__xludf.DUMMYFUNCTION("IF(ISBLANK(J34), ""Input test step"", ARRAYFORMULA(TEXTJOIN(CHAR(10), TRUE, (""Step ""&amp; ROW(INDIRECT(""1:"" &amp; COUNTA(SPLIT(J34, CHAR(10))))) &amp; "": "" &amp; TRANSPOSE(SPLIT(J34, CHAR(10)))))))"),"Step 1: Đăng nhập vào tài khoản
Step 2: Chọn tab Cá nhân 
Step 3: Chọn chỉnh  sửa  thông tin 
Step 4: Nhấn vào ô chỉnh sửa họ và tên 
Step 5: Nhập họ và tên mới 
Step 6: Nhấn "" Lưu thay đổi """)</f>
        <v>Step 1: Đăng nhập vào tài khoản
Step 2: Chọn tab Cá nhân 
Step 3: Chọn chỉnh  sửa  thông tin 
Step 4: Nhấn vào ô chỉnh sửa họ và tên 
Step 5: Nhập họ và tên mới 
Step 6: Nhấn " Lưu thay đổi "</v>
      </c>
      <c r="L34" s="34"/>
      <c r="M34" s="73" t="s">
        <v>1854</v>
      </c>
      <c r="N34" s="73" t="s">
        <v>1854</v>
      </c>
      <c r="O34" s="12" t="s">
        <v>1</v>
      </c>
      <c r="P34" s="32"/>
    </row>
    <row r="35">
      <c r="A35" s="36"/>
      <c r="B35" s="36"/>
      <c r="C35" s="36"/>
      <c r="D35" s="36"/>
      <c r="E35" s="27"/>
      <c r="F35" s="12" t="s">
        <v>1855</v>
      </c>
      <c r="G35" s="56"/>
      <c r="H35" s="52" t="s">
        <v>1856</v>
      </c>
      <c r="I35" s="12" t="s">
        <v>1811</v>
      </c>
      <c r="J35" s="12" t="s">
        <v>1857</v>
      </c>
      <c r="K35" s="13" t="str">
        <f>IFERROR(__xludf.DUMMYFUNCTION("IF(ISBLANK(J35), ""Input test step"", ARRAYFORMULA(TEXTJOIN(CHAR(10), TRUE, (""Step ""&amp; ROW(INDIRECT(""1:"" &amp; COUNTA(SPLIT(J35, CHAR(10))))) &amp; "": "" &amp; TRANSPOSE(SPLIT(J35, CHAR(10)))))))"),"Step 1: Đăng nhập vào tài khoản
Step 2: Chọn tab Cá nhân 
Step 3: Chọn chỉnh  sửa  thông tin 
Step 4: Nhấn vào ô chỉnh sửa họ và tên 
Step 5: nhưng không nhấn "" Lưu thay đổi "" 
Step 6: Quay lại trang trước")</f>
        <v>Step 1: Đăng nhập vào tài khoản
Step 2: Chọn tab Cá nhân 
Step 3: Chọn chỉnh  sửa  thông tin 
Step 4: Nhấn vào ô chỉnh sửa họ và tên 
Step 5: nhưng không nhấn " Lưu thay đổi " 
Step 6: Quay lại trang trước</v>
      </c>
      <c r="L35" s="14"/>
      <c r="M35" s="73" t="s">
        <v>1858</v>
      </c>
      <c r="N35" s="73" t="s">
        <v>1858</v>
      </c>
      <c r="O35" s="12" t="s">
        <v>1</v>
      </c>
      <c r="P35" s="32"/>
    </row>
    <row r="36">
      <c r="A36" s="36"/>
      <c r="B36" s="36"/>
      <c r="C36" s="36"/>
      <c r="D36" s="36"/>
      <c r="E36" s="27"/>
      <c r="F36" s="12" t="s">
        <v>1859</v>
      </c>
      <c r="G36" s="56"/>
      <c r="H36" s="45" t="s">
        <v>1860</v>
      </c>
      <c r="I36" s="12" t="s">
        <v>1811</v>
      </c>
      <c r="J36" s="12" t="s">
        <v>1861</v>
      </c>
      <c r="K36" s="13" t="str">
        <f>IFERROR(__xludf.DUMMYFUNCTION("IF(ISBLANK(J36), ""Input test step"", ARRAYFORMULA(TEXTJOIN(CHAR(10), TRUE, (""Step ""&amp; ROW(INDIRECT(""1:"" &amp; COUNTA(SPLIT(J36, CHAR(10))))) &amp; "": "" &amp; TRANSPOSE(SPLIT(J36, CHAR(10)))))))"),"Step 1: Đăng nhập vào tài khoản
Step 2: Chọn tab Cá nhân 
Step 3: Chọn chỉnh  sửa  thông tin 
Step 4: Quan  sát trường số điện thoại")</f>
        <v>Step 1: Đăng nhập vào tài khoản
Step 2: Chọn tab Cá nhân 
Step 3: Chọn chỉnh  sửa  thông tin 
Step 4: Quan  sát trường số điện thoại</v>
      </c>
      <c r="L36" s="14"/>
      <c r="M36" s="45" t="s">
        <v>1862</v>
      </c>
      <c r="N36" s="45" t="s">
        <v>1862</v>
      </c>
      <c r="O36" s="12" t="s">
        <v>1</v>
      </c>
      <c r="P36" s="32"/>
    </row>
    <row r="37">
      <c r="A37" s="36"/>
      <c r="B37" s="36"/>
      <c r="C37" s="36"/>
      <c r="D37" s="36"/>
      <c r="E37" s="27"/>
      <c r="F37" s="12" t="s">
        <v>1863</v>
      </c>
      <c r="G37" s="56"/>
      <c r="H37" s="45" t="s">
        <v>1864</v>
      </c>
      <c r="I37" s="12" t="s">
        <v>1811</v>
      </c>
      <c r="J37" s="12" t="s">
        <v>1865</v>
      </c>
      <c r="K37" s="13" t="str">
        <f>IFERROR(__xludf.DUMMYFUNCTION("IF(ISBLANK(J37), ""Input test step"", ARRAYFORMULA(TEXTJOIN(CHAR(10), TRUE, (""Step ""&amp; ROW(INDIRECT(""1:"" &amp; COUNTA(SPLIT(J37, CHAR(10))))) &amp; "": "" &amp; TRANSPOSE(SPLIT(J37, CHAR(10)))))))"),"Step 1: Đăng nhập vào tài khoản
Step 2: Chọn tab Cá nhân 
Step 3: Chọn chỉnh  sửa  thông tin 
Step 4: Nhấn vào ô số điện thoại 
Step 5: Nhập số điện thoại mới hợp lệ
Step 6: Nhấn "" Lưu thay đổi """)</f>
        <v>Step 1: Đăng nhập vào tài khoản
Step 2: Chọn tab Cá nhân 
Step 3: Chọn chỉnh  sửa  thông tin 
Step 4: Nhấn vào ô số điện thoại 
Step 5: Nhập số điện thoại mới hợp lệ
Step 6: Nhấn " Lưu thay đổi "</v>
      </c>
      <c r="L37" s="14"/>
      <c r="M37" s="73" t="s">
        <v>1866</v>
      </c>
      <c r="N37" s="73" t="s">
        <v>1866</v>
      </c>
      <c r="O37" s="12" t="s">
        <v>1</v>
      </c>
      <c r="P37" s="32"/>
    </row>
    <row r="38">
      <c r="A38" s="37"/>
      <c r="B38" s="37"/>
      <c r="C38" s="37"/>
      <c r="D38" s="37"/>
      <c r="E38" s="37"/>
      <c r="F38" s="12" t="s">
        <v>1867</v>
      </c>
      <c r="G38" s="56"/>
      <c r="H38" s="73" t="s">
        <v>1868</v>
      </c>
      <c r="I38" s="12" t="s">
        <v>1811</v>
      </c>
      <c r="J38" s="12" t="s">
        <v>1869</v>
      </c>
      <c r="K38" s="13" t="str">
        <f>IFERROR(__xludf.DUMMYFUNCTION("IF(ISBLANK(J38), ""Input test step"", ARRAYFORMULA(TEXTJOIN(CHAR(10), TRUE, (""Step ""&amp; ROW(INDIRECT(""1:"" &amp; COUNTA(SPLIT(J38, CHAR(10))))) &amp; "": "" &amp; TRANSPOSE(SPLIT(J38, CHAR(10)))))))"),"Step 1: Đăng nhập vào tài khoản
Step 2: Chọn tab Cá nhân 
Step 3: Chọn chỉnh  sửa  thông tin 
Step 4: Kiểm tra số điện thoại được lấy theo tài khoản cá nhân")</f>
        <v>Step 1: Đăng nhập vào tài khoản
Step 2: Chọn tab Cá nhân 
Step 3: Chọn chỉnh  sửa  thông tin 
Step 4: Kiểm tra số điện thoại được lấy theo tài khoản cá nhân</v>
      </c>
      <c r="L38" s="14"/>
      <c r="M38" s="12" t="s">
        <v>1870</v>
      </c>
      <c r="N38" s="12"/>
      <c r="O38" s="12"/>
      <c r="P38" s="38"/>
    </row>
    <row r="39">
      <c r="A39" s="37"/>
      <c r="B39" s="37"/>
      <c r="C39" s="37"/>
      <c r="D39" s="37"/>
      <c r="E39" s="37"/>
      <c r="F39" s="12" t="s">
        <v>1871</v>
      </c>
      <c r="G39" s="56"/>
      <c r="H39" s="73" t="s">
        <v>1856</v>
      </c>
      <c r="I39" s="12" t="s">
        <v>1811</v>
      </c>
      <c r="J39" s="12" t="s">
        <v>1872</v>
      </c>
      <c r="K39" s="13" t="str">
        <f>IFERROR(__xludf.DUMMYFUNCTION("IF(ISBLANK(J39), ""Input test step"", ARRAYFORMULA(TEXTJOIN(CHAR(10), TRUE, (""Step ""&amp; ROW(INDIRECT(""1:"" &amp; COUNTA(SPLIT(J39, CHAR(10))))) &amp; "": "" &amp; TRANSPOSE(SPLIT(J39, CHAR(10)))))))"),"Step 1: Đăng nhập vào tài khoản
Step 2: Chọn tab Cá nhân 
Step 3: Chọn chỉnh  sửa  thông tin 
Step 4: Nhấn vào ô số điện thoại 
Step 5: Chỉnh sửa số điện thoại nhưng không nhấn  "" Lưu thay đổi "" 
Step 6: Quay lại trang trước  ")</f>
        <v>Step 1: Đăng nhập vào tài khoản
Step 2: Chọn tab Cá nhân 
Step 3: Chọn chỉnh  sửa  thông tin 
Step 4: Nhấn vào ô số điện thoại 
Step 5: Chỉnh sửa số điện thoại nhưng không nhấn  " Lưu thay đổi " 
Step 6: Quay lại trang trước  </v>
      </c>
      <c r="L39" s="14"/>
      <c r="M39" s="73" t="s">
        <v>1873</v>
      </c>
      <c r="N39" s="12"/>
      <c r="O39" s="12"/>
      <c r="P39" s="38"/>
    </row>
    <row r="40">
      <c r="A40" s="37"/>
      <c r="B40" s="37"/>
      <c r="C40" s="37"/>
      <c r="D40" s="37"/>
      <c r="E40" s="37"/>
      <c r="F40" s="12" t="s">
        <v>1874</v>
      </c>
      <c r="G40" s="56"/>
      <c r="H40" s="45" t="s">
        <v>1875</v>
      </c>
      <c r="I40" s="12" t="s">
        <v>1811</v>
      </c>
      <c r="J40" s="12" t="s">
        <v>1876</v>
      </c>
      <c r="K40" s="13" t="str">
        <f>IFERROR(__xludf.DUMMYFUNCTION("IF(ISBLANK(J40), ""Input test step"", ARRAYFORMULA(TEXTJOIN(CHAR(10), TRUE, (""Step ""&amp; ROW(INDIRECT(""1:"" &amp; COUNTA(SPLIT(J40, CHAR(10))))) &amp; "": "" &amp; TRANSPOSE(SPLIT(J40, CHAR(10)))))))"),"Step 1: Đăng nhập vào tài khoản
Step 2: Chọn tab Cá nhân 
Step 3: Chọn chỉnh  sửa  thông tin 
Step 4: Quan sát trường email")</f>
        <v>Step 1: Đăng nhập vào tài khoản
Step 2: Chọn tab Cá nhân 
Step 3: Chọn chỉnh  sửa  thông tin 
Step 4: Quan sát trường _x001d_email</v>
      </c>
      <c r="L40" s="14"/>
      <c r="M40" s="83" t="s">
        <v>1877</v>
      </c>
      <c r="N40" s="45" t="s">
        <v>1877</v>
      </c>
      <c r="O40" s="12" t="s">
        <v>1</v>
      </c>
      <c r="P40" s="38"/>
    </row>
    <row r="41">
      <c r="A41" s="37"/>
      <c r="B41" s="37"/>
      <c r="C41" s="37"/>
      <c r="D41" s="37"/>
      <c r="E41" s="37"/>
      <c r="F41" s="12" t="s">
        <v>1878</v>
      </c>
      <c r="G41" s="56"/>
      <c r="H41" s="45" t="s">
        <v>1879</v>
      </c>
      <c r="I41" s="12" t="s">
        <v>1811</v>
      </c>
      <c r="J41" s="12" t="s">
        <v>1880</v>
      </c>
      <c r="K41" s="13" t="str">
        <f>IFERROR(__xludf.DUMMYFUNCTION("IF(ISBLANK(J41), ""Input test step"", ARRAYFORMULA(TEXTJOIN(CHAR(10), TRUE, (""Step ""&amp; ROW(INDIRECT(""1:"" &amp; COUNTA(SPLIT(J41, CHAR(10))))) &amp; "": "" &amp; TRANSPOSE(SPLIT(J41, CHAR(10)))))))"),"Step 1: Đăng nhập vào tài khoản
Step 2: Chọn tab Cá nhân 
Step 3: Chọn chỉnh  sửa  thông tin 
Step 4: Nhấn vào ô chỉnh sửa email 
Step 5: Nhập email mới hợp lệ 
Step 6: Nhấn "" Lưu thay đổi """)</f>
        <v>Step 1: Đăng nhập vào tài khoản
Step 2: Chọn tab Cá nhân 
Step 3: Chọn chỉnh  sửa  thông tin 
Step 4: Nhấn vào ô chỉnh sửa email 
Step 5: Nhập email mới hợp lệ 
Step 6: Nhấn " Lưu thay đổi "</v>
      </c>
      <c r="L41" s="14"/>
      <c r="M41" s="73" t="s">
        <v>1881</v>
      </c>
      <c r="N41" s="12"/>
      <c r="O41" s="12"/>
      <c r="P41" s="38"/>
    </row>
    <row r="42">
      <c r="A42" s="37"/>
      <c r="B42" s="37"/>
      <c r="C42" s="37"/>
      <c r="D42" s="37"/>
      <c r="E42" s="37"/>
      <c r="F42" s="12" t="s">
        <v>1882</v>
      </c>
      <c r="G42" s="56"/>
      <c r="H42" s="45" t="s">
        <v>1883</v>
      </c>
      <c r="I42" s="12" t="s">
        <v>1811</v>
      </c>
      <c r="J42" s="12" t="s">
        <v>1884</v>
      </c>
      <c r="K42" s="13" t="str">
        <f>IFERROR(__xludf.DUMMYFUNCTION("IF(ISBLANK(J42), ""Input test step"", ARRAYFORMULA(TEXTJOIN(CHAR(10), TRUE, (""Step ""&amp; ROW(INDIRECT(""1:"" &amp; COUNTA(SPLIT(J42, CHAR(10))))) &amp; "": "" &amp; TRANSPOSE(SPLIT(J42, CHAR(10)))))))"),"Step 1: Đăng nhập vào tài khoản
Step 2: Chọn tab Cá nhân 
Step 3: Chọn chỉnh  sửa  thông tin 
Step 4: Nhấn vào ô chỉnh sửa email 
Step 5: Nhập email không hợp lệ 
Step 6: Nhấn "" Lưu thay đổi """)</f>
        <v>Step 1: Đăng nhập vào tài khoản
Step 2: Chọn tab Cá nhân 
Step 3: Chọn chỉnh  sửa  thông tin 
Step 4: Nhấn vào ô chỉnh sửa email 
Step 5: Nhập email không hợp lệ 
Step 6: Nhấn " Lưu thay đổi "</v>
      </c>
      <c r="L42" s="14"/>
      <c r="M42" s="52" t="s">
        <v>1830</v>
      </c>
      <c r="N42" s="22"/>
      <c r="O42" s="12"/>
      <c r="P42" s="38"/>
    </row>
    <row r="43">
      <c r="A43" s="37"/>
      <c r="B43" s="37"/>
      <c r="C43" s="37"/>
      <c r="D43" s="37"/>
      <c r="E43" s="37"/>
      <c r="F43" s="12" t="s">
        <v>1885</v>
      </c>
      <c r="G43" s="56"/>
      <c r="H43" s="45" t="s">
        <v>1886</v>
      </c>
      <c r="I43" s="12" t="s">
        <v>1811</v>
      </c>
      <c r="J43" s="12" t="s">
        <v>1887</v>
      </c>
      <c r="K43" s="13" t="str">
        <f>IFERROR(__xludf.DUMMYFUNCTION("IF(ISBLANK(J43), ""Input test step"", ARRAYFORMULA(TEXTJOIN(CHAR(10), TRUE, (""Step ""&amp; ROW(INDIRECT(""1:"" &amp; COUNTA(SPLIT(J43, CHAR(10))))) &amp; "": "" &amp; TRANSPOSE(SPLIT(J43, CHAR(10)))))))"),"Step 1: Đăng nhập vào tài khoản
Step 2: Chọn tab Cá nhân 
Step 3: Chọn chỉnh  sửa  thông tin 
Step 4: Nhấn vào ô chỉnh sửa email 
Step 5: Xoá tất cả nội dung 
Step 6: Nhấn "" Lưu thay đổi """)</f>
        <v>Step 1: Đăng nhập vào tài khoản
Step 2: Chọn tab Cá nhân 
Step 3: Chọn chỉnh  sửa  thông tin 
Step 4: Nhấn vào ô chỉnh sửa email 
Step 5: Xoá tất cả nội dung 
Step 6: Nhấn " Lưu thay đổi "</v>
      </c>
      <c r="L43" s="14"/>
      <c r="M43" s="73" t="s">
        <v>1888</v>
      </c>
      <c r="N43" s="12"/>
      <c r="O43" s="12"/>
      <c r="P43" s="38"/>
    </row>
    <row r="44">
      <c r="A44" s="37"/>
      <c r="B44" s="37"/>
      <c r="C44" s="37"/>
      <c r="D44" s="37"/>
      <c r="E44" s="37"/>
      <c r="F44" s="12" t="s">
        <v>1889</v>
      </c>
      <c r="G44" s="56"/>
      <c r="H44" s="83" t="s">
        <v>1890</v>
      </c>
      <c r="I44" s="12" t="s">
        <v>1811</v>
      </c>
      <c r="J44" s="12" t="s">
        <v>1891</v>
      </c>
      <c r="K44" s="13" t="str">
        <f>IFERROR(__xludf.DUMMYFUNCTION("IF(ISBLANK(J44), ""Input test step"", ARRAYFORMULA(TEXTJOIN(CHAR(10), TRUE, (""Step ""&amp; ROW(INDIRECT(""1:"" &amp; COUNTA(SPLIT(J44, CHAR(10))))) &amp; "": "" &amp; TRANSPOSE(SPLIT(J44, CHAR(10)))))))"),"Step 1: Đăng nhập vào tài khoản
Step 2: Chọn tab Cá nhân 
Step 3: Chọn chỉnh  sửa  thông tin  
Step 4: Nhấn "" Lưu thay đổi "" mà không thay đổi gì")</f>
        <v>Step 1: Đăng nhập vào tài khoản
Step 2: Chọn tab Cá nhân 
Step 3: Chọn chỉnh  sửa  thông tin  
Step 4: Nhấn " Lưu thay đổi " mà không thay đổi gì</v>
      </c>
      <c r="L44" s="14"/>
      <c r="M44" s="12" t="s">
        <v>1892</v>
      </c>
      <c r="N44" s="12"/>
      <c r="O44" s="12"/>
      <c r="P44" s="38"/>
    </row>
    <row r="45">
      <c r="A45" s="37"/>
      <c r="B45" s="37"/>
      <c r="C45" s="37"/>
      <c r="D45" s="37"/>
      <c r="E45" s="37"/>
      <c r="F45" s="12" t="s">
        <v>1893</v>
      </c>
      <c r="G45" s="56"/>
      <c r="H45" s="73" t="s">
        <v>1856</v>
      </c>
      <c r="I45" s="12" t="s">
        <v>1811</v>
      </c>
      <c r="J45" s="12" t="s">
        <v>1894</v>
      </c>
      <c r="K45" s="13" t="str">
        <f>IFERROR(__xludf.DUMMYFUNCTION("IF(ISBLANK(J45), ""Input test step"", ARRAYFORMULA(TEXTJOIN(CHAR(10), TRUE, (""Step ""&amp; ROW(INDIRECT(""1:"" &amp; COUNTA(SPLIT(J45, CHAR(10))))) &amp; "": "" &amp; TRANSPOSE(SPLIT(J45, CHAR(10)))))))"),"Step 1: Đăng nhập vào tài khoản
Step 2: Chọn tab Cá nhân 
Step 3: Chọn chỉnh  sửa  thông tin 
Step 4: Chỉnh sửa email nhưng không nhấn "" Lưu thay đổi "" 
Step 5: Quay lại trang trước")</f>
        <v>Step 1: Đăng nhập vào tài khoản
Step 2: Chọn tab Cá nhân 
Step 3: Chọn chỉnh  sửa  thông tin 
Step 4: Chỉnh sửa email nhưng không nhấn " Lưu thay đổi " 
Step 5: Quay lại trang trước</v>
      </c>
      <c r="L45" s="14"/>
      <c r="M45" s="45" t="s">
        <v>1895</v>
      </c>
      <c r="N45" s="12"/>
      <c r="O45" s="12"/>
      <c r="P45" s="38"/>
    </row>
    <row r="46">
      <c r="A46" s="37"/>
      <c r="B46" s="37"/>
      <c r="C46" s="37"/>
      <c r="D46" s="37"/>
      <c r="E46" s="37"/>
      <c r="F46" s="12" t="s">
        <v>1896</v>
      </c>
      <c r="G46" s="56"/>
      <c r="H46" s="45" t="s">
        <v>1897</v>
      </c>
      <c r="I46" s="12" t="s">
        <v>1811</v>
      </c>
      <c r="J46" s="12" t="s">
        <v>1898</v>
      </c>
      <c r="K46" s="13" t="str">
        <f>IFERROR(__xludf.DUMMYFUNCTION("IF(ISBLANK(J46), ""Input test step"", ARRAYFORMULA(TEXTJOIN(CHAR(10), TRUE, (""Step ""&amp; ROW(INDIRECT(""1:"" &amp; COUNTA(SPLIT(J46, CHAR(10))))) &amp; "": "" &amp; TRANSPOSE(SPLIT(J46, CHAR(10)))))))"),"Step 1: Đăng nhập vào tài khoản
Step 2: Chọn tab Cá nhân 
Step 3: Chọn chỉnh  sửa  thông tin 
Step 4: Nhấn vào ô chỉnh sửa email 
Step 5: Xoá  email hiện tại 
Step 6: Nhấn "" Lưu thay đổi """)</f>
        <v>Step 1: Đăng nhập vào tài khoản
Step 2: Chọn tab Cá nhân 
Step 3: Chọn chỉnh  sửa  thông tin 
Step 4: Nhấn vào ô chỉnh sửa email 
Step 5: Xoá _x001d_ email hiện tại 
Step 6: Nhấn " Lưu thay đổi "</v>
      </c>
      <c r="L46" s="14"/>
      <c r="M46" s="52" t="s">
        <v>1888</v>
      </c>
      <c r="N46" s="12"/>
      <c r="O46" s="12"/>
      <c r="P46" s="38"/>
    </row>
    <row r="47">
      <c r="A47" s="37"/>
      <c r="B47" s="37"/>
      <c r="C47" s="37"/>
      <c r="D47" s="37"/>
      <c r="E47" s="37"/>
      <c r="F47" s="12" t="s">
        <v>1899</v>
      </c>
      <c r="G47" s="56"/>
      <c r="H47" s="12" t="s">
        <v>1900</v>
      </c>
      <c r="I47" s="12" t="s">
        <v>1811</v>
      </c>
      <c r="J47" s="12" t="s">
        <v>1901</v>
      </c>
      <c r="K47" s="13" t="str">
        <f>IFERROR(__xludf.DUMMYFUNCTION("IF(ISBLANK(J47), ""Input test step"", ARRAYFORMULA(TEXTJOIN(CHAR(10), TRUE, (""Step ""&amp; ROW(INDIRECT(""1:"" &amp; COUNTA(SPLIT(J47, CHAR(10))))) &amp; "": "" &amp; TRANSPOSE(SPLIT(J47, CHAR(10)))))))"),"Step 1: Đăng nhập vào tài khoản
Step 2: Chọn tab Cá nhân 
Step 3: Chọn chỉnh  sửa  thông tin 
Step 4: Nhấn vào ô chỉnh sửa email 
Step 5: Nhập min kí tự email
Step 6: Nhấn "" Lưu thay đổi """)</f>
        <v>Step 1: Đăng nhập vào tài khoản
Step 2: Chọn tab Cá nhân 
Step 3: Chọn chỉnh  sửa  thông tin 
Step 4: Nhấn vào ô chỉnh sửa email 
Step 5: Nhập min kí tự email
Step 6: Nhấn " Lưu thay đổi "</v>
      </c>
      <c r="L47" s="14"/>
      <c r="M47" s="73" t="s">
        <v>1843</v>
      </c>
      <c r="N47" s="22"/>
      <c r="O47" s="12"/>
      <c r="P47" s="38"/>
    </row>
    <row r="48">
      <c r="A48" s="37"/>
      <c r="B48" s="37"/>
      <c r="C48" s="37"/>
      <c r="D48" s="37"/>
      <c r="E48" s="37"/>
      <c r="F48" s="12" t="s">
        <v>1902</v>
      </c>
      <c r="G48" s="56"/>
      <c r="H48" s="12" t="s">
        <v>1903</v>
      </c>
      <c r="I48" s="12" t="s">
        <v>1811</v>
      </c>
      <c r="J48" s="12" t="s">
        <v>1904</v>
      </c>
      <c r="K48" s="13" t="str">
        <f>IFERROR(__xludf.DUMMYFUNCTION("IF(ISBLANK(J48), ""Input test step"", ARRAYFORMULA(TEXTJOIN(CHAR(10), TRUE, (""Step ""&amp; ROW(INDIRECT(""1:"" &amp; COUNTA(SPLIT(J48, CHAR(10))))) &amp; "": "" &amp; TRANSPOSE(SPLIT(J48, CHAR(10)))))))"),"Step 1: Đăng nhập vào tài khoản
Step 2: Chọn tab Cá nhân 
Step 3: Chọn chỉnh  sửa  thông tin 
Step 4: Nhấn vào ô chỉnh sửa email 
Step 5: Nhập max kí tự email
Step 6: Nhấn "" Lưu thay đổi """)</f>
        <v>Step 1: Đăng nhập vào tài khoản
Step 2: Chọn tab Cá nhân 
Step 3: Chọn chỉnh  sửa  thông tin 
Step 4: Nhấn vào ô chỉnh sửa email 
Step 5: Nhập max kí tự email
Step 6: Nhấn " Lưu thay đổi "</v>
      </c>
      <c r="L48" s="14"/>
      <c r="M48" s="73" t="s">
        <v>1905</v>
      </c>
      <c r="N48" s="12" t="s">
        <v>1839</v>
      </c>
      <c r="O48" s="12" t="s">
        <v>2</v>
      </c>
      <c r="P48" s="38"/>
    </row>
    <row r="49">
      <c r="A49" s="37"/>
      <c r="B49" s="37"/>
      <c r="C49" s="37"/>
      <c r="D49" s="37"/>
      <c r="E49" s="37"/>
      <c r="F49" s="12" t="s">
        <v>1906</v>
      </c>
      <c r="G49" s="56"/>
      <c r="H49" s="12" t="s">
        <v>1907</v>
      </c>
      <c r="I49" s="12" t="s">
        <v>1811</v>
      </c>
      <c r="J49" s="12" t="s">
        <v>1908</v>
      </c>
      <c r="K49" s="13" t="str">
        <f>IFERROR(__xludf.DUMMYFUNCTION("IF(ISBLANK(J49), ""Input test step"", ARRAYFORMULA(TEXTJOIN(CHAR(10), TRUE, (""Step ""&amp; ROW(INDIRECT(""1:"" &amp; COUNTA(SPLIT(J49, CHAR(10))))) &amp; "": "" &amp; TRANSPOSE(SPLIT(J49, CHAR(10)))))))"),"Step 1: Đăng nhập vào tài khoản
Step 2: Chọn tab Cá nhân 
Step 3: Chọn chỉnh  sửa  thông tin 
Step 4: Trỏ chuột vào ô  email ")</f>
        <v>Step 1: Đăng nhập vào tài khoản
Step 2: Chọn tab Cá nhân 
Step 3: Chọn chỉnh  sửa  thông tin 
Step 4: Trỏ chuột vào ô  email </v>
      </c>
      <c r="L49" s="14"/>
      <c r="M49" s="12" t="s">
        <v>1909</v>
      </c>
      <c r="N49" s="12" t="s">
        <v>1909</v>
      </c>
      <c r="O49" s="12" t="s">
        <v>1</v>
      </c>
      <c r="P49" s="38"/>
    </row>
    <row r="50">
      <c r="A50" s="37"/>
      <c r="B50" s="37"/>
      <c r="C50" s="37"/>
      <c r="D50" s="37"/>
      <c r="E50" s="37"/>
      <c r="F50" s="12" t="s">
        <v>1910</v>
      </c>
      <c r="G50" s="56"/>
      <c r="H50" s="83" t="s">
        <v>1911</v>
      </c>
      <c r="I50" s="12" t="s">
        <v>1811</v>
      </c>
      <c r="J50" s="12" t="s">
        <v>1912</v>
      </c>
      <c r="K50" s="13" t="str">
        <f>IFERROR(__xludf.DUMMYFUNCTION("IF(ISBLANK(J50), ""Input test step"", ARRAYFORMULA(TEXTJOIN(CHAR(10), TRUE, (""Step ""&amp; ROW(INDIRECT(""1:"" &amp; COUNTA(SPLIT(J50, CHAR(10))))) &amp; "": "" &amp; TRANSPOSE(SPLIT(J50, CHAR(10)))))))"),"Step 1: Đăng nhập vào tài khoản
Step 2: Chọn tab Cá nhân 
Step 3: Chọn chỉnh  sửa  thông tin 
Step 4: Quan sát trường ngày sinh")</f>
        <v>Step 1: Đăng nhập vào tài khoản
Step 2: Chọn tab Cá nhân 
Step 3: Chọn chỉnh  sửa  thông tin 
Step 4: Quan sát trường ngày sinh</v>
      </c>
      <c r="L50" s="14"/>
      <c r="M50" s="83" t="s">
        <v>1913</v>
      </c>
      <c r="N50" s="45" t="s">
        <v>1913</v>
      </c>
      <c r="O50" s="12" t="s">
        <v>1</v>
      </c>
      <c r="P50" s="38"/>
    </row>
    <row r="51">
      <c r="A51" s="37"/>
      <c r="B51" s="37"/>
      <c r="C51" s="37"/>
      <c r="D51" s="37"/>
      <c r="E51" s="37"/>
      <c r="F51" s="12" t="s">
        <v>1914</v>
      </c>
      <c r="G51" s="56"/>
      <c r="H51" s="45" t="s">
        <v>1915</v>
      </c>
      <c r="I51" s="12" t="s">
        <v>1811</v>
      </c>
      <c r="J51" s="12" t="s">
        <v>1916</v>
      </c>
      <c r="K51" s="13" t="str">
        <f>IFERROR(__xludf.DUMMYFUNCTION("IF(ISBLANK(J51), ""Input test step"", ARRAYFORMULA(TEXTJOIN(CHAR(10), TRUE, (""Step ""&amp; ROW(INDIRECT(""1:"" &amp; COUNTA(SPLIT(J51, CHAR(10))))) &amp; "": "" &amp; TRANSPOSE(SPLIT(J51, CHAR(10)))))))"),"Step 1: Đăng nhập vào tài khoản
Step 2: Chọn tab Cá nhân 
Step 3: Chọn chỉnh  sửa  thông tin 
Step 4: Nhấn vào ô ngày sinh 
Step 5: Chọn ngày sinh mới hợp lệ 
Step 6: Nhấn "" Lưu thay đổi """)</f>
        <v>Step 1: Đăng nhập vào tài khoản
Step 2: Chọn tab Cá nhân 
Step 3: Chọn chỉnh  sửa  thông tin 
Step 4: Nhấn vào ô ngày sinh 
Step 5: Chọn ngày sinh mới hợp lệ 
Step 6: Nhấn " Lưu thay đổi "</v>
      </c>
      <c r="L51" s="14"/>
      <c r="M51" s="73" t="s">
        <v>1917</v>
      </c>
      <c r="N51" s="12"/>
      <c r="O51" s="12"/>
      <c r="P51" s="38"/>
    </row>
    <row r="52">
      <c r="A52" s="37"/>
      <c r="B52" s="37"/>
      <c r="C52" s="37"/>
      <c r="D52" s="37"/>
      <c r="E52" s="37"/>
      <c r="F52" s="12" t="s">
        <v>1918</v>
      </c>
      <c r="G52" s="56"/>
      <c r="H52" s="83" t="s">
        <v>1919</v>
      </c>
      <c r="I52" s="12" t="s">
        <v>1811</v>
      </c>
      <c r="J52" s="12" t="s">
        <v>1920</v>
      </c>
      <c r="K52" s="13" t="str">
        <f>IFERROR(__xludf.DUMMYFUNCTION("IF(ISBLANK(J52), ""Input test step"", ARRAYFORMULA(TEXTJOIN(CHAR(10), TRUE, (""Step ""&amp; ROW(INDIRECT(""1:"" &amp; COUNTA(SPLIT(J52, CHAR(10))))) &amp; "": "" &amp; TRANSPOSE(SPLIT(J52, CHAR(10)))))))"),"Step 1: Đăng nhập vào tài khoản
Step 2: Chọn tab Cá nhân 
Step 3: Chọn chỉnh  sửa  thông tin 
Step 4: Nhấn vào ô ngày sinh 
Step 5: Xoá tất cả nội dung 
Step 6: Nhấn "" Lưu thay đổi """)</f>
        <v>Step 1: Đăng nhập vào tài khoản
Step 2: Chọn tab Cá nhân 
Step 3: Chọn chỉnh  sửa  thông tin 
Step 4: Nhấn vào ô ngày sinh 
Step 5: Xoá tất cả nội dung 
Step 6: Nhấn " Lưu thay đổi "</v>
      </c>
      <c r="L52" s="14"/>
      <c r="M52" s="52" t="s">
        <v>1921</v>
      </c>
      <c r="N52" s="12"/>
      <c r="O52" s="12"/>
      <c r="P52" s="38"/>
    </row>
    <row r="53">
      <c r="A53" s="37"/>
      <c r="B53" s="37"/>
      <c r="C53" s="37"/>
      <c r="D53" s="37"/>
      <c r="E53" s="37"/>
      <c r="F53" s="12" t="s">
        <v>1922</v>
      </c>
      <c r="G53" s="56"/>
      <c r="H53" s="45" t="s">
        <v>1923</v>
      </c>
      <c r="I53" s="12" t="s">
        <v>1811</v>
      </c>
      <c r="J53" s="12" t="s">
        <v>1924</v>
      </c>
      <c r="K53" s="13" t="str">
        <f>IFERROR(__xludf.DUMMYFUNCTION("IF(ISBLANK(J53), ""Input test step"", ARRAYFORMULA(TEXTJOIN(CHAR(10), TRUE, (""Step ""&amp; ROW(INDIRECT(""1:"" &amp; COUNTA(SPLIT(J53, CHAR(10))))) &amp; "": "" &amp; TRANSPOSE(SPLIT(J53, CHAR(10)))))))"),"Step 1: Đăng nhập vào tài khoản
Step 2: Chọn tab Cá nhân 
Step 3: Chọn chỉnh  sửa  thông tin 
Step 4: Nhấn "" Lưu thay đổi "" mà không thay đổi gì")</f>
        <v>Step 1: Đăng nhập vào tài khoản
Step 2: Chọn tab Cá nhân 
Step 3: Chọn chỉnh  sửa  thông tin 
Step 4: Nhấn " Lưu thay đổi " mà không thay đổi gì</v>
      </c>
      <c r="L53" s="14"/>
      <c r="M53" s="12" t="s">
        <v>1925</v>
      </c>
      <c r="N53" s="12"/>
      <c r="O53" s="12"/>
      <c r="P53" s="38"/>
    </row>
    <row r="54">
      <c r="A54" s="37"/>
      <c r="B54" s="37"/>
      <c r="C54" s="37"/>
      <c r="D54" s="37"/>
      <c r="E54" s="37"/>
      <c r="F54" s="12" t="s">
        <v>1926</v>
      </c>
      <c r="G54" s="56"/>
      <c r="H54" s="73" t="s">
        <v>1856</v>
      </c>
      <c r="I54" s="12" t="s">
        <v>1811</v>
      </c>
      <c r="J54" s="12" t="s">
        <v>1927</v>
      </c>
      <c r="K54" s="13" t="str">
        <f>IFERROR(__xludf.DUMMYFUNCTION("IF(ISBLANK(J54), ""Input test step"", ARRAYFORMULA(TEXTJOIN(CHAR(10), TRUE, (""Step ""&amp; ROW(INDIRECT(""1:"" &amp; COUNTA(SPLIT(J54, CHAR(10))))) &amp; "": "" &amp; TRANSPOSE(SPLIT(J54, CHAR(10)))))))"),"Step 1: Đăng nhập vào tài khoản
Step 2: Chọn tab Cá nhân 
Step 3: Chọn chỉnh  sửa  thông tin 
Step 4: Chỉnh sửa ngày sinh nhưng không nhấn "" Lưu thay đổi "" 
Step 5: Quay lại trang trước")</f>
        <v>Step 1: Đăng nhập vào tài khoản
Step 2: Chọn tab Cá nhân 
Step 3: Chọn chỉnh  sửa  thông tin 
Step 4: Chỉnh sửa ngày sinh nhưng không nhấn " Lưu thay đổi " 
Step 5: Quay lại trang trước</v>
      </c>
      <c r="L54" s="14"/>
      <c r="M54" s="73" t="s">
        <v>1928</v>
      </c>
      <c r="N54" s="12"/>
      <c r="O54" s="12"/>
      <c r="P54" s="38"/>
    </row>
    <row r="55">
      <c r="A55" s="37"/>
      <c r="B55" s="37"/>
      <c r="C55" s="37"/>
      <c r="D55" s="37"/>
      <c r="E55" s="37"/>
      <c r="F55" s="12" t="s">
        <v>1929</v>
      </c>
      <c r="G55" s="56"/>
      <c r="H55" s="12" t="s">
        <v>1930</v>
      </c>
      <c r="I55" s="12" t="s">
        <v>1811</v>
      </c>
      <c r="J55" s="12" t="s">
        <v>1931</v>
      </c>
      <c r="K55" s="13" t="str">
        <f>IFERROR(__xludf.DUMMYFUNCTION("IF(ISBLANK(J55), ""Input test step"", ARRAYFORMULA(TEXTJOIN(CHAR(10), TRUE, (""Step ""&amp; ROW(INDIRECT(""1:"" &amp; COUNTA(SPLIT(J55, CHAR(10))))) &amp; "": "" &amp; TRANSPOSE(SPLIT(J55, CHAR(10)))))))"),"Step 1: Đăng nhập vào tài khoản
Step 2: Chọn tab Cá nhân 
Step 3: Chọn chỉnh  sửa  thông tin 
Step 4: Trỏ chuột vào ô ngày sinh ")</f>
        <v>Step 1: Đăng nhập vào tài khoản
Step 2: Chọn tab Cá nhân 
Step 3: Chọn chỉnh  sửa  thông tin 
Step 4: Trỏ chuột vào ô ngày sinh </v>
      </c>
      <c r="L55" s="14"/>
      <c r="M55" s="12" t="s">
        <v>1909</v>
      </c>
      <c r="N55" s="12"/>
      <c r="O55" s="12"/>
      <c r="P55" s="38"/>
    </row>
    <row r="56">
      <c r="A56" s="37"/>
      <c r="B56" s="37"/>
      <c r="C56" s="37"/>
      <c r="D56" s="37"/>
      <c r="E56" s="37"/>
      <c r="F56" s="12" t="s">
        <v>1932</v>
      </c>
      <c r="G56" s="56"/>
      <c r="H56" s="12" t="s">
        <v>1933</v>
      </c>
      <c r="I56" s="12" t="s">
        <v>1811</v>
      </c>
      <c r="J56" s="12" t="s">
        <v>1934</v>
      </c>
      <c r="K56" s="13" t="str">
        <f>IFERROR(__xludf.DUMMYFUNCTION("IF(ISBLANK(J56), ""Input test step"", ARRAYFORMULA(TEXTJOIN(CHAR(10), TRUE, (""Step ""&amp; ROW(INDIRECT(""1:"" &amp; COUNTA(SPLIT(J56, CHAR(10))))) &amp; "": "" &amp; TRANSPOSE(SPLIT(J56, CHAR(10)))))))"),"Step 1: Đăng nhập vào tài khoản
Step 2: Chọn tab Cá nhân 
Step 3: Chọn chỉnh  sửa  thông tin 
Step 4: Quan sát các checkbox giới tính ( Nam, nữ )")</f>
        <v>Step 1: Đăng nhập vào tài khoản
Step 2: Chọn tab Cá nhân 
Step 3: Chọn chỉnh  sửa  thông tin 
Step 4: Quan sát các checkbox giới tính ( Nam, nữ )</v>
      </c>
      <c r="L56" s="14"/>
      <c r="M56" s="52" t="s">
        <v>1935</v>
      </c>
      <c r="N56" s="12"/>
      <c r="O56" s="12"/>
      <c r="P56" s="38"/>
    </row>
    <row r="57">
      <c r="A57" s="37"/>
      <c r="B57" s="37"/>
      <c r="C57" s="37"/>
      <c r="D57" s="37"/>
      <c r="E57" s="37"/>
      <c r="F57" s="12" t="s">
        <v>1936</v>
      </c>
      <c r="G57" s="56"/>
      <c r="H57" s="45" t="s">
        <v>1937</v>
      </c>
      <c r="I57" s="12" t="s">
        <v>1811</v>
      </c>
      <c r="J57" s="12" t="s">
        <v>1938</v>
      </c>
      <c r="K57" s="13" t="str">
        <f>IFERROR(__xludf.DUMMYFUNCTION("IF(ISBLANK(J57), ""Input test step"", ARRAYFORMULA(TEXTJOIN(CHAR(10), TRUE, (""Step ""&amp; ROW(INDIRECT(""1:"" &amp; COUNTA(SPLIT(J57, CHAR(10))))) &amp; "": "" &amp; TRANSPOSE(SPLIT(J57, CHAR(10)))))))"),"Step 1: Đăng nhập vào tài khoản
Step 2: Chọn tab Cá nhân 
Step 3: Chọn chỉnh  sửa  thông tin 
Step 4: Nhấn vào checkbox giới tính Nam")</f>
        <v>Step 1: Đăng nhập vào tài khoản
Step 2: Chọn tab Cá nhân 
Step 3: Chọn chỉnh  sửa  thông tin 
Step 4: Nhấn vào checkbox giới tính Nam</v>
      </c>
      <c r="L57" s="14"/>
      <c r="M57" s="73" t="s">
        <v>1939</v>
      </c>
      <c r="N57" s="12" t="s">
        <v>1940</v>
      </c>
      <c r="O57" s="12" t="s">
        <v>2</v>
      </c>
      <c r="P57" s="38"/>
    </row>
    <row r="58">
      <c r="A58" s="37"/>
      <c r="B58" s="37"/>
      <c r="C58" s="37"/>
      <c r="D58" s="37"/>
      <c r="E58" s="37"/>
      <c r="F58" s="12" t="s">
        <v>1941</v>
      </c>
      <c r="G58" s="56"/>
      <c r="H58" s="45" t="s">
        <v>1942</v>
      </c>
      <c r="I58" s="12" t="s">
        <v>1811</v>
      </c>
      <c r="J58" s="12" t="s">
        <v>1943</v>
      </c>
      <c r="K58" s="13" t="str">
        <f>IFERROR(__xludf.DUMMYFUNCTION("IF(ISBLANK(J58), ""Input test step"", ARRAYFORMULA(TEXTJOIN(CHAR(10), TRUE, (""Step ""&amp; ROW(INDIRECT(""1:"" &amp; COUNTA(SPLIT(J58, CHAR(10))))) &amp; "": "" &amp; TRANSPOSE(SPLIT(J58, CHAR(10)))))))"),"Step 1: Đăng nhập vào tài khoản
Step 2: Chọn tab Cá nhân 
Step 3: Chọn chỉnh  sửa  thông tin 
Step 4: Nhấn vào checkbox giới tính Nữ")</f>
        <v>Step 1: Đăng nhập vào tài khoản
Step 2: Chọn tab Cá nhân 
Step 3: Chọn chỉnh  sửa  thông tin 
Step 4: Nhấn vào checkbox giới tính Nữ</v>
      </c>
      <c r="L58" s="14"/>
      <c r="M58" s="52" t="s">
        <v>1944</v>
      </c>
      <c r="N58" s="12" t="s">
        <v>1940</v>
      </c>
      <c r="O58" s="12" t="s">
        <v>2</v>
      </c>
      <c r="P58" s="38"/>
    </row>
    <row r="59">
      <c r="A59" s="37"/>
      <c r="B59" s="37"/>
      <c r="C59" s="37"/>
      <c r="D59" s="37"/>
      <c r="E59" s="37"/>
      <c r="F59" s="12" t="s">
        <v>1945</v>
      </c>
      <c r="G59" s="56"/>
      <c r="H59" s="45" t="s">
        <v>1946</v>
      </c>
      <c r="I59" s="12" t="s">
        <v>1811</v>
      </c>
      <c r="J59" s="12" t="s">
        <v>1947</v>
      </c>
      <c r="K59" s="13" t="str">
        <f>IFERROR(__xludf.DUMMYFUNCTION("IF(ISBLANK(J59), ""Input test step"", ARRAYFORMULA(TEXTJOIN(CHAR(10), TRUE, (""Step ""&amp; ROW(INDIRECT(""1:"" &amp; COUNTA(SPLIT(J59, CHAR(10))))) &amp; "": "" &amp; TRANSPOSE(SPLIT(J59, CHAR(10)))))))"),"Step 1: Đăng nhập vào tài khoản
Step 2: Chọn tab Cá nhân 
Step 3: Chọn chỉnh  sửa  thông tin 
Step 4: Chọn checkbox Nam hoặc Nữ 
Step 5: Bỏ chọn checkbox vừa chọn ")</f>
        <v>Step 1: Đăng nhập vào tài khoản
Step 2: Chọn tab Cá nhân 
Step 3: Chọn chỉnh  sửa  thông tin 
Step 4: Chọn checkbox Nam hoặc Nữ 
Step 5: Bỏ chọn checkbox vừa chọn </v>
      </c>
      <c r="L59" s="14"/>
      <c r="M59" s="73" t="s">
        <v>1948</v>
      </c>
      <c r="N59" s="73" t="s">
        <v>1948</v>
      </c>
      <c r="O59" s="12" t="s">
        <v>1</v>
      </c>
      <c r="P59" s="38"/>
    </row>
    <row r="60">
      <c r="A60" s="37"/>
      <c r="B60" s="37"/>
      <c r="C60" s="37"/>
      <c r="D60" s="37"/>
      <c r="E60" s="37"/>
      <c r="F60" s="12" t="s">
        <v>1949</v>
      </c>
      <c r="G60" s="56"/>
      <c r="H60" s="45" t="s">
        <v>1950</v>
      </c>
      <c r="I60" s="12" t="s">
        <v>1811</v>
      </c>
      <c r="J60" s="12" t="s">
        <v>1951</v>
      </c>
      <c r="K60" s="13" t="str">
        <f>IFERROR(__xludf.DUMMYFUNCTION("IF(ISBLANK(J60), ""Input test step"", ARRAYFORMULA(TEXTJOIN(CHAR(10), TRUE, (""Step ""&amp; ROW(INDIRECT(""1:"" &amp; COUNTA(SPLIT(J60, CHAR(10))))) &amp; "": "" &amp; TRANSPOSE(SPLIT(J60, CHAR(10)))))))"),"Step 1: Đăng nhập vào tài khoản
Step 2: Chọn tab Cá nhân 
Step 3: Chọn chỉnh  sửa  thông tin 
Step 4: Chọn checkbox Nam và Nữ ")</f>
        <v>Step 1: Đăng nhập vào tài khoản
Step 2: Chọn tab Cá nhân 
Step 3: Chọn chỉnh  sửa  thông tin 
Step 4: Chọn checkbox Nam và Nữ </v>
      </c>
      <c r="L60" s="14"/>
      <c r="M60" s="73" t="s">
        <v>1952</v>
      </c>
      <c r="N60" s="73" t="s">
        <v>1952</v>
      </c>
      <c r="O60" s="12" t="s">
        <v>1</v>
      </c>
      <c r="P60" s="38"/>
    </row>
    <row r="61">
      <c r="A61" s="37"/>
      <c r="B61" s="37"/>
      <c r="C61" s="37"/>
      <c r="D61" s="37"/>
      <c r="E61" s="37"/>
      <c r="F61" s="12" t="s">
        <v>1953</v>
      </c>
      <c r="G61" s="56"/>
      <c r="H61" s="83" t="s">
        <v>1954</v>
      </c>
      <c r="I61" s="12" t="s">
        <v>1811</v>
      </c>
      <c r="J61" s="12" t="s">
        <v>1955</v>
      </c>
      <c r="K61" s="13" t="str">
        <f>IFERROR(__xludf.DUMMYFUNCTION("IF(ISBLANK(J61), ""Input test step"", ARRAYFORMULA(TEXTJOIN(CHAR(10), TRUE, (""Step ""&amp; ROW(INDIRECT(""1:"" &amp; COUNTA(SPLIT(J61, CHAR(10))))) &amp; "": "" &amp; TRANSPOSE(SPLIT(J61, CHAR(10)))))))"),"Step 1: Đăng nhập vào tài khoản
Step 2: Chọn tab Cá nhân 
Step 3: Chọn chỉnh  sửa  thông tin 
Step 4: Chọn checkbox giới tính nhưng không nhấn "" Lưu thay đổi "" 
Step 5: Quay lại trang trước ")</f>
        <v>Step 1: Đăng nhập vào tài khoản
Step 2: Chọn tab Cá nhân 
Step 3: Chọn chỉnh  sửa  thông tin 
Step 4: Chọn checkbox giới tính nhưng không nhấn " Lưu thay đổi " 
Step 5: Quay lại trang trước </v>
      </c>
      <c r="L61" s="14"/>
      <c r="M61" s="45" t="s">
        <v>1956</v>
      </c>
      <c r="N61" s="12"/>
      <c r="O61" s="12"/>
      <c r="P61" s="38"/>
    </row>
    <row r="62">
      <c r="A62" s="37"/>
      <c r="B62" s="37"/>
      <c r="C62" s="37"/>
      <c r="D62" s="37"/>
      <c r="E62" s="37"/>
      <c r="F62" s="12" t="s">
        <v>1957</v>
      </c>
      <c r="G62" s="56"/>
      <c r="H62" s="55" t="s">
        <v>1958</v>
      </c>
      <c r="I62" s="55" t="s">
        <v>1811</v>
      </c>
      <c r="J62" s="55" t="s">
        <v>1959</v>
      </c>
      <c r="K62" s="84" t="str">
        <f>IFERROR(__xludf.DUMMYFUNCTION("IF(ISBLANK(J62), ""Input test step"", ARRAYFORMULA(TEXTJOIN(CHAR(10), TRUE, (""Step ""&amp; ROW(INDIRECT(""1:"" &amp; COUNTA(SPLIT(J62, CHAR(10))))) &amp; "": "" &amp; TRANSPOSE(SPLIT(J62, CHAR(10)))))))"),"Step 1: Đăng nhập vào tài khoản
Step 2: Chọn tab Cá nhân 
Step 3: Chọn chỉnh  sửa  thông tin 
Step 4: Nhập đầy đủ thông tin 
Step 5: Nhấn "" Lưu thay đổi """)</f>
        <v>Step 1: Đăng nhập vào tài khoản
Step 2: Chọn tab Cá nhân 
Step 3: Chọn chỉnh  sửa  thông tin 
Step 4: Nhập đầy đủ thông tin 
Step 5: Nhấn " Lưu thay đổi "</v>
      </c>
      <c r="L62" s="85"/>
      <c r="M62" s="55" t="s">
        <v>1925</v>
      </c>
      <c r="N62" s="55"/>
      <c r="O62" s="55"/>
      <c r="P62" s="86"/>
    </row>
    <row r="63">
      <c r="A63" s="37"/>
      <c r="B63" s="37"/>
      <c r="C63" s="37"/>
      <c r="D63" s="37"/>
      <c r="E63" s="37"/>
      <c r="F63" s="12" t="s">
        <v>1960</v>
      </c>
      <c r="G63" s="57"/>
      <c r="H63" s="12" t="s">
        <v>1961</v>
      </c>
      <c r="I63" s="12" t="s">
        <v>1962</v>
      </c>
      <c r="J63" s="12" t="s">
        <v>1963</v>
      </c>
      <c r="K63" s="13" t="str">
        <f>IFERROR(__xludf.DUMMYFUNCTION("IF(ISBLANK(J63), ""Input test step"", ARRAYFORMULA(TEXTJOIN(CHAR(10), TRUE, (""Step ""&amp; ROW(INDIRECT(""1:"" &amp; COUNTA(SPLIT(J63, CHAR(10))))) &amp; "": "" &amp; TRANSPOSE(SPLIT(J63, CHAR(10)))))))"),"Step 1: Đăng nhập vào tài khoản
Step 2: Chọn tab Cá nhân 
Step 3: Chọn chỉnh  sửa  thông tin 
Step 4: Ở màn hình chỉnh sửa thông tin --&gt; kiểm tra màu sắc, kích thước, cỡ chữ của button "" Lưu thay đổi "" ")</f>
        <v>Step 1: Đăng nhập vào tài khoản
Step 2: Chọn tab Cá nhân 
Step 3: Chọn chỉnh  sửa  thông tin 
Step 4: Ở màn hình chỉnh sửa thông tin --&gt; kiểm tra màu sắc, kích thước, cỡ chữ của button " Lưu thay đổi " </v>
      </c>
      <c r="L63" s="14"/>
      <c r="M63" s="12" t="s">
        <v>1736</v>
      </c>
      <c r="N63" s="12" t="s">
        <v>1964</v>
      </c>
      <c r="O63" s="12" t="s">
        <v>2</v>
      </c>
      <c r="P63" s="38"/>
    </row>
    <row r="64">
      <c r="A64" s="37"/>
      <c r="B64" s="37"/>
      <c r="C64" s="37"/>
      <c r="D64" s="37"/>
      <c r="E64" s="37"/>
      <c r="F64" s="53"/>
      <c r="G64" s="53"/>
      <c r="I64" s="53"/>
      <c r="J64" s="53"/>
      <c r="K64" s="77"/>
      <c r="L64" s="78"/>
      <c r="N64" s="53"/>
      <c r="O64" s="53"/>
    </row>
    <row r="65">
      <c r="A65" s="37"/>
      <c r="B65" s="37"/>
      <c r="C65" s="37"/>
      <c r="D65" s="37"/>
      <c r="E65" s="37"/>
      <c r="F65" s="53"/>
      <c r="G65" s="53"/>
      <c r="H65" s="53"/>
      <c r="I65" s="53"/>
      <c r="J65" s="53"/>
      <c r="K65" s="77"/>
      <c r="L65" s="78"/>
      <c r="M65" s="53"/>
      <c r="N65" s="53"/>
      <c r="O65" s="53"/>
    </row>
    <row r="66">
      <c r="A66" s="37"/>
      <c r="B66" s="37"/>
      <c r="C66" s="37"/>
      <c r="D66" s="37"/>
      <c r="E66" s="37"/>
      <c r="F66" s="53"/>
      <c r="G66" s="53"/>
      <c r="H66" s="53"/>
      <c r="I66" s="53"/>
      <c r="J66" s="53"/>
      <c r="K66" s="77"/>
      <c r="L66" s="78"/>
      <c r="M66" s="53"/>
      <c r="N66" s="53"/>
      <c r="O66" s="53"/>
    </row>
    <row r="67">
      <c r="A67" s="37"/>
      <c r="B67" s="37"/>
      <c r="C67" s="37"/>
      <c r="D67" s="37"/>
      <c r="E67" s="37"/>
      <c r="F67" s="53"/>
      <c r="G67" s="53"/>
      <c r="H67" s="53"/>
      <c r="I67" s="53"/>
      <c r="J67" s="53"/>
      <c r="K67" s="77"/>
      <c r="L67" s="78"/>
      <c r="M67" s="53"/>
      <c r="N67" s="53"/>
      <c r="O67" s="53"/>
    </row>
    <row r="68">
      <c r="A68" s="37"/>
      <c r="B68" s="37"/>
      <c r="C68" s="37"/>
      <c r="D68" s="37"/>
      <c r="E68" s="37"/>
      <c r="F68" s="53"/>
      <c r="G68" s="53"/>
      <c r="H68" s="53"/>
      <c r="I68" s="53"/>
      <c r="J68" s="53"/>
      <c r="K68" s="77"/>
      <c r="L68" s="78"/>
      <c r="M68" s="53"/>
      <c r="N68" s="53"/>
      <c r="O68" s="53"/>
    </row>
    <row r="69">
      <c r="A69" s="37"/>
      <c r="B69" s="37"/>
      <c r="C69" s="37"/>
      <c r="D69" s="37"/>
      <c r="E69" s="37"/>
      <c r="F69" s="53"/>
      <c r="G69" s="53"/>
      <c r="H69" s="53"/>
      <c r="I69" s="53"/>
      <c r="J69" s="53"/>
      <c r="K69" s="77"/>
      <c r="L69" s="78"/>
      <c r="M69" s="53"/>
      <c r="N69" s="53"/>
      <c r="O69" s="53"/>
    </row>
    <row r="70">
      <c r="A70" s="37"/>
      <c r="B70" s="37"/>
      <c r="C70" s="37"/>
      <c r="D70" s="37"/>
      <c r="E70" s="37"/>
      <c r="F70" s="53"/>
      <c r="G70" s="53"/>
      <c r="H70" s="53"/>
      <c r="I70" s="53"/>
      <c r="J70" s="53"/>
      <c r="K70" s="77"/>
      <c r="L70" s="78"/>
      <c r="M70" s="53"/>
      <c r="N70" s="53"/>
      <c r="O70" s="53"/>
    </row>
    <row r="71">
      <c r="A71" s="37"/>
      <c r="B71" s="37"/>
      <c r="C71" s="37"/>
      <c r="D71" s="37"/>
      <c r="E71" s="37"/>
      <c r="F71" s="53"/>
      <c r="G71" s="53"/>
      <c r="H71" s="53"/>
      <c r="I71" s="53"/>
      <c r="J71" s="53"/>
      <c r="K71" s="77"/>
      <c r="L71" s="78"/>
      <c r="M71" s="53"/>
      <c r="N71" s="53"/>
      <c r="O71" s="53"/>
    </row>
    <row r="72">
      <c r="A72" s="37"/>
      <c r="B72" s="37"/>
      <c r="C72" s="37"/>
      <c r="D72" s="37"/>
      <c r="E72" s="37"/>
      <c r="F72" s="53"/>
      <c r="G72" s="53"/>
      <c r="H72" s="53"/>
      <c r="I72" s="53"/>
      <c r="J72" s="53"/>
      <c r="K72" s="77"/>
      <c r="L72" s="78"/>
      <c r="M72" s="53"/>
      <c r="N72" s="53"/>
      <c r="O72" s="53"/>
    </row>
    <row r="73">
      <c r="A73" s="37"/>
      <c r="B73" s="37"/>
      <c r="C73" s="37"/>
      <c r="D73" s="37"/>
      <c r="E73" s="37"/>
      <c r="F73" s="53"/>
      <c r="G73" s="53"/>
      <c r="H73" s="53"/>
      <c r="I73" s="53"/>
      <c r="J73" s="53"/>
      <c r="K73" s="77"/>
      <c r="L73" s="78"/>
      <c r="M73" s="53"/>
      <c r="N73" s="53"/>
      <c r="O73" s="53"/>
    </row>
    <row r="74">
      <c r="A74" s="37"/>
      <c r="B74" s="37"/>
      <c r="C74" s="37"/>
      <c r="D74" s="37"/>
      <c r="E74" s="37"/>
      <c r="F74" s="53"/>
      <c r="G74" s="53"/>
      <c r="H74" s="53"/>
      <c r="I74" s="53"/>
      <c r="J74" s="53"/>
      <c r="K74" s="77"/>
      <c r="L74" s="78"/>
      <c r="M74" s="53"/>
      <c r="N74" s="53"/>
      <c r="O74" s="53"/>
    </row>
    <row r="75">
      <c r="A75" s="37"/>
      <c r="B75" s="37"/>
      <c r="C75" s="37"/>
      <c r="D75" s="37"/>
      <c r="E75" s="37"/>
      <c r="F75" s="53"/>
      <c r="G75" s="53"/>
      <c r="H75" s="53"/>
      <c r="I75" s="53"/>
      <c r="J75" s="53"/>
      <c r="K75" s="77"/>
      <c r="L75" s="78"/>
      <c r="M75" s="53"/>
      <c r="N75" s="53"/>
      <c r="O75" s="53"/>
    </row>
    <row r="76">
      <c r="A76" s="37"/>
      <c r="B76" s="37"/>
      <c r="C76" s="37"/>
      <c r="D76" s="37"/>
      <c r="E76" s="37"/>
      <c r="F76" s="53"/>
      <c r="G76" s="53"/>
      <c r="H76" s="53"/>
      <c r="I76" s="53"/>
      <c r="J76" s="53"/>
      <c r="K76" s="77"/>
      <c r="L76" s="78"/>
      <c r="M76" s="53"/>
      <c r="N76" s="53"/>
      <c r="O76" s="53"/>
    </row>
    <row r="77">
      <c r="A77" s="37"/>
      <c r="B77" s="37"/>
      <c r="C77" s="37"/>
      <c r="D77" s="37"/>
      <c r="E77" s="37"/>
      <c r="F77" s="53"/>
      <c r="G77" s="53"/>
      <c r="H77" s="53"/>
      <c r="I77" s="53"/>
      <c r="J77" s="53"/>
      <c r="K77" s="77"/>
      <c r="L77" s="78"/>
      <c r="M77" s="53"/>
      <c r="N77" s="53"/>
      <c r="O77" s="53"/>
    </row>
    <row r="78">
      <c r="A78" s="37"/>
      <c r="B78" s="37"/>
      <c r="C78" s="37"/>
      <c r="D78" s="37"/>
      <c r="E78" s="37"/>
      <c r="F78" s="53"/>
      <c r="G78" s="53"/>
      <c r="H78" s="53"/>
      <c r="I78" s="53"/>
      <c r="J78" s="53"/>
      <c r="K78" s="77"/>
      <c r="L78" s="78"/>
      <c r="M78" s="53"/>
      <c r="N78" s="53"/>
      <c r="O78" s="53"/>
    </row>
    <row r="79">
      <c r="A79" s="37"/>
      <c r="B79" s="37"/>
      <c r="C79" s="37"/>
      <c r="D79" s="37"/>
      <c r="E79" s="37"/>
      <c r="F79" s="53"/>
      <c r="G79" s="53"/>
      <c r="H79" s="53"/>
      <c r="I79" s="53"/>
      <c r="J79" s="53"/>
      <c r="K79" s="77"/>
      <c r="L79" s="78"/>
      <c r="M79" s="53"/>
      <c r="N79" s="53"/>
      <c r="O79" s="53"/>
    </row>
    <row r="80">
      <c r="A80" s="37"/>
      <c r="B80" s="37"/>
      <c r="C80" s="37"/>
      <c r="D80" s="37"/>
      <c r="E80" s="37"/>
      <c r="F80" s="53"/>
      <c r="G80" s="53"/>
      <c r="I80" s="53"/>
      <c r="J80" s="53"/>
      <c r="K80" s="77"/>
      <c r="L80" s="78"/>
      <c r="M80" s="52"/>
      <c r="N80" s="53"/>
      <c r="O80" s="53"/>
    </row>
    <row r="81">
      <c r="A81" s="37"/>
      <c r="B81" s="37"/>
      <c r="C81" s="37"/>
      <c r="D81" s="37"/>
      <c r="E81" s="37"/>
      <c r="F81" s="53"/>
      <c r="G81" s="53"/>
      <c r="H81" s="53"/>
      <c r="I81" s="53"/>
      <c r="J81" s="53"/>
      <c r="K81" s="77"/>
      <c r="L81" s="78"/>
      <c r="M81" s="53"/>
      <c r="N81" s="53"/>
      <c r="O81" s="53"/>
    </row>
    <row r="82">
      <c r="A82" s="37"/>
      <c r="B82" s="37"/>
      <c r="C82" s="37"/>
      <c r="D82" s="37"/>
      <c r="E82" s="37"/>
      <c r="F82" s="53"/>
      <c r="G82" s="53"/>
      <c r="H82" s="53"/>
      <c r="I82" s="53"/>
      <c r="J82" s="53"/>
      <c r="K82" s="77"/>
      <c r="L82" s="78"/>
      <c r="M82" s="53"/>
      <c r="N82" s="53"/>
      <c r="O82" s="53"/>
    </row>
    <row r="83">
      <c r="A83" s="37"/>
      <c r="B83" s="37"/>
      <c r="C83" s="37"/>
      <c r="D83" s="37"/>
      <c r="E83" s="37"/>
      <c r="F83" s="53"/>
      <c r="G83" s="53"/>
      <c r="H83" s="53"/>
      <c r="I83" s="53"/>
      <c r="J83" s="53"/>
      <c r="K83" s="77"/>
      <c r="L83" s="78"/>
      <c r="M83" s="53"/>
      <c r="N83" s="53"/>
      <c r="O83" s="53"/>
    </row>
    <row r="84">
      <c r="A84" s="37"/>
      <c r="B84" s="37"/>
      <c r="C84" s="37"/>
      <c r="D84" s="37"/>
      <c r="E84" s="37"/>
      <c r="F84" s="53"/>
      <c r="G84" s="53"/>
      <c r="H84" s="53"/>
      <c r="I84" s="53"/>
      <c r="J84" s="53"/>
      <c r="K84" s="77"/>
      <c r="L84" s="78"/>
      <c r="M84" s="53"/>
      <c r="N84" s="53"/>
      <c r="O84" s="53"/>
    </row>
    <row r="85">
      <c r="A85" s="37"/>
      <c r="B85" s="37"/>
      <c r="C85" s="37"/>
      <c r="D85" s="37"/>
      <c r="E85" s="37"/>
      <c r="F85" s="53"/>
      <c r="G85" s="53"/>
      <c r="H85" s="53"/>
      <c r="I85" s="53"/>
      <c r="J85" s="53"/>
      <c r="K85" s="77"/>
      <c r="L85" s="78"/>
      <c r="M85" s="53"/>
      <c r="N85" s="53"/>
      <c r="O85" s="53"/>
    </row>
    <row r="86">
      <c r="A86" s="37"/>
      <c r="B86" s="37"/>
      <c r="C86" s="37"/>
      <c r="D86" s="37"/>
      <c r="E86" s="37"/>
      <c r="F86" s="53"/>
      <c r="G86" s="53"/>
      <c r="H86" s="53"/>
      <c r="I86" s="53"/>
      <c r="J86" s="53"/>
      <c r="K86" s="77"/>
      <c r="L86" s="78"/>
      <c r="M86" s="53"/>
      <c r="N86" s="53"/>
      <c r="O86" s="53"/>
    </row>
    <row r="87">
      <c r="A87" s="37"/>
      <c r="B87" s="37"/>
      <c r="C87" s="37"/>
      <c r="D87" s="37"/>
      <c r="E87" s="37"/>
      <c r="F87" s="53"/>
      <c r="G87" s="53"/>
      <c r="H87" s="53"/>
      <c r="I87" s="53"/>
      <c r="J87" s="53"/>
      <c r="K87" s="77"/>
      <c r="L87" s="78"/>
      <c r="M87" s="53"/>
      <c r="N87" s="53"/>
      <c r="O87" s="53"/>
    </row>
    <row r="88">
      <c r="A88" s="37"/>
      <c r="B88" s="37"/>
      <c r="C88" s="37"/>
      <c r="D88" s="37"/>
      <c r="E88" s="37"/>
      <c r="F88" s="53"/>
      <c r="G88" s="53"/>
      <c r="H88" s="53"/>
      <c r="I88" s="53"/>
      <c r="J88" s="53"/>
      <c r="K88" s="77"/>
      <c r="L88" s="78"/>
      <c r="M88" s="53"/>
      <c r="N88" s="53"/>
      <c r="O88" s="53"/>
    </row>
    <row r="89">
      <c r="A89" s="37"/>
      <c r="B89" s="37"/>
      <c r="C89" s="37"/>
      <c r="D89" s="37"/>
      <c r="E89" s="37"/>
      <c r="F89" s="53"/>
      <c r="G89" s="53"/>
      <c r="H89" s="53"/>
      <c r="I89" s="53"/>
      <c r="J89" s="53"/>
      <c r="K89" s="77"/>
      <c r="L89" s="78"/>
      <c r="M89" s="53"/>
      <c r="N89" s="53"/>
      <c r="O89" s="53"/>
    </row>
    <row r="90">
      <c r="A90" s="37"/>
      <c r="B90" s="37"/>
      <c r="C90" s="37"/>
      <c r="D90" s="37"/>
      <c r="E90" s="37"/>
      <c r="F90" s="53"/>
      <c r="G90" s="53"/>
      <c r="H90" s="53"/>
      <c r="I90" s="53"/>
      <c r="J90" s="53"/>
      <c r="K90" s="77"/>
      <c r="L90" s="78"/>
      <c r="M90" s="53"/>
      <c r="N90" s="53"/>
      <c r="O90" s="53"/>
    </row>
    <row r="91">
      <c r="A91" s="37"/>
      <c r="B91" s="37"/>
      <c r="C91" s="37"/>
      <c r="D91" s="37"/>
      <c r="E91" s="37"/>
      <c r="F91" s="53"/>
      <c r="G91" s="53"/>
      <c r="H91" s="53"/>
      <c r="I91" s="53"/>
      <c r="J91" s="53"/>
      <c r="K91" s="77"/>
      <c r="L91" s="78"/>
      <c r="M91" s="53"/>
      <c r="N91" s="53"/>
      <c r="O91" s="53"/>
    </row>
    <row r="92">
      <c r="A92" s="37"/>
      <c r="B92" s="37"/>
      <c r="C92" s="37"/>
      <c r="D92" s="37"/>
      <c r="E92" s="37"/>
      <c r="F92" s="53"/>
      <c r="G92" s="53"/>
      <c r="H92" s="53"/>
      <c r="I92" s="53"/>
      <c r="J92" s="53"/>
      <c r="K92" s="77"/>
      <c r="L92" s="78"/>
      <c r="M92" s="53"/>
      <c r="N92" s="53"/>
      <c r="O92" s="53"/>
    </row>
    <row r="93">
      <c r="A93" s="37"/>
      <c r="B93" s="37"/>
      <c r="C93" s="37"/>
      <c r="D93" s="37"/>
      <c r="E93" s="37"/>
      <c r="F93" s="53"/>
      <c r="G93" s="53"/>
      <c r="H93" s="53"/>
      <c r="I93" s="53"/>
      <c r="J93" s="53"/>
      <c r="K93" s="77"/>
      <c r="L93" s="78"/>
      <c r="M93" s="53"/>
      <c r="N93" s="53"/>
      <c r="O93" s="53"/>
    </row>
    <row r="94">
      <c r="A94" s="37"/>
      <c r="B94" s="37"/>
      <c r="C94" s="37"/>
      <c r="D94" s="37"/>
      <c r="E94" s="37"/>
      <c r="F94" s="53"/>
      <c r="G94" s="53"/>
      <c r="H94" s="53"/>
      <c r="I94" s="53"/>
      <c r="J94" s="53"/>
      <c r="K94" s="77"/>
      <c r="L94" s="78"/>
      <c r="M94" s="53"/>
      <c r="N94" s="53"/>
      <c r="O94" s="53"/>
    </row>
    <row r="95">
      <c r="A95" s="37"/>
      <c r="B95" s="37"/>
      <c r="C95" s="37"/>
      <c r="D95" s="37"/>
      <c r="E95" s="37"/>
      <c r="F95" s="53"/>
      <c r="G95" s="53"/>
      <c r="H95" s="53"/>
      <c r="I95" s="53"/>
      <c r="J95" s="53"/>
      <c r="K95" s="77"/>
      <c r="L95" s="78"/>
      <c r="M95" s="53"/>
      <c r="N95" s="53"/>
      <c r="O95" s="53"/>
    </row>
    <row r="96">
      <c r="A96" s="37"/>
      <c r="B96" s="37"/>
      <c r="C96" s="37"/>
      <c r="D96" s="37"/>
      <c r="E96" s="37"/>
      <c r="F96" s="53"/>
      <c r="G96" s="53"/>
      <c r="H96" s="53"/>
      <c r="I96" s="53"/>
      <c r="J96" s="53"/>
      <c r="K96" s="77"/>
      <c r="L96" s="78"/>
      <c r="M96" s="53"/>
      <c r="N96" s="53"/>
      <c r="O96" s="53"/>
    </row>
    <row r="97">
      <c r="A97" s="37"/>
      <c r="B97" s="37"/>
      <c r="C97" s="37"/>
      <c r="D97" s="37"/>
      <c r="E97" s="37"/>
      <c r="F97" s="53"/>
      <c r="G97" s="53"/>
      <c r="H97" s="53"/>
      <c r="I97" s="53"/>
      <c r="J97" s="53"/>
      <c r="K97" s="77"/>
      <c r="L97" s="78"/>
      <c r="M97" s="53"/>
      <c r="N97" s="53"/>
      <c r="O97" s="53"/>
    </row>
    <row r="98">
      <c r="A98" s="37"/>
      <c r="B98" s="37"/>
      <c r="C98" s="37"/>
      <c r="D98" s="37"/>
      <c r="E98" s="37"/>
      <c r="F98" s="53"/>
      <c r="G98" s="53"/>
      <c r="H98" s="53"/>
      <c r="I98" s="53"/>
      <c r="J98" s="53"/>
      <c r="K98" s="77"/>
      <c r="L98" s="78"/>
      <c r="M98" s="53"/>
      <c r="N98" s="53"/>
      <c r="O98" s="53"/>
    </row>
    <row r="99">
      <c r="A99" s="37"/>
      <c r="B99" s="37"/>
      <c r="C99" s="37"/>
      <c r="D99" s="37"/>
      <c r="E99" s="37"/>
      <c r="F99" s="53"/>
      <c r="G99" s="53"/>
      <c r="H99" s="53"/>
      <c r="I99" s="53"/>
      <c r="J99" s="53"/>
      <c r="K99" s="77"/>
      <c r="L99" s="78"/>
      <c r="M99" s="53"/>
      <c r="N99" s="53"/>
      <c r="O99" s="53"/>
    </row>
    <row r="100">
      <c r="A100" s="37"/>
      <c r="B100" s="37"/>
      <c r="C100" s="37"/>
      <c r="D100" s="37"/>
      <c r="E100" s="37"/>
      <c r="F100" s="53"/>
      <c r="G100" s="53"/>
      <c r="H100" s="53"/>
      <c r="I100" s="53"/>
      <c r="J100" s="53"/>
      <c r="K100" s="77"/>
      <c r="L100" s="78"/>
      <c r="M100" s="53"/>
      <c r="N100" s="53"/>
      <c r="O100" s="53"/>
    </row>
    <row r="101">
      <c r="A101" s="37"/>
      <c r="B101" s="37"/>
      <c r="C101" s="37"/>
      <c r="D101" s="37"/>
      <c r="E101" s="37"/>
      <c r="F101" s="53"/>
      <c r="G101" s="53"/>
      <c r="H101" s="53"/>
      <c r="I101" s="53"/>
      <c r="J101" s="53"/>
      <c r="K101" s="77"/>
      <c r="L101" s="78"/>
      <c r="M101" s="53"/>
      <c r="N101" s="53"/>
      <c r="O101" s="53"/>
    </row>
    <row r="102">
      <c r="A102" s="37"/>
      <c r="B102" s="37"/>
      <c r="C102" s="37"/>
      <c r="D102" s="37"/>
      <c r="E102" s="37"/>
      <c r="F102" s="53"/>
      <c r="G102" s="53"/>
      <c r="H102" s="53"/>
      <c r="I102" s="53"/>
      <c r="J102" s="53"/>
      <c r="K102" s="77"/>
      <c r="L102" s="78"/>
      <c r="M102" s="53"/>
      <c r="N102" s="53"/>
      <c r="O102" s="53"/>
    </row>
    <row r="103">
      <c r="A103" s="37"/>
      <c r="B103" s="37"/>
      <c r="C103" s="37"/>
      <c r="D103" s="37"/>
      <c r="E103" s="37"/>
      <c r="F103" s="53"/>
      <c r="G103" s="53"/>
      <c r="H103" s="53"/>
      <c r="I103" s="53"/>
      <c r="J103" s="53"/>
      <c r="K103" s="77"/>
      <c r="L103" s="78"/>
      <c r="M103" s="53"/>
      <c r="N103" s="53"/>
      <c r="O103" s="53"/>
    </row>
    <row r="104">
      <c r="A104" s="37"/>
      <c r="B104" s="37"/>
      <c r="C104" s="37"/>
      <c r="D104" s="37"/>
      <c r="E104" s="37"/>
      <c r="F104" s="53"/>
      <c r="G104" s="53"/>
      <c r="H104" s="53"/>
      <c r="I104" s="53"/>
      <c r="J104" s="53"/>
      <c r="K104" s="77"/>
      <c r="L104" s="78"/>
      <c r="M104" s="53"/>
      <c r="N104" s="53"/>
      <c r="O104" s="53"/>
    </row>
    <row r="105">
      <c r="A105" s="37"/>
      <c r="B105" s="37"/>
      <c r="C105" s="37"/>
      <c r="D105" s="37"/>
      <c r="E105" s="37"/>
      <c r="F105" s="53"/>
      <c r="G105" s="53"/>
      <c r="H105" s="53"/>
      <c r="I105" s="53"/>
      <c r="J105" s="53"/>
      <c r="K105" s="77"/>
      <c r="L105" s="78"/>
      <c r="M105" s="53"/>
      <c r="N105" s="53"/>
      <c r="O105" s="53"/>
    </row>
    <row r="106">
      <c r="A106" s="37"/>
      <c r="B106" s="37"/>
      <c r="C106" s="37"/>
      <c r="D106" s="37"/>
      <c r="E106" s="37"/>
      <c r="F106" s="53"/>
      <c r="G106" s="53"/>
      <c r="H106" s="53"/>
      <c r="I106" s="53"/>
      <c r="J106" s="53"/>
      <c r="K106" s="77"/>
      <c r="L106" s="78"/>
      <c r="M106" s="53"/>
      <c r="N106" s="53"/>
      <c r="O106" s="53"/>
    </row>
    <row r="107">
      <c r="A107" s="37"/>
      <c r="B107" s="37"/>
      <c r="C107" s="37"/>
      <c r="D107" s="37"/>
      <c r="E107" s="37"/>
      <c r="F107" s="53"/>
      <c r="G107" s="53"/>
      <c r="H107" s="53"/>
      <c r="I107" s="53"/>
      <c r="J107" s="53"/>
      <c r="K107" s="77"/>
      <c r="L107" s="78"/>
      <c r="M107" s="53"/>
      <c r="N107" s="53"/>
      <c r="O107" s="53"/>
    </row>
    <row r="108">
      <c r="A108" s="37"/>
      <c r="B108" s="37"/>
      <c r="C108" s="37"/>
      <c r="D108" s="37"/>
      <c r="E108" s="37"/>
      <c r="F108" s="53"/>
      <c r="G108" s="53"/>
      <c r="H108" s="53"/>
      <c r="I108" s="53"/>
      <c r="J108" s="53"/>
      <c r="K108" s="77"/>
      <c r="L108" s="78"/>
      <c r="M108" s="53"/>
      <c r="N108" s="53"/>
      <c r="O108" s="53"/>
    </row>
    <row r="109">
      <c r="A109" s="37"/>
      <c r="B109" s="37"/>
      <c r="C109" s="37"/>
      <c r="D109" s="37"/>
      <c r="E109" s="37"/>
      <c r="F109" s="53"/>
      <c r="G109" s="53"/>
      <c r="H109" s="53"/>
      <c r="I109" s="53"/>
      <c r="J109" s="53"/>
      <c r="K109" s="77"/>
      <c r="L109" s="78"/>
      <c r="M109" s="53"/>
      <c r="N109" s="53"/>
      <c r="O109" s="53"/>
    </row>
    <row r="110">
      <c r="A110" s="37"/>
      <c r="B110" s="37"/>
      <c r="C110" s="37"/>
      <c r="D110" s="37"/>
      <c r="E110" s="37"/>
      <c r="F110" s="53"/>
      <c r="G110" s="53"/>
      <c r="H110" s="53"/>
      <c r="I110" s="53"/>
      <c r="J110" s="53"/>
      <c r="K110" s="77"/>
      <c r="L110" s="78"/>
      <c r="M110" s="53"/>
      <c r="N110" s="53"/>
      <c r="O110" s="53"/>
    </row>
    <row r="111">
      <c r="A111" s="37"/>
      <c r="B111" s="37"/>
      <c r="C111" s="37"/>
      <c r="D111" s="37"/>
      <c r="E111" s="37"/>
      <c r="F111" s="53"/>
      <c r="G111" s="53"/>
      <c r="H111" s="53"/>
      <c r="I111" s="53"/>
      <c r="J111" s="53"/>
      <c r="K111" s="77"/>
      <c r="L111" s="78"/>
      <c r="M111" s="53"/>
      <c r="N111" s="53"/>
      <c r="O111" s="53"/>
    </row>
    <row r="112">
      <c r="A112" s="37"/>
      <c r="B112" s="37"/>
      <c r="C112" s="37"/>
      <c r="D112" s="37"/>
      <c r="E112" s="37"/>
      <c r="F112" s="53"/>
      <c r="G112" s="53"/>
      <c r="H112" s="53"/>
      <c r="I112" s="53"/>
      <c r="J112" s="53"/>
      <c r="K112" s="77"/>
      <c r="L112" s="78"/>
      <c r="M112" s="53"/>
      <c r="N112" s="53"/>
      <c r="O112" s="53"/>
    </row>
    <row r="113">
      <c r="A113" s="37"/>
      <c r="B113" s="37"/>
      <c r="C113" s="37"/>
      <c r="D113" s="37"/>
      <c r="E113" s="37"/>
      <c r="F113" s="53"/>
      <c r="G113" s="53"/>
      <c r="H113" s="53"/>
      <c r="I113" s="53"/>
      <c r="J113" s="53"/>
      <c r="K113" s="77"/>
      <c r="L113" s="78"/>
      <c r="M113" s="53"/>
      <c r="N113" s="53"/>
      <c r="O113" s="53"/>
    </row>
    <row r="114">
      <c r="A114" s="37"/>
      <c r="B114" s="37"/>
      <c r="C114" s="37"/>
      <c r="D114" s="37"/>
      <c r="E114" s="37"/>
      <c r="F114" s="53"/>
      <c r="G114" s="53"/>
      <c r="H114" s="53"/>
      <c r="I114" s="53"/>
      <c r="J114" s="53"/>
      <c r="K114" s="77"/>
      <c r="L114" s="78"/>
      <c r="M114" s="53"/>
      <c r="N114" s="53"/>
      <c r="O114" s="53"/>
    </row>
    <row r="115">
      <c r="A115" s="37"/>
      <c r="B115" s="37"/>
      <c r="C115" s="37"/>
      <c r="D115" s="37"/>
      <c r="E115" s="37"/>
      <c r="F115" s="53"/>
      <c r="G115" s="53"/>
      <c r="H115" s="53"/>
      <c r="I115" s="53"/>
      <c r="J115" s="53"/>
      <c r="K115" s="77"/>
      <c r="L115" s="78"/>
      <c r="M115" s="53"/>
      <c r="N115" s="53"/>
      <c r="O115" s="53"/>
    </row>
    <row r="116">
      <c r="A116" s="37"/>
      <c r="B116" s="37"/>
      <c r="C116" s="37"/>
      <c r="D116" s="37"/>
      <c r="E116" s="37"/>
      <c r="F116" s="53"/>
      <c r="G116" s="53"/>
      <c r="H116" s="53"/>
      <c r="I116" s="53"/>
      <c r="J116" s="53"/>
      <c r="K116" s="77"/>
      <c r="L116" s="78"/>
      <c r="M116" s="53"/>
      <c r="N116" s="53"/>
      <c r="O116" s="53"/>
    </row>
    <row r="117">
      <c r="A117" s="37"/>
      <c r="B117" s="37"/>
      <c r="C117" s="37"/>
      <c r="D117" s="37"/>
      <c r="E117" s="37"/>
      <c r="F117" s="53"/>
      <c r="G117" s="53"/>
      <c r="H117" s="53"/>
      <c r="I117" s="53"/>
      <c r="J117" s="53"/>
      <c r="K117" s="77"/>
      <c r="L117" s="78"/>
      <c r="M117" s="53"/>
      <c r="N117" s="53"/>
      <c r="O117" s="53"/>
    </row>
    <row r="118">
      <c r="A118" s="37"/>
      <c r="B118" s="37"/>
      <c r="C118" s="37"/>
      <c r="D118" s="37"/>
      <c r="E118" s="37"/>
      <c r="F118" s="53"/>
      <c r="G118" s="53"/>
      <c r="H118" s="53"/>
      <c r="I118" s="53"/>
      <c r="J118" s="53"/>
      <c r="K118" s="77"/>
      <c r="L118" s="78"/>
      <c r="M118" s="53"/>
      <c r="N118" s="53"/>
      <c r="O118" s="53"/>
    </row>
    <row r="119">
      <c r="A119" s="37"/>
      <c r="B119" s="37"/>
      <c r="C119" s="37"/>
      <c r="D119" s="37"/>
      <c r="E119" s="37"/>
      <c r="F119" s="53"/>
      <c r="G119" s="53"/>
      <c r="H119" s="53"/>
      <c r="I119" s="53"/>
      <c r="J119" s="53"/>
      <c r="K119" s="77"/>
      <c r="L119" s="78"/>
      <c r="M119" s="53"/>
      <c r="N119" s="53"/>
      <c r="O119" s="53"/>
    </row>
    <row r="120">
      <c r="A120" s="37"/>
      <c r="B120" s="37"/>
      <c r="C120" s="37"/>
      <c r="D120" s="37"/>
      <c r="E120" s="37"/>
      <c r="F120" s="53"/>
      <c r="G120" s="53"/>
      <c r="H120" s="53"/>
      <c r="I120" s="53"/>
      <c r="J120" s="53"/>
      <c r="K120" s="77"/>
      <c r="L120" s="78"/>
      <c r="M120" s="53"/>
      <c r="N120" s="53"/>
      <c r="O120" s="53"/>
    </row>
    <row r="121">
      <c r="A121" s="37"/>
      <c r="B121" s="37"/>
      <c r="C121" s="37"/>
      <c r="D121" s="37"/>
      <c r="E121" s="37"/>
      <c r="F121" s="53"/>
      <c r="G121" s="53"/>
      <c r="H121" s="53"/>
      <c r="I121" s="53"/>
      <c r="J121" s="53"/>
      <c r="K121" s="77"/>
      <c r="L121" s="78"/>
      <c r="M121" s="53"/>
      <c r="N121" s="53"/>
      <c r="O121" s="53"/>
    </row>
    <row r="122">
      <c r="A122" s="37"/>
      <c r="B122" s="37"/>
      <c r="C122" s="37"/>
      <c r="D122" s="37"/>
      <c r="E122" s="37"/>
      <c r="F122" s="53"/>
      <c r="G122" s="53"/>
      <c r="H122" s="53"/>
      <c r="I122" s="53"/>
      <c r="J122" s="53"/>
      <c r="K122" s="77"/>
      <c r="L122" s="78"/>
      <c r="M122" s="53"/>
      <c r="N122" s="53"/>
      <c r="O122" s="53"/>
    </row>
    <row r="123">
      <c r="A123" s="37"/>
      <c r="B123" s="37"/>
      <c r="C123" s="37"/>
      <c r="D123" s="37"/>
      <c r="E123" s="37"/>
      <c r="F123" s="53"/>
      <c r="G123" s="53"/>
      <c r="H123" s="53"/>
      <c r="I123" s="53"/>
      <c r="J123" s="53"/>
      <c r="K123" s="77"/>
      <c r="L123" s="78"/>
      <c r="M123" s="53"/>
      <c r="N123" s="53"/>
      <c r="O123" s="53"/>
    </row>
    <row r="124">
      <c r="A124" s="37"/>
      <c r="B124" s="37"/>
      <c r="C124" s="37"/>
      <c r="D124" s="37"/>
      <c r="E124" s="37"/>
      <c r="F124" s="53"/>
      <c r="G124" s="53"/>
      <c r="H124" s="53"/>
      <c r="I124" s="53"/>
      <c r="J124" s="53"/>
      <c r="K124" s="77"/>
      <c r="L124" s="78"/>
      <c r="M124" s="53"/>
      <c r="N124" s="53"/>
      <c r="O124" s="53"/>
    </row>
    <row r="125">
      <c r="A125" s="37"/>
      <c r="B125" s="37"/>
      <c r="C125" s="37"/>
      <c r="D125" s="37"/>
      <c r="E125" s="37"/>
      <c r="F125" s="53"/>
      <c r="G125" s="53"/>
      <c r="H125" s="53"/>
      <c r="I125" s="53"/>
      <c r="J125" s="53"/>
      <c r="K125" s="77"/>
      <c r="L125" s="78"/>
      <c r="M125" s="53"/>
      <c r="N125" s="53"/>
      <c r="O125" s="53"/>
    </row>
    <row r="126">
      <c r="A126" s="37"/>
      <c r="B126" s="37"/>
      <c r="C126" s="37"/>
      <c r="D126" s="37"/>
      <c r="E126" s="37"/>
      <c r="F126" s="53"/>
      <c r="G126" s="53"/>
      <c r="H126" s="53"/>
      <c r="I126" s="53"/>
      <c r="J126" s="53"/>
      <c r="K126" s="77"/>
      <c r="L126" s="78"/>
      <c r="M126" s="53"/>
      <c r="N126" s="53"/>
      <c r="O126" s="53"/>
    </row>
    <row r="127">
      <c r="A127" s="37"/>
      <c r="B127" s="37"/>
      <c r="C127" s="37"/>
      <c r="D127" s="37"/>
      <c r="E127" s="37"/>
      <c r="F127" s="53"/>
      <c r="G127" s="53"/>
      <c r="H127" s="53"/>
      <c r="I127" s="53"/>
      <c r="J127" s="53"/>
      <c r="K127" s="77"/>
      <c r="L127" s="78"/>
      <c r="M127" s="53"/>
      <c r="N127" s="53"/>
      <c r="O127" s="53"/>
    </row>
    <row r="128">
      <c r="A128" s="37"/>
      <c r="B128" s="37"/>
      <c r="C128" s="37"/>
      <c r="D128" s="37"/>
      <c r="E128" s="37"/>
      <c r="F128" s="53"/>
      <c r="G128" s="53"/>
      <c r="H128" s="53"/>
      <c r="I128" s="53"/>
      <c r="J128" s="53"/>
      <c r="K128" s="77"/>
      <c r="L128" s="78"/>
      <c r="M128" s="53"/>
      <c r="N128" s="53"/>
      <c r="O128" s="53"/>
    </row>
    <row r="129">
      <c r="A129" s="37"/>
      <c r="B129" s="37"/>
      <c r="C129" s="37"/>
      <c r="D129" s="37"/>
      <c r="E129" s="37"/>
      <c r="F129" s="53"/>
      <c r="G129" s="53"/>
      <c r="H129" s="53"/>
      <c r="I129" s="53"/>
      <c r="J129" s="53"/>
      <c r="K129" s="77"/>
      <c r="L129" s="78"/>
      <c r="M129" s="53"/>
      <c r="N129" s="53"/>
      <c r="O129" s="53"/>
    </row>
    <row r="130">
      <c r="A130" s="37"/>
      <c r="B130" s="37"/>
      <c r="C130" s="37"/>
      <c r="D130" s="37"/>
      <c r="E130" s="37"/>
      <c r="F130" s="53"/>
      <c r="G130" s="53"/>
      <c r="H130" s="53"/>
      <c r="I130" s="53"/>
      <c r="J130" s="53"/>
      <c r="K130" s="77"/>
      <c r="L130" s="78"/>
      <c r="M130" s="53"/>
      <c r="N130" s="53"/>
      <c r="O130" s="53"/>
    </row>
    <row r="131">
      <c r="A131" s="37"/>
      <c r="B131" s="37"/>
      <c r="C131" s="37"/>
      <c r="D131" s="37"/>
      <c r="E131" s="37"/>
      <c r="F131" s="53"/>
      <c r="G131" s="53"/>
      <c r="H131" s="53"/>
      <c r="I131" s="53"/>
      <c r="J131" s="53"/>
      <c r="K131" s="77"/>
      <c r="L131" s="78"/>
      <c r="M131" s="53"/>
      <c r="N131" s="53"/>
      <c r="O131" s="53"/>
    </row>
    <row r="132">
      <c r="A132" s="37"/>
      <c r="B132" s="37"/>
      <c r="C132" s="37"/>
      <c r="D132" s="37"/>
      <c r="E132" s="37"/>
      <c r="F132" s="53"/>
      <c r="G132" s="53"/>
      <c r="H132" s="53"/>
      <c r="I132" s="53"/>
      <c r="J132" s="53"/>
      <c r="K132" s="77"/>
      <c r="L132" s="78"/>
      <c r="M132" s="53"/>
      <c r="N132" s="53"/>
      <c r="O132" s="53"/>
    </row>
    <row r="133">
      <c r="A133" s="37"/>
      <c r="B133" s="37"/>
      <c r="C133" s="37"/>
      <c r="D133" s="37"/>
      <c r="E133" s="37"/>
      <c r="F133" s="53"/>
      <c r="G133" s="53"/>
      <c r="H133" s="53"/>
      <c r="I133" s="53"/>
      <c r="J133" s="53"/>
      <c r="K133" s="77"/>
      <c r="L133" s="78"/>
      <c r="M133" s="53"/>
      <c r="N133" s="53"/>
      <c r="O133" s="53"/>
    </row>
    <row r="134">
      <c r="A134" s="37"/>
      <c r="B134" s="37"/>
      <c r="C134" s="37"/>
      <c r="D134" s="37"/>
      <c r="E134" s="37"/>
      <c r="F134" s="53"/>
      <c r="G134" s="53"/>
      <c r="H134" s="53"/>
      <c r="I134" s="53"/>
      <c r="J134" s="53"/>
      <c r="K134" s="77"/>
      <c r="L134" s="78"/>
      <c r="M134" s="53"/>
      <c r="N134" s="53"/>
      <c r="O134" s="53"/>
    </row>
    <row r="135">
      <c r="A135" s="37"/>
      <c r="B135" s="37"/>
      <c r="C135" s="37"/>
      <c r="D135" s="37"/>
      <c r="E135" s="37"/>
      <c r="F135" s="53"/>
      <c r="G135" s="53"/>
      <c r="H135" s="53"/>
      <c r="I135" s="53"/>
      <c r="J135" s="53"/>
      <c r="K135" s="77"/>
      <c r="L135" s="78"/>
      <c r="M135" s="53"/>
      <c r="N135" s="53"/>
      <c r="O135" s="53"/>
    </row>
    <row r="136">
      <c r="A136" s="37"/>
      <c r="B136" s="37"/>
      <c r="C136" s="37"/>
      <c r="D136" s="37"/>
      <c r="E136" s="37"/>
      <c r="F136" s="53"/>
      <c r="G136" s="53"/>
      <c r="H136" s="53"/>
      <c r="I136" s="53"/>
      <c r="J136" s="53"/>
      <c r="K136" s="77"/>
      <c r="L136" s="78"/>
      <c r="M136" s="53"/>
      <c r="N136" s="53"/>
      <c r="O136" s="53"/>
    </row>
    <row r="137">
      <c r="A137" s="37"/>
      <c r="B137" s="37"/>
      <c r="C137" s="37"/>
      <c r="D137" s="37"/>
      <c r="E137" s="37"/>
      <c r="F137" s="53"/>
      <c r="G137" s="53"/>
      <c r="H137" s="53"/>
      <c r="I137" s="53"/>
      <c r="J137" s="53"/>
      <c r="K137" s="77"/>
      <c r="L137" s="78"/>
      <c r="M137" s="53"/>
      <c r="N137" s="53"/>
      <c r="O137" s="53"/>
    </row>
    <row r="138">
      <c r="A138" s="37"/>
      <c r="B138" s="37"/>
      <c r="C138" s="37"/>
      <c r="D138" s="37"/>
      <c r="E138" s="37"/>
      <c r="F138" s="53"/>
      <c r="G138" s="53"/>
      <c r="H138" s="53"/>
      <c r="I138" s="53"/>
      <c r="J138" s="53"/>
      <c r="K138" s="77"/>
      <c r="L138" s="78"/>
      <c r="M138" s="53"/>
      <c r="N138" s="53"/>
      <c r="O138" s="53"/>
    </row>
    <row r="139">
      <c r="A139" s="37"/>
      <c r="B139" s="37"/>
      <c r="C139" s="37"/>
      <c r="D139" s="37"/>
      <c r="E139" s="37"/>
      <c r="F139" s="53"/>
      <c r="G139" s="53"/>
      <c r="H139" s="53"/>
      <c r="I139" s="53"/>
      <c r="J139" s="53"/>
      <c r="K139" s="77"/>
      <c r="L139" s="78"/>
      <c r="M139" s="53"/>
      <c r="N139" s="53"/>
      <c r="O139" s="53"/>
    </row>
    <row r="140">
      <c r="A140" s="37"/>
      <c r="B140" s="37"/>
      <c r="C140" s="37"/>
      <c r="D140" s="37"/>
      <c r="E140" s="37"/>
      <c r="F140" s="53"/>
      <c r="G140" s="53"/>
      <c r="H140" s="53"/>
      <c r="I140" s="53"/>
      <c r="J140" s="53"/>
      <c r="K140" s="77"/>
      <c r="L140" s="78"/>
      <c r="M140" s="53"/>
      <c r="N140" s="53"/>
      <c r="O140" s="53"/>
    </row>
    <row r="141">
      <c r="A141" s="37"/>
      <c r="B141" s="37"/>
      <c r="C141" s="37"/>
      <c r="D141" s="37"/>
      <c r="E141" s="37"/>
      <c r="F141" s="53"/>
      <c r="G141" s="53"/>
      <c r="H141" s="53"/>
      <c r="I141" s="53"/>
      <c r="J141" s="53"/>
      <c r="K141" s="77"/>
      <c r="L141" s="78"/>
      <c r="M141" s="53"/>
      <c r="N141" s="53"/>
      <c r="O141" s="53"/>
    </row>
    <row r="142">
      <c r="A142" s="37"/>
      <c r="B142" s="37"/>
      <c r="C142" s="37"/>
      <c r="D142" s="37"/>
      <c r="E142" s="37"/>
      <c r="F142" s="53"/>
      <c r="G142" s="53"/>
      <c r="H142" s="53"/>
      <c r="I142" s="53"/>
      <c r="J142" s="53"/>
      <c r="K142" s="77"/>
      <c r="L142" s="78"/>
      <c r="M142" s="53"/>
      <c r="N142" s="53"/>
      <c r="O142" s="53"/>
    </row>
    <row r="143">
      <c r="A143" s="37"/>
      <c r="B143" s="37"/>
      <c r="C143" s="37"/>
      <c r="D143" s="37"/>
      <c r="E143" s="37"/>
      <c r="F143" s="53"/>
      <c r="G143" s="53"/>
      <c r="H143" s="53"/>
      <c r="I143" s="53"/>
      <c r="J143" s="53"/>
      <c r="K143" s="77"/>
      <c r="L143" s="78"/>
      <c r="M143" s="53"/>
      <c r="N143" s="53"/>
      <c r="O143" s="53"/>
    </row>
    <row r="144">
      <c r="A144" s="37"/>
      <c r="B144" s="37"/>
      <c r="C144" s="37"/>
      <c r="D144" s="37"/>
      <c r="E144" s="37"/>
      <c r="F144" s="53"/>
      <c r="G144" s="53"/>
      <c r="H144" s="53"/>
      <c r="I144" s="53"/>
      <c r="J144" s="53"/>
      <c r="K144" s="77"/>
      <c r="L144" s="78"/>
      <c r="M144" s="53"/>
      <c r="N144" s="53"/>
      <c r="O144" s="53"/>
    </row>
    <row r="145">
      <c r="A145" s="37"/>
      <c r="B145" s="37"/>
      <c r="C145" s="37"/>
      <c r="D145" s="37"/>
      <c r="E145" s="37"/>
      <c r="F145" s="53"/>
      <c r="G145" s="53"/>
      <c r="H145" s="53"/>
      <c r="I145" s="53"/>
      <c r="J145" s="53"/>
      <c r="K145" s="77"/>
      <c r="L145" s="78"/>
      <c r="M145" s="53"/>
      <c r="N145" s="53"/>
      <c r="O145" s="53"/>
    </row>
    <row r="146">
      <c r="A146" s="37"/>
      <c r="B146" s="37"/>
      <c r="C146" s="37"/>
      <c r="D146" s="37"/>
      <c r="E146" s="37"/>
      <c r="F146" s="53"/>
      <c r="G146" s="53"/>
      <c r="H146" s="53"/>
      <c r="I146" s="53"/>
      <c r="J146" s="53"/>
      <c r="K146" s="77"/>
      <c r="L146" s="78"/>
      <c r="M146" s="53"/>
      <c r="N146" s="53"/>
      <c r="O146" s="53"/>
    </row>
    <row r="147">
      <c r="A147" s="37"/>
      <c r="B147" s="37"/>
      <c r="C147" s="37"/>
      <c r="D147" s="37"/>
      <c r="E147" s="37"/>
      <c r="F147" s="53"/>
      <c r="G147" s="53"/>
      <c r="H147" s="53"/>
      <c r="I147" s="53"/>
      <c r="J147" s="53"/>
      <c r="K147" s="77"/>
      <c r="L147" s="78"/>
      <c r="M147" s="53"/>
      <c r="N147" s="53"/>
      <c r="O147" s="53"/>
    </row>
    <row r="148">
      <c r="A148" s="37"/>
      <c r="B148" s="37"/>
      <c r="C148" s="37"/>
      <c r="D148" s="37"/>
      <c r="E148" s="37"/>
      <c r="F148" s="53"/>
      <c r="G148" s="53"/>
      <c r="H148" s="53"/>
      <c r="I148" s="53"/>
      <c r="J148" s="53"/>
      <c r="K148" s="77"/>
      <c r="L148" s="78"/>
      <c r="M148" s="53"/>
      <c r="N148" s="53"/>
      <c r="O148" s="53"/>
    </row>
    <row r="149">
      <c r="A149" s="37"/>
      <c r="B149" s="37"/>
      <c r="C149" s="37"/>
      <c r="D149" s="37"/>
      <c r="E149" s="37"/>
      <c r="F149" s="53"/>
      <c r="G149" s="53"/>
      <c r="H149" s="53"/>
      <c r="I149" s="53"/>
      <c r="J149" s="53"/>
      <c r="K149" s="77"/>
      <c r="L149" s="78"/>
      <c r="M149" s="53"/>
      <c r="N149" s="53"/>
      <c r="O149" s="53"/>
    </row>
    <row r="150">
      <c r="A150" s="37"/>
      <c r="B150" s="37"/>
      <c r="C150" s="37"/>
      <c r="D150" s="37"/>
      <c r="E150" s="37"/>
      <c r="F150" s="53"/>
      <c r="G150" s="53"/>
      <c r="H150" s="53"/>
      <c r="I150" s="53"/>
      <c r="J150" s="53"/>
      <c r="K150" s="77"/>
      <c r="L150" s="78"/>
      <c r="M150" s="53"/>
      <c r="N150" s="53"/>
      <c r="O150" s="53"/>
    </row>
    <row r="151">
      <c r="A151" s="37"/>
      <c r="B151" s="37"/>
      <c r="C151" s="37"/>
      <c r="D151" s="37"/>
      <c r="E151" s="37"/>
      <c r="F151" s="53"/>
      <c r="G151" s="53"/>
      <c r="H151" s="53"/>
      <c r="I151" s="53"/>
      <c r="J151" s="53"/>
      <c r="K151" s="77"/>
      <c r="L151" s="78"/>
      <c r="M151" s="53"/>
      <c r="N151" s="53"/>
      <c r="O151" s="53"/>
    </row>
    <row r="152">
      <c r="A152" s="37"/>
      <c r="B152" s="37"/>
      <c r="C152" s="37"/>
      <c r="D152" s="37"/>
      <c r="E152" s="37"/>
      <c r="F152" s="53"/>
      <c r="G152" s="53"/>
      <c r="H152" s="53"/>
      <c r="I152" s="53"/>
      <c r="J152" s="53"/>
      <c r="K152" s="77"/>
      <c r="L152" s="78"/>
      <c r="M152" s="53"/>
      <c r="N152" s="53"/>
      <c r="O152" s="53"/>
    </row>
    <row r="153">
      <c r="A153" s="37"/>
      <c r="B153" s="37"/>
      <c r="C153" s="37"/>
      <c r="D153" s="37"/>
      <c r="E153" s="37"/>
      <c r="F153" s="53"/>
      <c r="G153" s="53"/>
      <c r="H153" s="53"/>
      <c r="I153" s="53"/>
      <c r="J153" s="53"/>
      <c r="K153" s="77"/>
      <c r="L153" s="78"/>
      <c r="M153" s="53"/>
      <c r="N153" s="53"/>
      <c r="O153" s="53"/>
    </row>
    <row r="154">
      <c r="A154" s="37"/>
      <c r="B154" s="37"/>
      <c r="C154" s="37"/>
      <c r="D154" s="37"/>
      <c r="E154" s="37"/>
      <c r="F154" s="53"/>
      <c r="G154" s="53"/>
      <c r="H154" s="53"/>
      <c r="I154" s="53"/>
      <c r="J154" s="53"/>
      <c r="K154" s="77"/>
      <c r="L154" s="78"/>
      <c r="M154" s="53"/>
      <c r="N154" s="53"/>
      <c r="O154" s="53"/>
    </row>
    <row r="155">
      <c r="A155" s="37"/>
      <c r="B155" s="37"/>
      <c r="C155" s="37"/>
      <c r="D155" s="37"/>
      <c r="E155" s="37"/>
      <c r="F155" s="53"/>
      <c r="G155" s="53"/>
      <c r="H155" s="53"/>
      <c r="I155" s="53"/>
      <c r="J155" s="53"/>
      <c r="K155" s="77"/>
      <c r="L155" s="78"/>
      <c r="M155" s="53"/>
      <c r="N155" s="53"/>
      <c r="O155" s="53"/>
    </row>
    <row r="156">
      <c r="A156" s="37"/>
      <c r="B156" s="37"/>
      <c r="C156" s="37"/>
      <c r="D156" s="37"/>
      <c r="E156" s="37"/>
      <c r="F156" s="53"/>
      <c r="G156" s="53"/>
      <c r="H156" s="53"/>
      <c r="I156" s="53"/>
      <c r="J156" s="53"/>
      <c r="K156" s="77"/>
      <c r="L156" s="78"/>
      <c r="M156" s="53"/>
      <c r="N156" s="53"/>
      <c r="O156" s="53"/>
    </row>
    <row r="157">
      <c r="A157" s="37"/>
      <c r="B157" s="37"/>
      <c r="C157" s="37"/>
      <c r="D157" s="37"/>
      <c r="E157" s="37"/>
      <c r="F157" s="53"/>
      <c r="G157" s="53"/>
      <c r="H157" s="53"/>
      <c r="I157" s="53"/>
      <c r="J157" s="53"/>
      <c r="K157" s="77"/>
      <c r="L157" s="78"/>
      <c r="M157" s="53"/>
      <c r="N157" s="53"/>
      <c r="O157" s="53"/>
    </row>
    <row r="158">
      <c r="A158" s="37"/>
      <c r="B158" s="37"/>
      <c r="C158" s="37"/>
      <c r="D158" s="37"/>
      <c r="E158" s="37"/>
      <c r="F158" s="53"/>
      <c r="G158" s="53"/>
      <c r="H158" s="53"/>
      <c r="I158" s="53"/>
      <c r="J158" s="53"/>
      <c r="K158" s="77"/>
      <c r="L158" s="78"/>
      <c r="M158" s="53"/>
      <c r="N158" s="53"/>
      <c r="O158" s="53"/>
    </row>
    <row r="159">
      <c r="A159" s="37"/>
      <c r="B159" s="37"/>
      <c r="C159" s="37"/>
      <c r="D159" s="37"/>
      <c r="E159" s="37"/>
      <c r="F159" s="53"/>
      <c r="G159" s="53"/>
      <c r="H159" s="53"/>
      <c r="I159" s="53"/>
      <c r="J159" s="53"/>
      <c r="K159" s="77"/>
      <c r="L159" s="78"/>
      <c r="M159" s="53"/>
      <c r="N159" s="53"/>
      <c r="O159" s="53"/>
    </row>
    <row r="160">
      <c r="A160" s="37"/>
      <c r="B160" s="37"/>
      <c r="C160" s="37"/>
      <c r="D160" s="37"/>
      <c r="E160" s="37"/>
      <c r="F160" s="53"/>
      <c r="G160" s="53"/>
      <c r="H160" s="53"/>
      <c r="I160" s="53"/>
      <c r="J160" s="53"/>
      <c r="K160" s="77"/>
      <c r="L160" s="78"/>
      <c r="M160" s="53"/>
      <c r="N160" s="53"/>
      <c r="O160" s="53"/>
    </row>
    <row r="161">
      <c r="A161" s="37"/>
      <c r="B161" s="37"/>
      <c r="C161" s="37"/>
      <c r="D161" s="37"/>
      <c r="E161" s="37"/>
      <c r="F161" s="53"/>
      <c r="G161" s="53"/>
      <c r="H161" s="53"/>
      <c r="I161" s="53"/>
      <c r="J161" s="53"/>
      <c r="K161" s="77"/>
      <c r="L161" s="78"/>
      <c r="M161" s="53"/>
      <c r="N161" s="53"/>
      <c r="O161" s="53"/>
    </row>
    <row r="162">
      <c r="A162" s="37"/>
      <c r="B162" s="37"/>
      <c r="C162" s="37"/>
      <c r="D162" s="37"/>
      <c r="E162" s="37"/>
      <c r="F162" s="53"/>
      <c r="G162" s="53"/>
      <c r="H162" s="53"/>
      <c r="I162" s="53"/>
      <c r="J162" s="53"/>
      <c r="K162" s="77"/>
      <c r="L162" s="78"/>
      <c r="M162" s="53"/>
      <c r="N162" s="53"/>
      <c r="O162" s="53"/>
    </row>
    <row r="163">
      <c r="A163" s="37"/>
      <c r="B163" s="37"/>
      <c r="C163" s="37"/>
      <c r="D163" s="37"/>
      <c r="E163" s="37"/>
      <c r="F163" s="53"/>
      <c r="G163" s="53"/>
      <c r="H163" s="53"/>
      <c r="I163" s="53"/>
      <c r="J163" s="53"/>
      <c r="K163" s="77"/>
      <c r="L163" s="78"/>
      <c r="M163" s="53"/>
      <c r="N163" s="53"/>
      <c r="O163" s="53"/>
    </row>
    <row r="164">
      <c r="A164" s="37"/>
      <c r="B164" s="37"/>
      <c r="C164" s="37"/>
      <c r="D164" s="37"/>
      <c r="E164" s="37"/>
      <c r="F164" s="53"/>
      <c r="G164" s="53"/>
      <c r="H164" s="53"/>
      <c r="I164" s="53"/>
      <c r="J164" s="53"/>
      <c r="K164" s="77"/>
      <c r="L164" s="78"/>
      <c r="M164" s="53"/>
      <c r="N164" s="53"/>
      <c r="O164" s="53"/>
    </row>
    <row r="165">
      <c r="A165" s="37"/>
      <c r="B165" s="37"/>
      <c r="C165" s="37"/>
      <c r="D165" s="37"/>
      <c r="E165" s="37"/>
      <c r="F165" s="53"/>
      <c r="G165" s="53"/>
      <c r="H165" s="53"/>
      <c r="I165" s="53"/>
      <c r="J165" s="53"/>
      <c r="K165" s="77"/>
      <c r="L165" s="78"/>
      <c r="M165" s="53"/>
      <c r="N165" s="53"/>
      <c r="O165" s="53"/>
    </row>
    <row r="166">
      <c r="A166" s="37"/>
      <c r="B166" s="37"/>
      <c r="C166" s="37"/>
      <c r="D166" s="37"/>
      <c r="E166" s="37"/>
      <c r="F166" s="53"/>
      <c r="G166" s="53"/>
      <c r="H166" s="53"/>
      <c r="I166" s="53"/>
      <c r="J166" s="53"/>
      <c r="K166" s="77"/>
      <c r="L166" s="78"/>
      <c r="M166" s="53"/>
      <c r="N166" s="53"/>
      <c r="O166" s="53"/>
    </row>
    <row r="167">
      <c r="A167" s="37"/>
      <c r="B167" s="37"/>
      <c r="C167" s="37"/>
      <c r="D167" s="37"/>
      <c r="E167" s="37"/>
      <c r="F167" s="53"/>
      <c r="G167" s="53"/>
      <c r="H167" s="53"/>
      <c r="I167" s="53"/>
      <c r="J167" s="53"/>
      <c r="K167" s="77"/>
      <c r="L167" s="78"/>
      <c r="M167" s="53"/>
      <c r="N167" s="53"/>
      <c r="O167" s="53"/>
    </row>
    <row r="168">
      <c r="A168" s="37"/>
      <c r="B168" s="37"/>
      <c r="C168" s="37"/>
      <c r="D168" s="37"/>
      <c r="E168" s="37"/>
      <c r="F168" s="53"/>
      <c r="G168" s="53"/>
      <c r="H168" s="53"/>
      <c r="I168" s="53"/>
      <c r="J168" s="53"/>
      <c r="K168" s="77"/>
      <c r="L168" s="78"/>
      <c r="M168" s="53"/>
      <c r="N168" s="53"/>
      <c r="O168" s="53"/>
    </row>
    <row r="169">
      <c r="A169" s="37"/>
      <c r="B169" s="37"/>
      <c r="C169" s="37"/>
      <c r="D169" s="37"/>
      <c r="E169" s="37"/>
      <c r="F169" s="53"/>
      <c r="G169" s="53"/>
      <c r="H169" s="53"/>
      <c r="I169" s="53"/>
      <c r="J169" s="53"/>
      <c r="K169" s="77"/>
      <c r="L169" s="78"/>
      <c r="M169" s="53"/>
      <c r="N169" s="53"/>
      <c r="O169" s="53"/>
    </row>
    <row r="170">
      <c r="A170" s="37"/>
      <c r="B170" s="37"/>
      <c r="C170" s="37"/>
      <c r="D170" s="37"/>
      <c r="E170" s="37"/>
      <c r="F170" s="53"/>
      <c r="G170" s="53"/>
      <c r="H170" s="53"/>
      <c r="I170" s="53"/>
      <c r="J170" s="53"/>
      <c r="K170" s="77"/>
      <c r="L170" s="78"/>
      <c r="M170" s="53"/>
      <c r="N170" s="53"/>
      <c r="O170" s="53"/>
    </row>
    <row r="171">
      <c r="A171" s="37"/>
      <c r="B171" s="37"/>
      <c r="C171" s="37"/>
      <c r="D171" s="37"/>
      <c r="E171" s="37"/>
      <c r="F171" s="53"/>
      <c r="G171" s="53"/>
      <c r="H171" s="53"/>
      <c r="I171" s="53"/>
      <c r="J171" s="53"/>
      <c r="K171" s="77"/>
      <c r="L171" s="78"/>
      <c r="M171" s="53"/>
      <c r="N171" s="53"/>
      <c r="O171" s="53"/>
    </row>
    <row r="172">
      <c r="A172" s="37"/>
      <c r="B172" s="37"/>
      <c r="C172" s="37"/>
      <c r="D172" s="37"/>
      <c r="E172" s="37"/>
      <c r="F172" s="53"/>
      <c r="G172" s="53"/>
      <c r="H172" s="53"/>
      <c r="I172" s="53"/>
      <c r="J172" s="53"/>
      <c r="K172" s="77"/>
      <c r="L172" s="78"/>
      <c r="M172" s="53"/>
      <c r="N172" s="53"/>
      <c r="O172" s="53"/>
    </row>
    <row r="173">
      <c r="A173" s="37"/>
      <c r="B173" s="37"/>
      <c r="C173" s="37"/>
      <c r="D173" s="37"/>
      <c r="E173" s="37"/>
      <c r="F173" s="53"/>
      <c r="G173" s="53"/>
      <c r="H173" s="53"/>
      <c r="I173" s="53"/>
      <c r="J173" s="53"/>
      <c r="K173" s="77"/>
      <c r="L173" s="78"/>
      <c r="M173" s="53"/>
      <c r="N173" s="53"/>
      <c r="O173" s="53"/>
    </row>
    <row r="174">
      <c r="A174" s="37"/>
      <c r="B174" s="37"/>
      <c r="C174" s="37"/>
      <c r="D174" s="37"/>
      <c r="E174" s="37"/>
      <c r="F174" s="53"/>
      <c r="G174" s="53"/>
      <c r="H174" s="53"/>
      <c r="I174" s="53"/>
      <c r="J174" s="53"/>
      <c r="K174" s="77"/>
      <c r="L174" s="78"/>
      <c r="M174" s="53"/>
      <c r="N174" s="53"/>
      <c r="O174" s="53"/>
    </row>
    <row r="175">
      <c r="A175" s="37"/>
      <c r="B175" s="37"/>
      <c r="C175" s="37"/>
      <c r="D175" s="37"/>
      <c r="E175" s="37"/>
      <c r="F175" s="53"/>
      <c r="G175" s="53"/>
      <c r="H175" s="53"/>
      <c r="I175" s="53"/>
      <c r="J175" s="53"/>
      <c r="K175" s="77"/>
      <c r="L175" s="78"/>
      <c r="M175" s="53"/>
      <c r="N175" s="53"/>
      <c r="O175" s="53"/>
    </row>
    <row r="176">
      <c r="A176" s="37"/>
      <c r="B176" s="37"/>
      <c r="C176" s="37"/>
      <c r="D176" s="37"/>
      <c r="E176" s="37"/>
      <c r="F176" s="53"/>
      <c r="G176" s="53"/>
      <c r="H176" s="53"/>
      <c r="I176" s="53"/>
      <c r="J176" s="53"/>
      <c r="K176" s="77"/>
      <c r="L176" s="78"/>
      <c r="M176" s="53"/>
      <c r="N176" s="53"/>
      <c r="O176" s="53"/>
    </row>
    <row r="177">
      <c r="A177" s="37"/>
      <c r="B177" s="37"/>
      <c r="C177" s="37"/>
      <c r="D177" s="37"/>
      <c r="E177" s="37"/>
      <c r="F177" s="53"/>
      <c r="G177" s="53"/>
      <c r="H177" s="53"/>
      <c r="I177" s="53"/>
      <c r="J177" s="53"/>
      <c r="K177" s="77"/>
      <c r="L177" s="78"/>
      <c r="M177" s="53"/>
      <c r="N177" s="53"/>
      <c r="O177" s="53"/>
    </row>
    <row r="178">
      <c r="A178" s="37"/>
      <c r="B178" s="37"/>
      <c r="C178" s="37"/>
      <c r="D178" s="37"/>
      <c r="E178" s="37"/>
      <c r="F178" s="53"/>
      <c r="G178" s="53"/>
      <c r="H178" s="53"/>
      <c r="I178" s="53"/>
      <c r="J178" s="53"/>
      <c r="K178" s="77"/>
      <c r="L178" s="78"/>
      <c r="M178" s="53"/>
      <c r="N178" s="53"/>
      <c r="O178" s="53"/>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sheetData>
  <mergeCells count="9">
    <mergeCell ref="G19:G21"/>
    <mergeCell ref="G23:G63"/>
    <mergeCell ref="G3:G18"/>
    <mergeCell ref="A5:B5"/>
    <mergeCell ref="C5:D5"/>
    <mergeCell ref="A6:B6"/>
    <mergeCell ref="C6:D6"/>
    <mergeCell ref="A8:D8"/>
    <mergeCell ref="R9:R16"/>
  </mergeCells>
  <dataValidations>
    <dataValidation type="list" allowBlank="1" showErrorMessage="1" sqref="B9">
      <formula1>"MINH THUẬN,CẨM NHIÊN"</formula1>
    </dataValidation>
    <dataValidation type="list" allowBlank="1" showErrorMessage="1" sqref="O3:O63">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6.88"/>
    <col customWidth="1" min="10" max="10" width="30.75"/>
    <col customWidth="1" min="11" max="11" width="32.25"/>
    <col customWidth="1" min="12" max="12" width="17.0"/>
    <col customWidth="1" min="13" max="13" width="25.25"/>
    <col customWidth="1" min="14" max="14" width="24.25"/>
    <col customWidth="1" min="15" max="15" width="18.13"/>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88</v>
      </c>
      <c r="B3" s="11">
        <f>COUNTIF(O:O,"Pass")</f>
        <v>12</v>
      </c>
      <c r="C3" s="11">
        <f>COUNTIF(O:O,"Fail")</f>
        <v>10</v>
      </c>
      <c r="D3" s="11">
        <f>COUNTIF(O:O,"Untest")</f>
        <v>0</v>
      </c>
      <c r="E3" s="8"/>
      <c r="F3" s="12" t="s">
        <v>1965</v>
      </c>
      <c r="G3" s="55" t="s">
        <v>15</v>
      </c>
      <c r="H3" s="12" t="s">
        <v>1612</v>
      </c>
      <c r="I3" s="12" t="s">
        <v>1966</v>
      </c>
      <c r="J3" s="12" t="s">
        <v>1967</v>
      </c>
      <c r="K3" s="13" t="str">
        <f>IFERROR(__xludf.DUMMYFUNCTION("IF(ISBLANK(J3), ""Input test step"", ARRAYFORMULA(TEXTJOIN(CHAR(10), TRUE, (""Step ""&amp; ROW(INDIRECT(""1:"" &amp; COUNTA(SPLIT(J3, CHAR(10))))) &amp; "": "" &amp; TRANSPOSE(SPLIT(J3, CHAR(10)))))))"),"Step 1: Đăng nhập vào tài khoản
Step 2: Chọn tab cá nhân
Step 3: Chọn mục yêu thích
Step 4: Kiểm tra thanh header "" Yêu thích """)</f>
        <v>Step 1: Đăng nhập vào tài khoản
Step 2: Chọn tab cá nhân
Step 3: Chọn mục yêu thích
Step 4: Kiểm tra thanh header " Yêu thích "</v>
      </c>
      <c r="L3" s="14"/>
      <c r="M3" s="12" t="s">
        <v>1619</v>
      </c>
      <c r="N3" s="12" t="s">
        <v>1968</v>
      </c>
      <c r="O3" s="12" t="s">
        <v>2</v>
      </c>
      <c r="P3" s="12"/>
    </row>
    <row r="4">
      <c r="A4" s="15" t="s">
        <v>20</v>
      </c>
      <c r="B4" s="16"/>
      <c r="C4" s="17">
        <f>IFERROR(((B3+C3)/A3),0)</f>
        <v>0.25</v>
      </c>
      <c r="D4" s="16"/>
      <c r="E4" s="18"/>
      <c r="F4" s="12" t="s">
        <v>1969</v>
      </c>
      <c r="G4" s="56"/>
      <c r="H4" s="12" t="s">
        <v>1617</v>
      </c>
      <c r="I4" s="12" t="s">
        <v>1966</v>
      </c>
      <c r="J4" s="12" t="s">
        <v>1970</v>
      </c>
      <c r="K4" s="13" t="str">
        <f>IFERROR(__xludf.DUMMYFUNCTION("IF(ISBLANK(J4), ""Input test step"", ARRAYFORMULA(TEXTJOIN(CHAR(10), TRUE, (""Step ""&amp; ROW(INDIRECT(""1:"" &amp; COUNTA(SPLIT(J4, CHAR(10))))) &amp; "": "" &amp; TRANSPOSE(SPLIT(J4, CHAR(10)))))))"),"Step 1: Đăng nhập vào tài khoản
Step 2: Chọn tab cá nhân
Step 3: Chọn mục yêu thích
Step 4: Kiểm tra hiển thị thanh tìm kiếm")</f>
        <v>Step 1: Đăng nhập vào tài khoản
Step 2: Chọn tab cá nhân
Step 3: Chọn mục yêu thích
Step 4: Kiểm tra hiển thị thanh tìm kiếm</v>
      </c>
      <c r="L4" s="14"/>
      <c r="M4" s="12" t="s">
        <v>1619</v>
      </c>
      <c r="N4" s="12" t="s">
        <v>1619</v>
      </c>
      <c r="O4" s="12" t="s">
        <v>1</v>
      </c>
      <c r="P4" s="19"/>
    </row>
    <row r="5">
      <c r="A5" s="15" t="s">
        <v>26</v>
      </c>
      <c r="B5" s="16"/>
      <c r="C5" s="20">
        <f>IFERROR(B3/(B3+C3),0)</f>
        <v>0.5454545455</v>
      </c>
      <c r="D5" s="16"/>
      <c r="E5" s="18"/>
      <c r="F5" s="12" t="s">
        <v>1971</v>
      </c>
      <c r="G5" s="56"/>
      <c r="H5" s="12" t="s">
        <v>1972</v>
      </c>
      <c r="I5" s="12" t="s">
        <v>1966</v>
      </c>
      <c r="J5" s="12" t="s">
        <v>1973</v>
      </c>
      <c r="K5" s="13" t="str">
        <f>IFERROR(__xludf.DUMMYFUNCTION("IF(ISBLANK(J5), ""Input test step"", ARRAYFORMULA(TEXTJOIN(CHAR(10), TRUE, (""Step ""&amp; ROW(INDIRECT(""1:"" &amp; COUNTA(SPLIT(J5, CHAR(10))))) &amp; "": "" &amp; TRANSPOSE(SPLIT(J5, CHAR(10)))))))"),"Step 1: Đăng nhập vào tài khoản
Step 2: Chọn tab cá nhân
Step 3: Chọn mục yêu thích")</f>
        <v>Step 1: Đăng nhập vào tài khoản
Step 2: Chọn tab cá nhân
Step 3: Chọn mục yêu thích</v>
      </c>
      <c r="L5" s="14"/>
      <c r="M5" s="12" t="s">
        <v>1619</v>
      </c>
      <c r="N5" s="12" t="s">
        <v>1619</v>
      </c>
      <c r="O5" s="12" t="s">
        <v>1</v>
      </c>
      <c r="P5" s="19"/>
    </row>
    <row r="6">
      <c r="A6" s="79"/>
      <c r="B6" s="79"/>
      <c r="C6" s="80"/>
      <c r="D6" s="80"/>
      <c r="E6" s="18"/>
      <c r="F6" s="12" t="s">
        <v>1974</v>
      </c>
      <c r="G6" s="56"/>
      <c r="H6" s="12" t="s">
        <v>1975</v>
      </c>
      <c r="I6" s="12" t="s">
        <v>1966</v>
      </c>
      <c r="J6" s="12" t="s">
        <v>1976</v>
      </c>
      <c r="K6" s="13" t="str">
        <f>IFERROR(__xludf.DUMMYFUNCTION("IF(ISBLANK(J6), ""Input test step"", ARRAYFORMULA(TEXTJOIN(CHAR(10), TRUE, (""Step ""&amp; ROW(INDIRECT(""1:"" &amp; COUNTA(SPLIT(J6, CHAR(10))))) &amp; "": "" &amp; TRANSPOSE(SPLIT(J6, CHAR(10)))))))"),"Step 1: Đăng nhập vào tài khoản
Step 2: Chọn tab cá nhân
Step 3: Chọn mục yêu thích
Step 4: Kiểm tra mã giảm giá ở góc trên bên trái của sản phẩm ")</f>
        <v>Step 1: Đăng nhập vào tài khoản
Step 2: Chọn tab cá nhân
Step 3: Chọn mục yêu thích
Step 4: Kiểm tra mã giảm giá ở góc trên bên trái của sản phẩm </v>
      </c>
      <c r="L6" s="14"/>
      <c r="M6" s="12" t="s">
        <v>1977</v>
      </c>
      <c r="N6" s="12" t="s">
        <v>1978</v>
      </c>
      <c r="O6" s="12" t="s">
        <v>2</v>
      </c>
      <c r="P6" s="19"/>
    </row>
    <row r="7">
      <c r="A7" s="79"/>
      <c r="B7" s="79"/>
      <c r="C7" s="80"/>
      <c r="D7" s="80"/>
      <c r="E7" s="18"/>
      <c r="F7" s="12" t="s">
        <v>1979</v>
      </c>
      <c r="G7" s="56"/>
      <c r="H7" s="12" t="s">
        <v>1980</v>
      </c>
      <c r="I7" s="12" t="s">
        <v>1966</v>
      </c>
      <c r="J7" s="12" t="s">
        <v>1981</v>
      </c>
      <c r="K7" s="13" t="str">
        <f>IFERROR(__xludf.DUMMYFUNCTION("IF(ISBLANK(J7), ""Input test step"", ARRAYFORMULA(TEXTJOIN(CHAR(10), TRUE, (""Step ""&amp; ROW(INDIRECT(""1:"" &amp; COUNTA(SPLIT(J7, CHAR(10))))) &amp; "": "" &amp; TRANSPOSE(SPLIT(J7, CHAR(10)))))))"),"Step 1: Đăng nhập vào tài khoản
Step 2: Chọn tab cá nhân
Step 3: Chọn mục yêu thích
Step 4: Kiểm tra hình ảnh sản phẩm")</f>
        <v>Step 1: Đăng nhập vào tài khoản
Step 2: Chọn tab cá nhân
Step 3: Chọn mục yêu thích
Step 4: Kiểm tra hình ảnh sản phẩm</v>
      </c>
      <c r="L7" s="14"/>
      <c r="M7" s="12" t="s">
        <v>1982</v>
      </c>
      <c r="N7" s="12" t="s">
        <v>1983</v>
      </c>
      <c r="O7" s="12" t="s">
        <v>2</v>
      </c>
      <c r="P7" s="19"/>
    </row>
    <row r="8">
      <c r="A8" s="79"/>
      <c r="B8" s="79"/>
      <c r="C8" s="80"/>
      <c r="D8" s="80"/>
      <c r="E8" s="18"/>
      <c r="F8" s="12" t="s">
        <v>1984</v>
      </c>
      <c r="G8" s="56"/>
      <c r="H8" s="12" t="s">
        <v>1985</v>
      </c>
      <c r="I8" s="12" t="s">
        <v>1966</v>
      </c>
      <c r="J8" s="12" t="s">
        <v>1986</v>
      </c>
      <c r="K8" s="13" t="str">
        <f>IFERROR(__xludf.DUMMYFUNCTION("IF(ISBLANK(J8), ""Input test step"", ARRAYFORMULA(TEXTJOIN(CHAR(10), TRUE, (""Step ""&amp; ROW(INDIRECT(""1:"" &amp; COUNTA(SPLIT(J8, CHAR(10))))) &amp; "": "" &amp; TRANSPOSE(SPLIT(J8, CHAR(10)))))))"),"Step 1: Đăng nhập vào tài khoản
Step 2: Chọn tab cá nhân
Step 3: Chọn mục yêu thích
Step 4: Kiểm tra nút yêu thích  ở góc trên bên phải")</f>
        <v>Step 1: Đăng nhập vào tài khoản
Step 2: Chọn tab cá nhân
Step 3: Chọn mục yêu thích
Step 4: Kiểm tra nút yêu thích  ở góc trên bên phải</v>
      </c>
      <c r="L8" s="14"/>
      <c r="M8" s="12" t="s">
        <v>1987</v>
      </c>
      <c r="N8" s="12" t="s">
        <v>1987</v>
      </c>
      <c r="O8" s="12" t="s">
        <v>1</v>
      </c>
      <c r="P8" s="19"/>
    </row>
    <row r="9">
      <c r="A9" s="79"/>
      <c r="B9" s="79"/>
      <c r="C9" s="80"/>
      <c r="D9" s="80"/>
      <c r="E9" s="18"/>
      <c r="F9" s="12" t="s">
        <v>1988</v>
      </c>
      <c r="G9" s="56"/>
      <c r="H9" s="12" t="s">
        <v>1989</v>
      </c>
      <c r="I9" s="12" t="s">
        <v>1966</v>
      </c>
      <c r="J9" s="12" t="s">
        <v>1990</v>
      </c>
      <c r="K9" s="13" t="str">
        <f>IFERROR(__xludf.DUMMYFUNCTION("IF(ISBLANK(J9), ""Input test step"", ARRAYFORMULA(TEXTJOIN(CHAR(10), TRUE, (""Step ""&amp; ROW(INDIRECT(""1:"" &amp; COUNTA(SPLIT(J9, CHAR(10))))) &amp; "": "" &amp; TRANSPOSE(SPLIT(J9, CHAR(10)))))))"),"Step 1: Đăng nhập vào tài khoản
Step 2: Chọn tab cá nhân
Step 3: Chọn mục yêu thích
Step 4: Kiểm tra màu sắc, kích thước, cỡ chữ  tên danh mục sản phẩm ")</f>
        <v>Step 1: Đăng nhập vào tài khoản
Step 2: Chọn tab cá nhân
Step 3: Chọn mục yêu thích
Step 4: Kiểm tra màu sắc, kích thước, cỡ chữ  tên danh mục sản phẩm </v>
      </c>
      <c r="L9" s="14"/>
      <c r="M9" s="12" t="s">
        <v>1991</v>
      </c>
      <c r="N9" s="12" t="s">
        <v>1991</v>
      </c>
      <c r="O9" s="12" t="s">
        <v>1</v>
      </c>
      <c r="P9" s="19"/>
    </row>
    <row r="10">
      <c r="A10" s="79"/>
      <c r="B10" s="79"/>
      <c r="C10" s="80"/>
      <c r="D10" s="80"/>
      <c r="E10" s="18"/>
      <c r="F10" s="12" t="s">
        <v>1992</v>
      </c>
      <c r="G10" s="56"/>
      <c r="H10" s="12" t="s">
        <v>1993</v>
      </c>
      <c r="I10" s="12" t="s">
        <v>1966</v>
      </c>
      <c r="J10" s="12" t="s">
        <v>1994</v>
      </c>
      <c r="K10" s="13" t="str">
        <f>IFERROR(__xludf.DUMMYFUNCTION("IF(ISBLANK(J10), ""Input test step"", ARRAYFORMULA(TEXTJOIN(CHAR(10), TRUE, (""Step ""&amp; ROW(INDIRECT(""1:"" &amp; COUNTA(SPLIT(J10, CHAR(10))))) &amp; "": "" &amp; TRANSPOSE(SPLIT(J10, CHAR(10)))))))"),"Step 1: Đăng nhập vào tài khoản
Step 2: Chọn tab cá nhân
Step 3: Chọn mục yêu thích
Step 4: Kiểm tra màu sắc, kích thước, cỡ chữ tên sản phẩm ")</f>
        <v>Step 1: Đăng nhập vào tài khoản
Step 2: Chọn tab cá nhân
Step 3: Chọn mục yêu thích
Step 4: Kiểm tra màu sắc, kích thước, cỡ chữ tên sản phẩm </v>
      </c>
      <c r="L10" s="14"/>
      <c r="M10" s="12" t="s">
        <v>1995</v>
      </c>
      <c r="N10" s="12" t="s">
        <v>1995</v>
      </c>
      <c r="O10" s="12" t="s">
        <v>1</v>
      </c>
      <c r="P10" s="19"/>
    </row>
    <row r="11">
      <c r="A11" s="79"/>
      <c r="B11" s="79"/>
      <c r="C11" s="80"/>
      <c r="D11" s="80"/>
      <c r="E11" s="18"/>
      <c r="F11" s="12" t="s">
        <v>1996</v>
      </c>
      <c r="G11" s="56"/>
      <c r="H11" s="12" t="s">
        <v>1997</v>
      </c>
      <c r="I11" s="12" t="s">
        <v>1966</v>
      </c>
      <c r="J11" s="12" t="s">
        <v>1998</v>
      </c>
      <c r="K11" s="13" t="str">
        <f>IFERROR(__xludf.DUMMYFUNCTION("IF(ISBLANK(J11), ""Input test step"", ARRAYFORMULA(TEXTJOIN(CHAR(10), TRUE, (""Step ""&amp; ROW(INDIRECT(""1:"" &amp; COUNTA(SPLIT(J11, CHAR(10))))) &amp; "": "" &amp; TRANSPOSE(SPLIT(J11, CHAR(10)))))))"),"Step 1: Đăng nhập vào tài khoản
Step 2: Chọn tab cá nhân
Step 3: Chọn mục yêu thích
Step 4: Kiểm tra màu sắc, kích thước , cỡ chữ của tên Thương hiệu")</f>
        <v>Step 1: Đăng nhập vào tài khoản
Step 2: Chọn tab cá nhân
Step 3: Chọn mục yêu thích
Step 4: Kiểm tra màu sắc, kích thước , cỡ chữ của tên Thương hiệu</v>
      </c>
      <c r="L11" s="14"/>
      <c r="M11" s="12" t="s">
        <v>1999</v>
      </c>
      <c r="N11" s="12" t="s">
        <v>2000</v>
      </c>
      <c r="O11" s="12" t="s">
        <v>2</v>
      </c>
      <c r="P11" s="19"/>
    </row>
    <row r="12">
      <c r="A12" s="79"/>
      <c r="B12" s="79"/>
      <c r="C12" s="80"/>
      <c r="D12" s="80"/>
      <c r="E12" s="18"/>
      <c r="F12" s="12" t="s">
        <v>2001</v>
      </c>
      <c r="G12" s="56"/>
      <c r="H12" s="12" t="s">
        <v>2002</v>
      </c>
      <c r="I12" s="12" t="s">
        <v>1966</v>
      </c>
      <c r="J12" s="12" t="s">
        <v>2003</v>
      </c>
      <c r="K12" s="13" t="str">
        <f>IFERROR(__xludf.DUMMYFUNCTION("IF(ISBLANK(J12), ""Input test step"", ARRAYFORMULA(TEXTJOIN(CHAR(10), TRUE, (""Step ""&amp; ROW(INDIRECT(""1:"" &amp; COUNTA(SPLIT(J12, CHAR(10))))) &amp; "": "" &amp; TRANSPOSE(SPLIT(J12, CHAR(10)))))))"),"Step 1: Đăng nhập vào tài khoản
Step 2: Chọn tab cá nhân
Step 3: Chọn mục yêu thích
Step 4: Kiểm tra màu sắc, kích thước của giỏ hàng")</f>
        <v>Step 1: Đăng nhập vào tài khoản
Step 2: Chọn tab cá nhân
Step 3: Chọn mục yêu thích
Step 4: Kiểm tra màu sắc, kích thước của giỏ hàng</v>
      </c>
      <c r="L12" s="14"/>
      <c r="M12" s="12" t="s">
        <v>2004</v>
      </c>
      <c r="N12" s="87" t="s">
        <v>2005</v>
      </c>
      <c r="O12" s="12"/>
      <c r="P12" s="19"/>
    </row>
    <row r="13">
      <c r="A13" s="79"/>
      <c r="B13" s="79"/>
      <c r="C13" s="80"/>
      <c r="D13" s="80"/>
      <c r="E13" s="18"/>
      <c r="F13" s="12" t="s">
        <v>2006</v>
      </c>
      <c r="G13" s="56"/>
      <c r="H13" s="12" t="s">
        <v>2007</v>
      </c>
      <c r="I13" s="12" t="s">
        <v>1966</v>
      </c>
      <c r="J13" s="12" t="s">
        <v>2008</v>
      </c>
      <c r="K13" s="13" t="str">
        <f>IFERROR(__xludf.DUMMYFUNCTION("IF(ISBLANK(J13), ""Input test step"", ARRAYFORMULA(TEXTJOIN(CHAR(10), TRUE, (""Step ""&amp; ROW(INDIRECT(""1:"" &amp; COUNTA(SPLIT(J13, CHAR(10))))) &amp; "": "" &amp; TRANSPOSE(SPLIT(J13, CHAR(10)))))))"),"Step 1: Đăng nhập vào tài khoản
Step 2: Chọn tab cá nhân
Step 3: Chọn mục yêu thích
Step 4: Kiểm tra màu sắc, kích thước, cỡ chữ của sản phẩm mới")</f>
        <v>Step 1: Đăng nhập vào tài khoản
Step 2: Chọn tab cá nhân
Step 3: Chọn mục yêu thích
Step 4: Kiểm tra màu sắc, kích thước, cỡ chữ của sản phẩm mới</v>
      </c>
      <c r="L13" s="14"/>
      <c r="M13" s="12" t="s">
        <v>1991</v>
      </c>
      <c r="N13" s="12" t="s">
        <v>1991</v>
      </c>
      <c r="O13" s="12" t="s">
        <v>1</v>
      </c>
      <c r="P13" s="19"/>
    </row>
    <row r="14">
      <c r="A14" s="79"/>
      <c r="B14" s="79"/>
      <c r="C14" s="80"/>
      <c r="D14" s="80"/>
      <c r="E14" s="18"/>
      <c r="F14" s="12" t="s">
        <v>2009</v>
      </c>
      <c r="G14" s="56"/>
      <c r="H14" s="12" t="s">
        <v>2010</v>
      </c>
      <c r="I14" s="12" t="s">
        <v>1966</v>
      </c>
      <c r="J14" s="12" t="s">
        <v>2011</v>
      </c>
      <c r="K14" s="13" t="str">
        <f>IFERROR(__xludf.DUMMYFUNCTION("IF(ISBLANK(J14), ""Input test step"", ARRAYFORMULA(TEXTJOIN(CHAR(10), TRUE, (""Step ""&amp; ROW(INDIRECT(""1:"" &amp; COUNTA(SPLIT(J14, CHAR(10))))) &amp; "": "" &amp; TRANSPOSE(SPLIT(J14, CHAR(10)))))))"),"Step 1: Đăng nhập vào tài khoản
Step 2: Chọn tab cá nhân
Step 3: Chọn mục yêu thích
Step 4: Kiểm tra màu sắc, kích thước, cỡ chữ và đúng giá của giá sau giảm")</f>
        <v>Step 1: Đăng nhập vào tài khoản
Step 2: Chọn tab cá nhân
Step 3: Chọn mục yêu thích
Step 4: Kiểm tra màu sắc, kích thước, cỡ chữ và đúng giá của giá sau giảm</v>
      </c>
      <c r="L14" s="14"/>
      <c r="M14" s="12" t="s">
        <v>2012</v>
      </c>
      <c r="N14" s="12"/>
      <c r="O14" s="12"/>
      <c r="P14" s="19"/>
    </row>
    <row r="15">
      <c r="A15" s="79"/>
      <c r="B15" s="79"/>
      <c r="C15" s="80"/>
      <c r="D15" s="80"/>
      <c r="E15" s="18"/>
      <c r="F15" s="12" t="s">
        <v>2013</v>
      </c>
      <c r="G15" s="56"/>
      <c r="H15" s="12" t="s">
        <v>2014</v>
      </c>
      <c r="I15" s="12" t="s">
        <v>1966</v>
      </c>
      <c r="J15" s="12" t="s">
        <v>2015</v>
      </c>
      <c r="K15" s="13" t="str">
        <f>IFERROR(__xludf.DUMMYFUNCTION("IF(ISBLANK(J15), ""Input test step"", ARRAYFORMULA(TEXTJOIN(CHAR(10), TRUE, (""Step ""&amp; ROW(INDIRECT(""1:"" &amp; COUNTA(SPLIT(J15, CHAR(10))))) &amp; "": "" &amp; TRANSPOSE(SPLIT(J15, CHAR(10)))))))"),"Step 1: Đăng nhập vào tài khoản
Step 2: Chọn tab cá nhân
Step 3: Chọn mục yêu thích
Step 4: Kiểm tra màu sắc, kích thước, cỡ chữ và đúng giá gốc")</f>
        <v>Step 1: Đăng nhập vào tài khoản
Step 2: Chọn tab cá nhân
Step 3: Chọn mục yêu thích
Step 4: Kiểm tra màu sắc, kích thước, cỡ chữ và đúng giá gốc</v>
      </c>
      <c r="L15" s="14"/>
      <c r="M15" s="12" t="s">
        <v>2016</v>
      </c>
      <c r="N15" s="12" t="s">
        <v>2016</v>
      </c>
      <c r="O15" s="12" t="s">
        <v>1</v>
      </c>
      <c r="P15" s="19"/>
    </row>
    <row r="16">
      <c r="A16" s="79"/>
      <c r="B16" s="79"/>
      <c r="C16" s="80"/>
      <c r="D16" s="80"/>
      <c r="E16" s="18"/>
      <c r="F16" s="12" t="s">
        <v>2017</v>
      </c>
      <c r="G16" s="56"/>
      <c r="H16" s="12" t="s">
        <v>2018</v>
      </c>
      <c r="I16" s="12" t="s">
        <v>1966</v>
      </c>
      <c r="J16" s="12" t="s">
        <v>2019</v>
      </c>
      <c r="K16" s="13" t="str">
        <f>IFERROR(__xludf.DUMMYFUNCTION("IF(ISBLANK(J16), ""Input test step"", ARRAYFORMULA(TEXTJOIN(CHAR(10), TRUE, (""Step ""&amp; ROW(INDIRECT(""1:"" &amp; COUNTA(SPLIT(J16, CHAR(10))))) &amp; "": "" &amp; TRANSPOSE(SPLIT(J16, CHAR(10)))))))"),"Step 1: Đăng nhập vào tài khoản
Step 2: Chọn tab cá nhân
Step 3: Chọn mục yêu thích
Step 4: Kiểm tra màu sắc, kích thước, cỡ chữ và số lượng còn hàng")</f>
        <v>Step 1: Đăng nhập vào tài khoản
Step 2: Chọn tab cá nhân
Step 3: Chọn mục yêu thích
Step 4: Kiểm tra màu sắc, kích thước, cỡ chữ và số lượng còn hàng</v>
      </c>
      <c r="L16" s="14"/>
      <c r="M16" s="12" t="s">
        <v>2020</v>
      </c>
      <c r="N16" s="12"/>
      <c r="O16" s="12"/>
      <c r="P16" s="19"/>
    </row>
    <row r="17">
      <c r="A17" s="79"/>
      <c r="B17" s="79"/>
      <c r="C17" s="80"/>
      <c r="D17" s="80"/>
      <c r="E17" s="18"/>
      <c r="F17" s="12" t="s">
        <v>2021</v>
      </c>
      <c r="G17" s="56"/>
      <c r="H17" s="12" t="s">
        <v>2022</v>
      </c>
      <c r="I17" s="12" t="s">
        <v>1966</v>
      </c>
      <c r="J17" s="12" t="s">
        <v>2023</v>
      </c>
      <c r="K17" s="13" t="str">
        <f>IFERROR(__xludf.DUMMYFUNCTION("IF(ISBLANK(J17), ""Input test step"", ARRAYFORMULA(TEXTJOIN(CHAR(10), TRUE, (""Step ""&amp; ROW(INDIRECT(""1:"" &amp; COUNTA(SPLIT(J17, CHAR(10))))) &amp; "": "" &amp; TRANSPOSE(SPLIT(J17, CHAR(10)))))))"),"Step 1: Đăng nhập vào tài khoản
Step 2: Chọn tab cá nhân
Step 3: Chọn mục yêu thích
Step 4: Kiểm tra màu sắc , kích thước, cỡ chữ  sản phẩm hết hàng")</f>
        <v>Step 1: Đăng nhập vào tài khoản
Step 2: Chọn tab cá nhân
Step 3: Chọn mục yêu thích
Step 4: Kiểm tra màu sắc , kích thước, cỡ chữ  sản phẩm hết hàng</v>
      </c>
      <c r="L17" s="14"/>
      <c r="M17" s="12" t="s">
        <v>2024</v>
      </c>
      <c r="N17" s="12" t="s">
        <v>2024</v>
      </c>
      <c r="O17" s="12" t="s">
        <v>1</v>
      </c>
      <c r="P17" s="19"/>
    </row>
    <row r="18">
      <c r="A18" s="79"/>
      <c r="B18" s="79"/>
      <c r="C18" s="80"/>
      <c r="D18" s="80"/>
      <c r="E18" s="18"/>
      <c r="F18" s="12" t="s">
        <v>2025</v>
      </c>
      <c r="G18" s="57"/>
      <c r="H18" s="12" t="s">
        <v>2026</v>
      </c>
      <c r="I18" s="12" t="s">
        <v>1966</v>
      </c>
      <c r="J18" s="12" t="s">
        <v>2027</v>
      </c>
      <c r="K18" s="13" t="str">
        <f>IFERROR(__xludf.DUMMYFUNCTION("IF(ISBLANK(J18), ""Input test step"", ARRAYFORMULA(TEXTJOIN(CHAR(10), TRUE, (""Step ""&amp; ROW(INDIRECT(""1:"" &amp; COUNTA(SPLIT(J18, CHAR(10))))) &amp; "": "" &amp; TRANSPOSE(SPLIT(J18, CHAR(10)))))))"),"Step 1: Đăng nhập vào tài khoản
Step 2: Chọn tab cá nhân
Step 3: Chọn mục yêu thích
Step 4: Kiểm tra khoảng cách giữa các sản phẩm")</f>
        <v>Step 1: Đăng nhập vào tài khoản
Step 2: Chọn tab cá nhân
Step 3: Chọn mục yêu thích
Step 4: Kiểm tra khoảng cách giữa các sản phẩm</v>
      </c>
      <c r="L18" s="14"/>
      <c r="M18" s="12" t="s">
        <v>2028</v>
      </c>
      <c r="N18" s="12" t="s">
        <v>2029</v>
      </c>
      <c r="O18" s="12" t="s">
        <v>2</v>
      </c>
      <c r="P18" s="19"/>
    </row>
    <row r="19">
      <c r="A19" s="79"/>
      <c r="B19" s="79"/>
      <c r="C19" s="80"/>
      <c r="D19" s="80"/>
      <c r="E19" s="18"/>
      <c r="F19" s="12" t="s">
        <v>2030</v>
      </c>
      <c r="G19" s="55" t="s">
        <v>2031</v>
      </c>
      <c r="H19" s="12" t="s">
        <v>2032</v>
      </c>
      <c r="I19" s="12" t="s">
        <v>1966</v>
      </c>
      <c r="J19" s="12" t="s">
        <v>2033</v>
      </c>
      <c r="K19" s="13" t="str">
        <f>IFERROR(__xludf.DUMMYFUNCTION("IF(ISBLANK(J19), ""Input test step"", ARRAYFORMULA(TEXTJOIN(CHAR(10), TRUE, (""Step ""&amp; ROW(INDIRECT(""1:"" &amp; COUNTA(SPLIT(J19, CHAR(10))))) &amp; "": "" &amp; TRANSPOSE(SPLIT(J19, CHAR(10)))))))"),"Step 1: Đăng nhập vào tài khoản
Step 2: Chọn tab cá nhân
Step 3: Chọn mục yêu thích
Step 4: Copy 1 tên bất kì rồi  nhấn giữ chọn Dán vào thanh tìm kiếm")</f>
        <v>Step 1: Đăng nhập vào tài khoản
Step 2: Chọn tab cá nhân
Step 3: Chọn mục yêu thích
Step 4: Copy 1 tên bất kì rồi  nhấn giữ chọn Dán vào thanh tìm kiếm</v>
      </c>
      <c r="L19" s="14"/>
      <c r="M19" s="12" t="s">
        <v>2034</v>
      </c>
      <c r="N19" s="12"/>
      <c r="O19" s="12"/>
      <c r="P19" s="19"/>
    </row>
    <row r="20">
      <c r="A20" s="79"/>
      <c r="B20" s="79"/>
      <c r="C20" s="80"/>
      <c r="D20" s="80"/>
      <c r="E20" s="18"/>
      <c r="F20" s="12" t="s">
        <v>2035</v>
      </c>
      <c r="G20" s="56"/>
      <c r="H20" s="12" t="s">
        <v>2036</v>
      </c>
      <c r="I20" s="12" t="s">
        <v>1966</v>
      </c>
      <c r="J20" s="12" t="s">
        <v>2037</v>
      </c>
      <c r="K20" s="13" t="str">
        <f>IFERROR(__xludf.DUMMYFUNCTION("IF(ISBLANK(J20), ""Input test step"", ARRAYFORMULA(TEXTJOIN(CHAR(10), TRUE, (""Step ""&amp; ROW(INDIRECT(""1:"" &amp; COUNTA(SPLIT(J20, CHAR(10))))) &amp; "": "" &amp; TRANSPOSE(SPLIT(J20, CHAR(10)))))))"),"Step 1: Đăng nhập vào tài khoản
Step 2: Chọn tab cá nhân
Step 3: Chọn mục yêu thích
Step 4: Copy 1 tên bất kì rồi nhấn giữ chọn tự động điền vào thanh tìm kiếm")</f>
        <v>Step 1: Đăng nhập vào tài khoản
Step 2: Chọn tab cá nhân
Step 3: Chọn mục yêu thích
Step 4: Copy 1 tên bất kì rồi nhấn giữ chọn tự động điền vào thanh tìm kiếm</v>
      </c>
      <c r="L20" s="14"/>
      <c r="M20" s="12" t="s">
        <v>2038</v>
      </c>
      <c r="N20" s="12"/>
      <c r="O20" s="12"/>
      <c r="P20" s="19"/>
    </row>
    <row r="21">
      <c r="A21" s="23" t="s">
        <v>2039</v>
      </c>
      <c r="D21" s="24"/>
      <c r="E21" s="18"/>
      <c r="F21" s="12" t="s">
        <v>2040</v>
      </c>
      <c r="G21" s="56"/>
      <c r="H21" s="12" t="s">
        <v>1632</v>
      </c>
      <c r="I21" s="12" t="s">
        <v>1966</v>
      </c>
      <c r="J21" s="12" t="s">
        <v>2041</v>
      </c>
      <c r="K21" s="13" t="str">
        <f>IFERROR(__xludf.DUMMYFUNCTION("IF(ISBLANK(J21), ""Input test step"", ARRAYFORMULA(TEXTJOIN(CHAR(10), TRUE, (""Step ""&amp; ROW(INDIRECT(""1:"" &amp; COUNTA(SPLIT(J21, CHAR(10))))) &amp; "": "" &amp; TRANSPOSE(SPLIT(J21, CHAR(10)))))))"),"Step 1: Đăng nhập vào tài khoản
Step 2: Chọn tab cá nhân
Step 3: Chọn mục yêu thích
Step 4: Kiểm tra placeholder của thanh tìm kiếm")</f>
        <v>Step 1: Đăng nhập vào tài khoản
Step 2: Chọn tab cá nhân
Step 3: Chọn mục yêu thích
Step 4: Kiểm tra placeholder của thanh tìm kiếm</v>
      </c>
      <c r="L21" s="14"/>
      <c r="M21" s="12" t="s">
        <v>2042</v>
      </c>
      <c r="N21" s="12" t="s">
        <v>2042</v>
      </c>
      <c r="O21" s="12" t="s">
        <v>1</v>
      </c>
      <c r="P21" s="19"/>
    </row>
    <row r="22">
      <c r="A22" s="25"/>
      <c r="D22" s="24"/>
      <c r="E22" s="18"/>
      <c r="F22" s="12" t="s">
        <v>2043</v>
      </c>
      <c r="G22" s="56"/>
      <c r="H22" s="30" t="s">
        <v>2044</v>
      </c>
      <c r="I22" s="12" t="s">
        <v>1966</v>
      </c>
      <c r="J22" s="12" t="s">
        <v>2045</v>
      </c>
      <c r="K22" s="13" t="str">
        <f>IFERROR(__xludf.DUMMYFUNCTION("IF(ISBLANK(J22), ""Input test step"", ARRAYFORMULA(TEXTJOIN(CHAR(10), TRUE, (""Step ""&amp; ROW(INDIRECT(""1:"" &amp; COUNTA(SPLIT(J22, CHAR(10))))) &amp; "": "" &amp; TRANSPOSE(SPLIT(J22, CHAR(10)))))))"),"Step 1: Đăng nhập vào tài khoản
Step 2: Chọn tab cá nhân
Step 3: Chọn mục yêu thích
Step 4: Trỏ chuột vào thanh tìm kiếm")</f>
        <v>Step 1: Đăng nhập vào tài khoản
Step 2: Chọn tab cá nhân
Step 3: Chọn mục yêu thích
Step 4: Trỏ chuột vào thanh tìm kiếm</v>
      </c>
      <c r="L22" s="14"/>
      <c r="M22" s="73" t="s">
        <v>2046</v>
      </c>
      <c r="N22" s="73" t="s">
        <v>2046</v>
      </c>
      <c r="O22" s="12" t="s">
        <v>1</v>
      </c>
      <c r="P22" s="19"/>
      <c r="Q22" s="52"/>
    </row>
    <row r="23">
      <c r="A23" s="25"/>
      <c r="D23" s="24"/>
      <c r="E23" s="18"/>
      <c r="F23" s="12" t="s">
        <v>2047</v>
      </c>
      <c r="G23" s="56"/>
      <c r="H23" s="12" t="s">
        <v>2048</v>
      </c>
      <c r="I23" s="12" t="s">
        <v>1966</v>
      </c>
      <c r="J23" s="12" t="s">
        <v>2049</v>
      </c>
      <c r="K23" s="13" t="str">
        <f>IFERROR(__xludf.DUMMYFUNCTION("IF(ISBLANK(J23), ""Input test step"", ARRAYFORMULA(TEXTJOIN(CHAR(10), TRUE, (""Step ""&amp; ROW(INDIRECT(""1:"" &amp; COUNTA(SPLIT(J23, CHAR(10))))) &amp; "": "" &amp; TRANSPOSE(SPLIT(J23, CHAR(10)))))))"),"Step 1: Đăng nhập vào tài khoản
Step 2: Chọn tab cá nhân
Step 3: Chọn mục yêu thích
Step 4: Nhập từ khoá vào thanh tìm kiếm")</f>
        <v>Step 1: Đăng nhập vào tài khoản
Step 2: Chọn tab cá nhân
Step 3: Chọn mục yêu thích
Step 4: Nhập từ khoá vào thanh tìm kiếm</v>
      </c>
      <c r="L23" s="14" t="s">
        <v>2050</v>
      </c>
      <c r="M23" s="52" t="s">
        <v>2051</v>
      </c>
      <c r="N23" s="12"/>
      <c r="O23" s="12"/>
      <c r="P23" s="19"/>
    </row>
    <row r="24">
      <c r="A24" s="25"/>
      <c r="D24" s="24"/>
      <c r="E24" s="18"/>
      <c r="F24" s="12" t="s">
        <v>2052</v>
      </c>
      <c r="G24" s="56"/>
      <c r="H24" s="73" t="s">
        <v>2053</v>
      </c>
      <c r="I24" s="12" t="s">
        <v>1966</v>
      </c>
      <c r="J24" s="12" t="s">
        <v>2049</v>
      </c>
      <c r="K24" s="13" t="str">
        <f>IFERROR(__xludf.DUMMYFUNCTION("IF(ISBLANK(J24), ""Input test step"", ARRAYFORMULA(TEXTJOIN(CHAR(10), TRUE, (""Step ""&amp; ROW(INDIRECT(""1:"" &amp; COUNTA(SPLIT(J24, CHAR(10))))) &amp; "": "" &amp; TRANSPOSE(SPLIT(J24, CHAR(10)))))))"),"Step 1: Đăng nhập vào tài khoản
Step 2: Chọn tab cá nhân
Step 3: Chọn mục yêu thích
Step 4: Nhập từ khoá vào thanh tìm kiếm")</f>
        <v>Step 1: Đăng nhập vào tài khoản
Step 2: Chọn tab cá nhân
Step 3: Chọn mục yêu thích
Step 4: Nhập từ khoá vào thanh tìm kiếm</v>
      </c>
      <c r="L24" s="14" t="s">
        <v>2054</v>
      </c>
      <c r="M24" s="73" t="s">
        <v>2055</v>
      </c>
      <c r="N24" s="12"/>
      <c r="O24" s="12"/>
      <c r="P24" s="19"/>
    </row>
    <row r="25">
      <c r="A25" s="25"/>
      <c r="D25" s="24"/>
      <c r="E25" s="18"/>
      <c r="F25" s="12" t="s">
        <v>2056</v>
      </c>
      <c r="G25" s="56"/>
      <c r="H25" s="52" t="s">
        <v>2057</v>
      </c>
      <c r="I25" s="12" t="s">
        <v>1966</v>
      </c>
      <c r="J25" s="12" t="s">
        <v>2049</v>
      </c>
      <c r="K25" s="13" t="str">
        <f>IFERROR(__xludf.DUMMYFUNCTION("IF(ISBLANK(J25), ""Input test step"", ARRAYFORMULA(TEXTJOIN(CHAR(10), TRUE, (""Step ""&amp; ROW(INDIRECT(""1:"" &amp; COUNTA(SPLIT(J25, CHAR(10))))) &amp; "": "" &amp; TRANSPOSE(SPLIT(J25, CHAR(10)))))))"),"Step 1: Đăng nhập vào tài khoản
Step 2: Chọn tab cá nhân
Step 3: Chọn mục yêu thích
Step 4: Nhập từ khoá vào thanh tìm kiếm")</f>
        <v>Step 1: Đăng nhập vào tài khoản
Step 2: Chọn tab cá nhân
Step 3: Chọn mục yêu thích
Step 4: Nhập từ khoá vào thanh tìm kiếm</v>
      </c>
      <c r="L25" s="14" t="s">
        <v>2058</v>
      </c>
      <c r="M25" s="52" t="s">
        <v>2059</v>
      </c>
      <c r="N25" s="12"/>
      <c r="O25" s="12"/>
      <c r="P25" s="19"/>
    </row>
    <row r="26">
      <c r="A26" s="26" t="s">
        <v>46</v>
      </c>
      <c r="B26" s="27" t="s">
        <v>1650</v>
      </c>
      <c r="C26" s="29"/>
      <c r="D26" s="29"/>
      <c r="E26" s="18"/>
      <c r="F26" s="12" t="s">
        <v>2060</v>
      </c>
      <c r="G26" s="56"/>
      <c r="H26" s="12" t="s">
        <v>2061</v>
      </c>
      <c r="I26" s="12" t="s">
        <v>1966</v>
      </c>
      <c r="J26" s="12" t="s">
        <v>2049</v>
      </c>
      <c r="K26" s="13" t="str">
        <f>IFERROR(__xludf.DUMMYFUNCTION("IF(ISBLANK(J26), ""Input test step"", ARRAYFORMULA(TEXTJOIN(CHAR(10), TRUE, (""Step ""&amp; ROW(INDIRECT(""1:"" &amp; COUNTA(SPLIT(J26, CHAR(10))))) &amp; "": "" &amp; TRANSPOSE(SPLIT(J26, CHAR(10)))))))"),"Step 1: Đăng nhập vào tài khoản
Step 2: Chọn tab cá nhân
Step 3: Chọn mục yêu thích
Step 4: Nhập từ khoá vào thanh tìm kiếm")</f>
        <v>Step 1: Đăng nhập vào tài khoản
Step 2: Chọn tab cá nhân
Step 3: Chọn mục yêu thích
Step 4: Nhập từ khoá vào thanh tìm kiếm</v>
      </c>
      <c r="L26" s="14" t="s">
        <v>2062</v>
      </c>
      <c r="M26" s="73" t="s">
        <v>2063</v>
      </c>
      <c r="N26" s="12"/>
      <c r="O26" s="12"/>
      <c r="P26" s="19"/>
    </row>
    <row r="27">
      <c r="A27" s="28"/>
      <c r="B27" s="28"/>
      <c r="C27" s="28"/>
      <c r="D27" s="28"/>
      <c r="E27" s="18"/>
      <c r="F27" s="12" t="s">
        <v>2064</v>
      </c>
      <c r="G27" s="56"/>
      <c r="H27" s="52" t="s">
        <v>2065</v>
      </c>
      <c r="I27" s="12" t="s">
        <v>1966</v>
      </c>
      <c r="J27" s="12" t="s">
        <v>2066</v>
      </c>
      <c r="K27" s="13" t="str">
        <f>IFERROR(__xludf.DUMMYFUNCTION("IF(ISBLANK(J27), ""Input test step"", ARRAYFORMULA(TEXTJOIN(CHAR(10), TRUE, (""Step ""&amp; ROW(INDIRECT(""1:"" &amp; COUNTA(SPLIT(J27, CHAR(10))))) &amp; "": "" &amp; TRANSPOSE(SPLIT(J27, CHAR(10)))))))"),"Step 1: Đăng nhập vào tài khoản
Step 2: Chọn tab cá nhân
Step 3: Chọn mục yêu thích
Step 4: Nhập từ khoá vào thanh tìm kiếm
Step 5: Xoá từ khoá vừa tìm kiếm")</f>
        <v>Step 1: Đăng nhập vào tài khoản
Step 2: Chọn tab cá nhân
Step 3: Chọn mục yêu thích
Step 4: Nhập từ khoá vào thanh tìm kiếm
Step 5: Xoá từ khoá vừa tìm kiếm</v>
      </c>
      <c r="L27" s="14"/>
      <c r="M27" s="52" t="s">
        <v>2067</v>
      </c>
      <c r="N27" s="12"/>
      <c r="O27" s="12"/>
      <c r="P27" s="19"/>
    </row>
    <row r="28">
      <c r="A28" s="28"/>
      <c r="B28" s="28"/>
      <c r="C28" s="28"/>
      <c r="D28" s="28"/>
      <c r="E28" s="18"/>
      <c r="F28" s="12" t="s">
        <v>2068</v>
      </c>
      <c r="G28" s="56"/>
      <c r="H28" s="12" t="s">
        <v>2069</v>
      </c>
      <c r="I28" s="12" t="s">
        <v>1966</v>
      </c>
      <c r="J28" s="12" t="s">
        <v>2070</v>
      </c>
      <c r="K28" s="13" t="str">
        <f>IFERROR(__xludf.DUMMYFUNCTION("IF(ISBLANK(J28), ""Input test step"", ARRAYFORMULA(TEXTJOIN(CHAR(10), TRUE, (""Step ""&amp; ROW(INDIRECT(""1:"" &amp; COUNTA(SPLIT(J28, CHAR(10))))) &amp; "": "" &amp; TRANSPOSE(SPLIT(J28, CHAR(10)))))))"),"Step 1: Đăng nhập vào tài khoản
Step 2: Chọn tab cá nhân
Step 3: Chọn mục yêu thích
Step 4: Nhập từ khoá dài vào thanh tìm kiếm
Step 5: Nhấn Enter hoặc nút tìm kiếm")</f>
        <v>Step 1: Đăng nhập vào tài khoản
Step 2: Chọn tab cá nhân
Step 3: Chọn mục yêu thích
Step 4: Nhập từ khoá dài vào thanh tìm kiếm
Step 5: Nhấn Enter hoặc nút tìm kiếm</v>
      </c>
      <c r="L28" s="14"/>
      <c r="M28" s="73" t="s">
        <v>2071</v>
      </c>
      <c r="N28" s="12"/>
      <c r="O28" s="12"/>
      <c r="P28" s="19"/>
    </row>
    <row r="29">
      <c r="A29" s="28"/>
      <c r="B29" s="28"/>
      <c r="C29" s="28"/>
      <c r="D29" s="28"/>
      <c r="E29" s="18"/>
      <c r="F29" s="12" t="s">
        <v>2072</v>
      </c>
      <c r="G29" s="56"/>
      <c r="H29" s="12" t="s">
        <v>2073</v>
      </c>
      <c r="I29" s="12" t="s">
        <v>1966</v>
      </c>
      <c r="J29" s="12" t="s">
        <v>2074</v>
      </c>
      <c r="K29" s="13" t="str">
        <f>IFERROR(__xludf.DUMMYFUNCTION("IF(ISBLANK(J29), ""Input test step"", ARRAYFORMULA(TEXTJOIN(CHAR(10), TRUE, (""Step ""&amp; ROW(INDIRECT(""1:"" &amp; COUNTA(SPLIT(J29, CHAR(10))))) &amp; "": "" &amp; TRANSPOSE(SPLIT(J29, CHAR(10)))))))"),"Step 1: Đăng nhập vào tài khoản
Step 2: Chọn tab cá nhân
Step 3: Chọn mục yêu thích
Step 4: Nhập từ khoá ngắn vào thanh tìm kiếm
Step 5: Nhấn Enter hoặc nút tìm kiếm")</f>
        <v>Step 1: Đăng nhập vào tài khoản
Step 2: Chọn tab cá nhân
Step 3: Chọn mục yêu thích
Step 4: Nhập từ khoá ngắn vào thanh tìm kiếm
Step 5: Nhấn Enter hoặc nút tìm kiếm</v>
      </c>
      <c r="L29" s="14"/>
      <c r="M29" s="52" t="s">
        <v>2071</v>
      </c>
      <c r="N29" s="31"/>
      <c r="O29" s="12"/>
      <c r="P29" s="32"/>
    </row>
    <row r="30">
      <c r="A30" s="28"/>
      <c r="B30" s="28"/>
      <c r="C30" s="28"/>
      <c r="D30" s="28"/>
      <c r="E30" s="18"/>
      <c r="F30" s="12" t="s">
        <v>2075</v>
      </c>
      <c r="G30" s="56"/>
      <c r="H30" s="52" t="s">
        <v>2076</v>
      </c>
      <c r="I30" s="12" t="s">
        <v>1966</v>
      </c>
      <c r="J30" s="12" t="s">
        <v>2077</v>
      </c>
      <c r="K30" s="13" t="str">
        <f>IFERROR(__xludf.DUMMYFUNCTION("IF(ISBLANK(J30), ""Input test step"", ARRAYFORMULA(TEXTJOIN(CHAR(10), TRUE, (""Step ""&amp; ROW(INDIRECT(""1:"" &amp; COUNTA(SPLIT(J30, CHAR(10))))) &amp; "": "" &amp; TRANSPOSE(SPLIT(J30, CHAR(10)))))))"),"Step 1: ""Đăng nhập vào tài khoản
Step 2: Chọn tab cá nhân
Step 3: Chọn mục yêu thích
Step 4: Nhập từ khoá chưa hoàn chỉnh
Step 5: Chọn một gợi ý tự động hoàn tất")</f>
        <v>Step 1: "Đăng nhập vào tài khoản
Step 2: Chọn tab cá nhân
Step 3: Chọn mục yêu thích
Step 4: Nhập từ khoá chưa hoàn chỉnh
Step 5: Chọn một gợi ý tự động hoàn tất</v>
      </c>
      <c r="L30" s="33" t="s">
        <v>2078</v>
      </c>
      <c r="M30" s="73" t="s">
        <v>2079</v>
      </c>
      <c r="N30" s="31"/>
      <c r="O30" s="12"/>
      <c r="P30" s="32"/>
    </row>
    <row r="31">
      <c r="A31" s="28"/>
      <c r="B31" s="28"/>
      <c r="C31" s="28"/>
      <c r="D31" s="28"/>
      <c r="E31" s="18"/>
      <c r="F31" s="12" t="s">
        <v>2080</v>
      </c>
      <c r="G31" s="56"/>
      <c r="H31" s="12" t="s">
        <v>2081</v>
      </c>
      <c r="I31" s="12" t="s">
        <v>1966</v>
      </c>
      <c r="J31" s="12" t="s">
        <v>2082</v>
      </c>
      <c r="K31" s="13" t="str">
        <f>IFERROR(__xludf.DUMMYFUNCTION("IF(ISBLANK(J31), ""Input test step"", ARRAYFORMULA(TEXTJOIN(CHAR(10), TRUE, (""Step ""&amp; ROW(INDIRECT(""1:"" &amp; COUNTA(SPLIT(J31, CHAR(10))))) &amp; "": "" &amp; TRANSPOSE(SPLIT(J31, CHAR(10)))))))"),"Step 1: ""Đăng nhập vào tài khoản
Step 2: Chọn tab cá nhân
Step 3: Chọn mục yêu thích
Step 4: Nhập từ khoá chữ in hoa hoặc chữ in thường
Step 5: Nhấn Enter hoặc nút tìm kiếm")</f>
        <v>Step 1: "Đăng nhập vào tài khoản
Step 2: Chọn tab cá nhân
Step 3: Chọn mục yêu thích
Step 4: Nhập từ khoá chữ in hoa hoặc chữ in thường
Step 5: Nhấn Enter hoặc nút tìm kiếm</v>
      </c>
      <c r="L31" s="33" t="s">
        <v>2083</v>
      </c>
      <c r="M31" s="31" t="s">
        <v>2084</v>
      </c>
      <c r="N31" s="31"/>
      <c r="O31" s="12"/>
      <c r="P31" s="32"/>
    </row>
    <row r="32">
      <c r="A32" s="28"/>
      <c r="B32" s="28"/>
      <c r="C32" s="28"/>
      <c r="D32" s="28"/>
      <c r="E32" s="18"/>
      <c r="F32" s="12" t="s">
        <v>2085</v>
      </c>
      <c r="G32" s="56"/>
      <c r="H32" s="52" t="s">
        <v>2086</v>
      </c>
      <c r="I32" s="12" t="s">
        <v>1966</v>
      </c>
      <c r="J32" s="12" t="s">
        <v>2087</v>
      </c>
      <c r="K32" s="13" t="str">
        <f>IFERROR(__xludf.DUMMYFUNCTION("IF(ISBLANK(J32), ""Input test step"", ARRAYFORMULA(TEXTJOIN(CHAR(10), TRUE, (""Step ""&amp; ROW(INDIRECT(""1:"" &amp; COUNTA(SPLIT(J32, CHAR(10))))) &amp; "": "" &amp; TRANSPOSE(SPLIT(J32, CHAR(10)))))))"),"Step 1: ""Đăng nhập vào tài khoản
Step 2: Chọn tab cá nhân
Step 3: Chọn mục yêu thích
Step 4: Nhấn vào thanh tìm kiếm 
Step 5: Nhấn Enter hoặc nút tìm kiếm mà không nhập gì")</f>
        <v>Step 1: "Đăng nhập vào tài khoản
Step 2: Chọn tab cá nhân
Step 3: Chọn mục yêu thích
Step 4: Nhấn vào thanh tìm kiếm 
Step 5: Nhấn Enter hoặc nút tìm kiếm mà không nhập gì</v>
      </c>
      <c r="L32" s="34"/>
      <c r="M32" s="54" t="s">
        <v>2088</v>
      </c>
      <c r="N32" s="31"/>
      <c r="O32" s="12"/>
      <c r="P32" s="32"/>
    </row>
    <row r="33">
      <c r="A33" s="28"/>
      <c r="B33" s="28"/>
      <c r="C33" s="28"/>
      <c r="D33" s="28"/>
      <c r="E33" s="18"/>
      <c r="F33" s="12" t="s">
        <v>2089</v>
      </c>
      <c r="G33" s="56"/>
      <c r="H33" s="73" t="s">
        <v>2090</v>
      </c>
      <c r="I33" s="12" t="s">
        <v>1966</v>
      </c>
      <c r="J33" s="12" t="s">
        <v>2091</v>
      </c>
      <c r="K33" s="13" t="str">
        <f>IFERROR(__xludf.DUMMYFUNCTION("IF(ISBLANK(J33), ""Input test step"", ARRAYFORMULA(TEXTJOIN(CHAR(10), TRUE, (""Step ""&amp; ROW(INDIRECT(""1:"" &amp; COUNTA(SPLIT(J33, CHAR(10))))) &amp; "": "" &amp; TRANSPOSE(SPLIT(J33, CHAR(10)))))))"),"Step 1: ""Đăng nhập vào tài khoản
Step 2: Chọn tab cá nhân
Step 3: Chọn mục yêu thích
Step 4: Nhập từ khoá là 1 chuỗi số
Step 5: Nhấn Enter hoặc nút tìm kiếm ")</f>
        <v>Step 1: "Đăng nhập vào tài khoản
Step 2: Chọn tab cá nhân
Step 3: Chọn mục yêu thích
Step 4: Nhập từ khoá là 1 chuỗi số
Step 5: Nhấn Enter hoặc nút tìm kiếm </v>
      </c>
      <c r="L33" s="34" t="s">
        <v>2092</v>
      </c>
      <c r="M33" s="73" t="s">
        <v>2093</v>
      </c>
      <c r="N33" s="31"/>
      <c r="O33" s="12"/>
      <c r="P33" s="32"/>
    </row>
    <row r="34">
      <c r="C34" s="35"/>
      <c r="D34" s="35"/>
      <c r="E34" s="18"/>
      <c r="F34" s="12" t="s">
        <v>2094</v>
      </c>
      <c r="G34" s="57"/>
      <c r="H34" s="52" t="s">
        <v>2095</v>
      </c>
      <c r="I34" s="12" t="s">
        <v>1966</v>
      </c>
      <c r="J34" s="12" t="s">
        <v>2096</v>
      </c>
      <c r="K34" s="13" t="str">
        <f>IFERROR(__xludf.DUMMYFUNCTION("IF(ISBLANK(J34), ""Input test step"", ARRAYFORMULA(TEXTJOIN(CHAR(10), TRUE, (""Step ""&amp; ROW(INDIRECT(""1:"" &amp; COUNTA(SPLIT(J34, CHAR(10))))) &amp; "": "" &amp; TRANSPOSE(SPLIT(J34, CHAR(10)))))))"),"Step 1: ""Đăng nhập vào tài khoản
Step 2: Chọn tab cá nhân
Step 3: Chọn mục yêu thích
Step 4: Nhấn vào thanh tìm kiếm , ngắt kết nối internet
Step 5: Nhập từ khoá và Enter hoặc nút tìm kiếm ")</f>
        <v>Step 1: "Đăng nhập vào tài khoản
Step 2: Chọn tab cá nhân
Step 3: Chọn mục yêu thích
Step 4: Nhấn vào thanh tìm kiếm , ngắt kết nối internet
Step 5: Nhập từ khoá và Enter hoặc nút tìm kiếm </v>
      </c>
      <c r="L34" s="34"/>
      <c r="M34" s="52" t="s">
        <v>2097</v>
      </c>
      <c r="N34" s="31"/>
      <c r="O34" s="12"/>
      <c r="P34" s="32"/>
    </row>
    <row r="35">
      <c r="A35" s="35"/>
      <c r="B35" s="35"/>
      <c r="C35" s="35"/>
      <c r="D35" s="35"/>
      <c r="E35" s="18"/>
      <c r="F35" s="12" t="s">
        <v>2098</v>
      </c>
      <c r="G35" s="55" t="s">
        <v>2099</v>
      </c>
      <c r="H35" s="12" t="s">
        <v>2100</v>
      </c>
      <c r="I35" s="12" t="s">
        <v>2101</v>
      </c>
      <c r="J35" s="12" t="s">
        <v>2102</v>
      </c>
      <c r="K35" s="13" t="str">
        <f>IFERROR(__xludf.DUMMYFUNCTION("IF(ISBLANK(J35), ""Input test step"", ARRAYFORMULA(TEXTJOIN(CHAR(10), TRUE, (""Step ""&amp; ROW(INDIRECT(""1:"" &amp; COUNTA(SPLIT(J35, CHAR(10))))) &amp; "": "" &amp; TRANSPOSE(SPLIT(J35, CHAR(10)))))))"),"Step 1: ""Đăng nhập vào tài khoản
Step 2: Chọn tab cá nhân
Step 3: Chọn mục yêu thích
Step 4: Nhấn vào xem chi tiết sản phẩm")</f>
        <v>Step 1: "Đăng nhập vào tài khoản
Step 2: Chọn tab cá nhân
Step 3: Chọn mục yêu thích
Step 4: Nhấn vào xem chi tiết sản phẩm</v>
      </c>
      <c r="L35" s="34"/>
      <c r="M35" s="12" t="s">
        <v>2103</v>
      </c>
      <c r="N35" s="12" t="s">
        <v>2104</v>
      </c>
      <c r="O35" s="12" t="s">
        <v>2</v>
      </c>
      <c r="P35" s="32"/>
    </row>
    <row r="36">
      <c r="A36" s="35"/>
      <c r="B36" s="35"/>
      <c r="C36" s="35"/>
      <c r="D36" s="35"/>
      <c r="E36" s="18"/>
      <c r="F36" s="12" t="s">
        <v>2105</v>
      </c>
      <c r="G36" s="56"/>
      <c r="H36" s="12" t="s">
        <v>2106</v>
      </c>
      <c r="I36" s="12" t="s">
        <v>2101</v>
      </c>
      <c r="J36" s="12" t="s">
        <v>2102</v>
      </c>
      <c r="K36" s="13" t="str">
        <f>IFERROR(__xludf.DUMMYFUNCTION("IF(ISBLANK(J36), ""Input test step"", ARRAYFORMULA(TEXTJOIN(CHAR(10), TRUE, (""Step ""&amp; ROW(INDIRECT(""1:"" &amp; COUNTA(SPLIT(J36, CHAR(10))))) &amp; "": "" &amp; TRANSPOSE(SPLIT(J36, CHAR(10)))))))"),"Step 1: ""Đăng nhập vào tài khoản
Step 2: Chọn tab cá nhân
Step 3: Chọn mục yêu thích
Step 4: Nhấn vào xem chi tiết sản phẩm")</f>
        <v>Step 1: "Đăng nhập vào tài khoản
Step 2: Chọn tab cá nhân
Step 3: Chọn mục yêu thích
Step 4: Nhấn vào xem chi tiết sản phẩm</v>
      </c>
      <c r="L36" s="34"/>
      <c r="M36" s="52" t="s">
        <v>2107</v>
      </c>
      <c r="N36" s="12" t="s">
        <v>1983</v>
      </c>
      <c r="O36" s="12" t="s">
        <v>2</v>
      </c>
      <c r="P36" s="32"/>
    </row>
    <row r="37">
      <c r="A37" s="35"/>
      <c r="B37" s="35"/>
      <c r="C37" s="35"/>
      <c r="D37" s="35"/>
      <c r="E37" s="18"/>
      <c r="F37" s="12" t="s">
        <v>2108</v>
      </c>
      <c r="G37" s="56"/>
      <c r="H37" s="83" t="s">
        <v>2109</v>
      </c>
      <c r="I37" s="12" t="s">
        <v>2101</v>
      </c>
      <c r="J37" s="12" t="s">
        <v>2102</v>
      </c>
      <c r="K37" s="13" t="str">
        <f>IFERROR(__xludf.DUMMYFUNCTION("IF(ISBLANK(J37), ""Input test step"", ARRAYFORMULA(TEXTJOIN(CHAR(10), TRUE, (""Step ""&amp; ROW(INDIRECT(""1:"" &amp; COUNTA(SPLIT(J37, CHAR(10))))) &amp; "": "" &amp; TRANSPOSE(SPLIT(J37, CHAR(10)))))))"),"Step 1: ""Đăng nhập vào tài khoản
Step 2: Chọn tab cá nhân
Step 3: Chọn mục yêu thích
Step 4: Nhấn vào xem chi tiết sản phẩm")</f>
        <v>Step 1: "Đăng nhập vào tài khoản
Step 2: Chọn tab cá nhân
Step 3: Chọn mục yêu thích
Step 4: Nhấn vào xem chi tiết sản phẩm</v>
      </c>
      <c r="L37" s="34"/>
      <c r="M37" s="73" t="s">
        <v>2110</v>
      </c>
      <c r="N37" s="12"/>
      <c r="O37" s="12"/>
      <c r="P37" s="32"/>
    </row>
    <row r="38">
      <c r="A38" s="36"/>
      <c r="B38" s="36"/>
      <c r="C38" s="36"/>
      <c r="D38" s="36"/>
      <c r="E38" s="27"/>
      <c r="F38" s="12" t="s">
        <v>2111</v>
      </c>
      <c r="G38" s="56"/>
      <c r="H38" s="45" t="s">
        <v>2112</v>
      </c>
      <c r="I38" s="12" t="s">
        <v>2101</v>
      </c>
      <c r="J38" s="12" t="s">
        <v>2113</v>
      </c>
      <c r="K38" s="13" t="str">
        <f>IFERROR(__xludf.DUMMYFUNCTION("IF(ISBLANK(J38), ""Input test step"", ARRAYFORMULA(TEXTJOIN(CHAR(10), TRUE, (""Step ""&amp; ROW(INDIRECT(""1:"" &amp; COUNTA(SPLIT(J38, CHAR(10))))) &amp; "": "" &amp; TRANSPOSE(SPLIT(J38, CHAR(10)))))))"),"Step 1: ""Đăng nhập vào tài khoản
Step 2: Chọn tab cá nhân
Step 3: Chọn mục yêu thích
Step 4: Nhấn vào xem chi tiết sản phẩm
Step 5: Nhấn vào icon hình trái tim để yêu thích sản phẩm")</f>
        <v>Step 1: "Đăng nhập vào tài khoản
Step 2: Chọn tab cá nhân
Step 3: Chọn mục yêu thích
Step 4: Nhấn vào xem chi tiết sản phẩm
Step 5: Nhấn vào icon hình trái tim để yêu thích sản phẩm</v>
      </c>
      <c r="L38" s="14"/>
      <c r="M38" s="52" t="s">
        <v>2114</v>
      </c>
      <c r="N38" s="12" t="s">
        <v>2115</v>
      </c>
      <c r="O38" s="12" t="s">
        <v>2</v>
      </c>
      <c r="P38" s="32"/>
    </row>
    <row r="39">
      <c r="A39" s="36"/>
      <c r="B39" s="36"/>
      <c r="C39" s="36"/>
      <c r="D39" s="36"/>
      <c r="E39" s="27"/>
      <c r="F39" s="12" t="s">
        <v>2116</v>
      </c>
      <c r="G39" s="56"/>
      <c r="H39" s="83" t="s">
        <v>2117</v>
      </c>
      <c r="I39" s="12" t="s">
        <v>2101</v>
      </c>
      <c r="J39" s="12" t="s">
        <v>2118</v>
      </c>
      <c r="K39" s="13" t="str">
        <f>IFERROR(__xludf.DUMMYFUNCTION("IF(ISBLANK(J39), ""Input test step"", ARRAYFORMULA(TEXTJOIN(CHAR(10), TRUE, (""Step ""&amp; ROW(INDIRECT(""1:"" &amp; COUNTA(SPLIT(J39, CHAR(10))))) &amp; "": "" &amp; TRANSPOSE(SPLIT(J39, CHAR(10)))))))"),"Step 1: ""Đăng nhập vào tài khoản
Step 2: Chọn tab cá nhân
Step 3: Chọn mục yêu thích
Step 4: Nhấn vào xem chi tiết sản phẩm
Step 5: Chuyển qua lại các hình ảnh bằng cách nhấn vào nút hoặc vuốt.")</f>
        <v>Step 1: "Đăng nhập vào tài khoản
Step 2: Chọn tab cá nhân
Step 3: Chọn mục yêu thích
Step 4: Nhấn vào xem chi tiết sản phẩm
Step 5: Chuyển qua lại các hình ảnh bằng cách nhấn vào nút hoặc vuốt.</v>
      </c>
      <c r="L39" s="14"/>
      <c r="M39" s="73" t="s">
        <v>2119</v>
      </c>
      <c r="N39" s="12"/>
      <c r="O39" s="12"/>
      <c r="P39" s="32"/>
    </row>
    <row r="40">
      <c r="A40" s="37"/>
      <c r="B40" s="37"/>
      <c r="C40" s="37"/>
      <c r="D40" s="37"/>
      <c r="E40" s="37"/>
      <c r="F40" s="12" t="s">
        <v>2120</v>
      </c>
      <c r="G40" s="56"/>
      <c r="H40" s="12" t="s">
        <v>2121</v>
      </c>
      <c r="I40" s="12" t="s">
        <v>2101</v>
      </c>
      <c r="J40" s="12" t="s">
        <v>2122</v>
      </c>
      <c r="K40" s="13" t="str">
        <f>IFERROR(__xludf.DUMMYFUNCTION("IF(ISBLANK(J40), ""Input test step"", ARRAYFORMULA(TEXTJOIN(CHAR(10), TRUE, (""Step ""&amp; ROW(INDIRECT(""1:"" &amp; COUNTA(SPLIT(J40, CHAR(10))))) &amp; "": "" &amp; TRANSPOSE(SPLIT(J40, CHAR(10)))))))"),"Step 1: ""Đăng nhập vào tài khoản
Step 2: Chọn tab cá nhân
Step 3: Chọn mục yêu thích
Step 4: Nhấn vào xem chi tiết sản phẩm
Step 5: Kiểm tra số lượng ảnh hiển thị của sản phẩm")</f>
        <v>Step 1: "Đăng nhập vào tài khoản
Step 2: Chọn tab cá nhân
Step 3: Chọn mục yêu thích
Step 4: Nhấn vào xem chi tiết sản phẩm
Step 5: Kiểm tra số lượng ảnh hiển thị của sản phẩm</v>
      </c>
      <c r="L40" s="14"/>
      <c r="M40" s="12" t="s">
        <v>2123</v>
      </c>
      <c r="N40" s="12"/>
      <c r="O40" s="12"/>
      <c r="P40" s="38"/>
    </row>
    <row r="41">
      <c r="A41" s="37"/>
      <c r="B41" s="37"/>
      <c r="C41" s="37"/>
      <c r="D41" s="37"/>
      <c r="E41" s="37"/>
      <c r="F41" s="12" t="s">
        <v>2124</v>
      </c>
      <c r="G41" s="56"/>
      <c r="H41" s="12" t="s">
        <v>2125</v>
      </c>
      <c r="I41" s="12" t="s">
        <v>2101</v>
      </c>
      <c r="J41" s="12" t="s">
        <v>2126</v>
      </c>
      <c r="K41" s="13" t="str">
        <f>IFERROR(__xludf.DUMMYFUNCTION("IF(ISBLANK(J41), ""Input test step"", ARRAYFORMULA(TEXTJOIN(CHAR(10), TRUE, (""Step ""&amp; ROW(INDIRECT(""1:"" &amp; COUNTA(SPLIT(J41, CHAR(10))))) &amp; "": "" &amp; TRANSPOSE(SPLIT(J41, CHAR(10)))))))"),"Step 1: ""Đăng nhập vào tài khoản
Step 2: Chọn tab cá nhân
Step 3: Chọn mục yêu thích
Step 4: Nhấn vào xem chi tiết sản phẩm
Step 5: Kiểm tra hiển thị thông tin sản phẩm ( hình ảnh, tên sản phẩm, thương hiệu )")</f>
        <v>Step 1: "Đăng nhập vào tài khoản
Step 2: Chọn tab cá nhân
Step 3: Chọn mục yêu thích
Step 4: Nhấn vào xem chi tiết sản phẩm
Step 5: Kiểm tra hiển thị thông tin sản phẩm ( hình ảnh, tên sản phẩm, thương hiệu )</v>
      </c>
      <c r="L41" s="14"/>
      <c r="M41" s="22" t="s">
        <v>2127</v>
      </c>
      <c r="N41" s="22"/>
      <c r="O41" s="12"/>
      <c r="P41" s="38"/>
    </row>
    <row r="42">
      <c r="A42" s="37"/>
      <c r="B42" s="37"/>
      <c r="C42" s="37"/>
      <c r="D42" s="37"/>
      <c r="E42" s="37"/>
      <c r="F42" s="12" t="s">
        <v>2128</v>
      </c>
      <c r="G42" s="56"/>
      <c r="H42" s="12" t="s">
        <v>2129</v>
      </c>
      <c r="I42" s="12" t="s">
        <v>2101</v>
      </c>
      <c r="J42" s="12" t="s">
        <v>2130</v>
      </c>
      <c r="K42" s="13" t="str">
        <f>IFERROR(__xludf.DUMMYFUNCTION("IF(ISBLANK(J42), ""Input test step"", ARRAYFORMULA(TEXTJOIN(CHAR(10), TRUE, (""Step ""&amp; ROW(INDIRECT(""1:"" &amp; COUNTA(SPLIT(J42, CHAR(10))))) &amp; "": "" &amp; TRANSPOSE(SPLIT(J42, CHAR(10)))))))"),"Step 1: ""Đăng nhập vào tài khoản
Step 2: Chọn tab cá nhân
Step 3: Chọn mục yêu thích
Step 4: Nhấn vào xem chi tiết sản phẩm
Step 5: Kiểm tra hiển thị giá sản phẩm ( kích thước, màu sắc, định dạng )")</f>
        <v>Step 1: "Đăng nhập vào tài khoản
Step 2: Chọn tab cá nhân
Step 3: Chọn mục yêu thích
Step 4: Nhấn vào xem chi tiết sản phẩm
Step 5: Kiểm tra hiển thị giá sản phẩm ( kích thước, màu sắc, định dạng )</v>
      </c>
      <c r="L42" s="14"/>
      <c r="M42" s="12" t="s">
        <v>2131</v>
      </c>
      <c r="N42" s="12"/>
      <c r="O42" s="12"/>
      <c r="P42" s="38"/>
    </row>
    <row r="43">
      <c r="A43" s="37"/>
      <c r="B43" s="37"/>
      <c r="C43" s="37"/>
      <c r="D43" s="37"/>
      <c r="E43" s="37"/>
      <c r="F43" s="12" t="s">
        <v>2132</v>
      </c>
      <c r="G43" s="56"/>
      <c r="H43" s="12" t="s">
        <v>2014</v>
      </c>
      <c r="I43" s="12" t="s">
        <v>2101</v>
      </c>
      <c r="J43" s="12" t="s">
        <v>2133</v>
      </c>
      <c r="K43" s="13" t="str">
        <f>IFERROR(__xludf.DUMMYFUNCTION("IF(ISBLANK(J43), ""Input test step"", ARRAYFORMULA(TEXTJOIN(CHAR(10), TRUE, (""Step ""&amp; ROW(INDIRECT(""1:"" &amp; COUNTA(SPLIT(J43, CHAR(10))))) &amp; "": "" &amp; TRANSPOSE(SPLIT(J43, CHAR(10)))))))"),"Step 1: ""Đăng nhập vào tài khoản
Step 2: Chọn tab cá nhân
Step 3: Chọn mục yêu thích
Step 4: Nhấn vào xem chi tiết sản phẩm
Step 5: Kiểm tra hiển thị giá gốc của sản phẩm ( kích thước, màu sắc, định dạng )")</f>
        <v>Step 1: "Đăng nhập vào tài khoản
Step 2: Chọn tab cá nhân
Step 3: Chọn mục yêu thích
Step 4: Nhấn vào xem chi tiết sản phẩm
Step 5: Kiểm tra hiển thị giá gốc của sản phẩm ( kích thước, màu sắc, định dạng )</v>
      </c>
      <c r="L43" s="14"/>
      <c r="M43" s="12" t="s">
        <v>2131</v>
      </c>
      <c r="N43" s="12"/>
      <c r="O43" s="12"/>
      <c r="P43" s="38"/>
    </row>
    <row r="44">
      <c r="A44" s="37"/>
      <c r="B44" s="37"/>
      <c r="C44" s="37"/>
      <c r="D44" s="37"/>
      <c r="E44" s="37"/>
      <c r="F44" s="12" t="s">
        <v>2134</v>
      </c>
      <c r="G44" s="56"/>
      <c r="H44" s="83" t="s">
        <v>2135</v>
      </c>
      <c r="I44" s="12" t="s">
        <v>2101</v>
      </c>
      <c r="J44" s="12" t="s">
        <v>2136</v>
      </c>
      <c r="K44" s="13" t="str">
        <f>IFERROR(__xludf.DUMMYFUNCTION("IF(ISBLANK(J44), ""Input test step"", ARRAYFORMULA(TEXTJOIN(CHAR(10), TRUE, (""Step ""&amp; ROW(INDIRECT(""1:"" &amp; COUNTA(SPLIT(J44, CHAR(10))))) &amp; "": "" &amp; TRANSPOSE(SPLIT(J44, CHAR(10)))))))"),"Step 1: ""Đăng nhập vào tài khoản
Step 2: Chọn tab cá nhân
Step 3: Chọn mục yêu thích
Step 4: Nhấn vào xem chi tiết sản phẩm
Step 5: Kiểm tra hiển thị nhãn sản phẩm mới")</f>
        <v>Step 1: "Đăng nhập vào tài khoản
Step 2: Chọn tab cá nhân
Step 3: Chọn mục yêu thích
Step 4: Nhấn vào xem chi tiết sản phẩm
Step 5: Kiểm tra hiển thị nhãn sản phẩm mới</v>
      </c>
      <c r="L44" s="14"/>
      <c r="M44" s="52" t="s">
        <v>2137</v>
      </c>
      <c r="N44" s="22"/>
      <c r="O44" s="12" t="s">
        <v>1</v>
      </c>
      <c r="P44" s="38"/>
    </row>
    <row r="45">
      <c r="A45" s="37"/>
      <c r="B45" s="37"/>
      <c r="C45" s="37"/>
      <c r="D45" s="37"/>
      <c r="E45" s="37"/>
      <c r="F45" s="12" t="s">
        <v>2138</v>
      </c>
      <c r="G45" s="56"/>
      <c r="H45" s="73" t="s">
        <v>2139</v>
      </c>
      <c r="I45" s="12" t="s">
        <v>2101</v>
      </c>
      <c r="J45" s="12" t="s">
        <v>2140</v>
      </c>
      <c r="K45" s="13" t="str">
        <f>IFERROR(__xludf.DUMMYFUNCTION("IF(ISBLANK(J45), ""Input test step"", ARRAYFORMULA(TEXTJOIN(CHAR(10), TRUE, (""Step ""&amp; ROW(INDIRECT(""1:"" &amp; COUNTA(SPLIT(J45, CHAR(10))))) &amp; "": "" &amp; TRANSPOSE(SPLIT(J45, CHAR(10)))))))"),"Step 1: ""Đăng nhập vào tài khoản
Step 2: Chọn tab cá nhân
Step 3: Chọn mục yêu thích
Step 4: Nhấn vào xem chi tiết sản phẩm
Step 5: Kiểm tra hiển thị số lượng tồn kho của sản phẩm")</f>
        <v>Step 1: "Đăng nhập vào tài khoản
Step 2: Chọn tab cá nhân
Step 3: Chọn mục yêu thích
Step 4: Nhấn vào xem chi tiết sản phẩm
Step 5: Kiểm tra hiển thị số lượng tồn kho của sản phẩm</v>
      </c>
      <c r="L45" s="14"/>
      <c r="M45" s="12" t="s">
        <v>2141</v>
      </c>
      <c r="N45" s="12"/>
      <c r="O45" s="12"/>
      <c r="P45" s="38"/>
    </row>
    <row r="46">
      <c r="A46" s="37"/>
      <c r="B46" s="37"/>
      <c r="C46" s="37"/>
      <c r="D46" s="37"/>
      <c r="E46" s="37"/>
      <c r="F46" s="12" t="s">
        <v>2142</v>
      </c>
      <c r="G46" s="56"/>
      <c r="H46" s="73" t="s">
        <v>2143</v>
      </c>
      <c r="I46" s="12" t="s">
        <v>2101</v>
      </c>
      <c r="J46" s="12" t="s">
        <v>2144</v>
      </c>
      <c r="K46" s="13" t="str">
        <f>IFERROR(__xludf.DUMMYFUNCTION("IF(ISBLANK(J46), ""Input test step"", ARRAYFORMULA(TEXTJOIN(CHAR(10), TRUE, (""Step ""&amp; ROW(INDIRECT(""1:"" &amp; COUNTA(SPLIT(J46, CHAR(10))))) &amp; "": "" &amp; TRANSPOSE(SPLIT(J46, CHAR(10)))))))"),"Step 1: ""Đăng nhập vào tài khoản
Step 2: Chọn tab cá nhân
Step 3: Chọn mục yêu thích
Step 4: Nhấn vào xem chi tiết sản phẩm
Step 5: Kiểm tra hiển thị chức năng nhắn tin ( icon hiển thị đúng màu, kích thước )")</f>
        <v>Step 1: "Đăng nhập vào tài khoản
Step 2: Chọn tab cá nhân
Step 3: Chọn mục yêu thích
Step 4: Nhấn vào xem chi tiết sản phẩm
Step 5: Kiểm tra hiển thị chức năng nhắn tin ( icon hiển thị đúng màu, kích thước )</v>
      </c>
      <c r="L46" s="14"/>
      <c r="M46" s="12" t="s">
        <v>2145</v>
      </c>
      <c r="N46" s="12" t="s">
        <v>2146</v>
      </c>
      <c r="O46" s="12" t="s">
        <v>2</v>
      </c>
      <c r="P46" s="38"/>
    </row>
    <row r="47">
      <c r="A47" s="37"/>
      <c r="B47" s="37"/>
      <c r="C47" s="37"/>
      <c r="D47" s="37"/>
      <c r="E47" s="37"/>
      <c r="F47" s="12" t="s">
        <v>2147</v>
      </c>
      <c r="G47" s="56"/>
      <c r="H47" s="12" t="s">
        <v>2148</v>
      </c>
      <c r="I47" s="12" t="s">
        <v>2101</v>
      </c>
      <c r="J47" s="12" t="s">
        <v>2149</v>
      </c>
      <c r="K47" s="13" t="str">
        <f>IFERROR(__xludf.DUMMYFUNCTION("IF(ISBLANK(J47), ""Input test step"", ARRAYFORMULA(TEXTJOIN(CHAR(10), TRUE, (""Step ""&amp; ROW(INDIRECT(""1:"" &amp; COUNTA(SPLIT(J47, CHAR(10))))) &amp; "": "" &amp; TRANSPOSE(SPLIT(J47, CHAR(10)))))))"),"Step 1: ""Đăng nhập vào tài khoản
Step 2: Chọn tab cá nhân
Step 3: Chọn mục yêu thích
Step 4: Nhấn vào xem chi tiết sản phẩm
Step 5: Kiểm tra hiển thị chức năng chia sẻ  ( icon hiển thị đúng màu, kích thước )")</f>
        <v>Step 1: "Đăng nhập vào tài khoản
Step 2: Chọn tab cá nhân
Step 3: Chọn mục yêu thích
Step 4: Nhấn vào xem chi tiết sản phẩm
Step 5: Kiểm tra hiển thị chức năng chia sẻ  ( icon hiển thị đúng màu, kích thước )</v>
      </c>
      <c r="L47" s="14"/>
      <c r="M47" s="30" t="s">
        <v>2150</v>
      </c>
      <c r="N47" s="12" t="s">
        <v>2146</v>
      </c>
      <c r="O47" s="12" t="s">
        <v>2</v>
      </c>
      <c r="P47" s="38"/>
    </row>
    <row r="48">
      <c r="A48" s="37"/>
      <c r="B48" s="37"/>
      <c r="C48" s="37"/>
      <c r="D48" s="37"/>
      <c r="E48" s="37"/>
      <c r="F48" s="12" t="s">
        <v>2151</v>
      </c>
      <c r="G48" s="56"/>
      <c r="H48" s="31" t="s">
        <v>2152</v>
      </c>
      <c r="I48" s="12" t="s">
        <v>2101</v>
      </c>
      <c r="J48" s="12" t="s">
        <v>2153</v>
      </c>
      <c r="K48" s="13" t="str">
        <f>IFERROR(__xludf.DUMMYFUNCTION("IF(ISBLANK(J48), ""Input test step"", ARRAYFORMULA(TEXTJOIN(CHAR(10), TRUE, (""Step ""&amp; ROW(INDIRECT(""1:"" &amp; COUNTA(SPLIT(J48, CHAR(10))))) &amp; "": "" &amp; TRANSPOSE(SPLIT(J48, CHAR(10)))))))"),"Step 1: ""Đăng nhập vào tài khoản
Step 2: Chọn tab cá nhân
Step 3: Chọn mục yêu thích
Step 4: Nhấn vào xem chi tiết sản phẩm
Step 5: Nhấn vào nút chia sẻ --&gt; hiển thị màn hình chia sẻ 
Step 6: Kiểm tra kích thước, cỡ chữ, màu sắc của màn hình '"" Chia sẻ "&amp;"với bạn bè và gia đình "" ")</f>
        <v>Step 1: "Đăng nhập vào tài khoản
Step 2: Chọn tab cá nhân
Step 3: Chọn mục yêu thích
Step 4: Nhấn vào xem chi tiết sản phẩm
Step 5: Nhấn vào nút chia sẻ --&gt; hiển thị màn hình chia sẻ 
Step 6: Kiểm tra kích thước, cỡ chữ, màu sắc của màn hình '" Chia sẻ với bạn bè và gia đình " </v>
      </c>
      <c r="L48" s="14"/>
      <c r="M48" s="22" t="s">
        <v>2154</v>
      </c>
      <c r="N48" s="22"/>
      <c r="O48" s="12"/>
      <c r="P48" s="38"/>
    </row>
    <row r="49">
      <c r="A49" s="37"/>
      <c r="B49" s="37"/>
      <c r="C49" s="37"/>
      <c r="D49" s="37"/>
      <c r="E49" s="37"/>
      <c r="F49" s="12" t="s">
        <v>2155</v>
      </c>
      <c r="G49" s="56"/>
      <c r="H49" s="73" t="s">
        <v>2156</v>
      </c>
      <c r="I49" s="12" t="s">
        <v>2101</v>
      </c>
      <c r="J49" s="12" t="s">
        <v>2157</v>
      </c>
      <c r="K49" s="13" t="str">
        <f>IFERROR(__xludf.DUMMYFUNCTION("IF(ISBLANK(J49), ""Input test step"", ARRAYFORMULA(TEXTJOIN(CHAR(10), TRUE, (""Step ""&amp; ROW(INDIRECT(""1:"" &amp; COUNTA(SPLIT(J49, CHAR(10))))) &amp; "": "" &amp; TRANSPOSE(SPLIT(J49, CHAR(10)))))))"),"Step 1: ""Đăng nhập vào tài khoản
Step 2: Chọn tab cá nhân
Step 3: Chọn mục yêu thích
Step 4: Nhấn vào xem chi tiết sản phẩm
Step 5: Nhấn vào nút chia sẻ --&gt; hiển thị màn hình chia sẻ 
Step 6: Kiểm tra nút Sao chép liên kết ")</f>
        <v>Step 1: "Đăng nhập vào tài khoản
Step 2: Chọn tab cá nhân
Step 3: Chọn mục yêu thích
Step 4: Nhấn vào xem chi tiết sản phẩm
Step 5: Nhấn vào nút chia sẻ --&gt; hiển thị màn hình chia sẻ 
Step 6: Kiểm tra nút Sao chép liên kết </v>
      </c>
      <c r="L49" s="14"/>
      <c r="M49" s="22" t="s">
        <v>2158</v>
      </c>
      <c r="N49" s="22"/>
      <c r="O49" s="12"/>
      <c r="P49" s="38"/>
    </row>
    <row r="50">
      <c r="A50" s="37"/>
      <c r="B50" s="37"/>
      <c r="C50" s="37"/>
      <c r="D50" s="37"/>
      <c r="E50" s="37"/>
      <c r="F50" s="12" t="s">
        <v>2159</v>
      </c>
      <c r="G50" s="56"/>
      <c r="H50" s="73" t="s">
        <v>2160</v>
      </c>
      <c r="I50" s="12" t="s">
        <v>2101</v>
      </c>
      <c r="J50" s="12" t="s">
        <v>2161</v>
      </c>
      <c r="K50" s="13" t="str">
        <f>IFERROR(__xludf.DUMMYFUNCTION("IF(ISBLANK(J50), ""Input test step"", ARRAYFORMULA(TEXTJOIN(CHAR(10), TRUE, (""Step ""&amp; ROW(INDIRECT(""1:"" &amp; COUNTA(SPLIT(J50, CHAR(10))))) &amp; "": "" &amp; TRANSPOSE(SPLIT(J50, CHAR(10)))))))"),"Step 1: ""Đăng nhập vào tài khoản
Step 2: Chọn tab cá nhân
Step 3: Chọn mục yêu thích
Step 4: Nhấn vào xem chi tiết sản phẩm
Step 5: Nhấn vào nút chia sẻ --&gt; hiển thị màn hình chia sẻ 
Step 6: Kiểm tra nút "" Lưu ảnh  "" ")</f>
        <v>Step 1: "Đăng nhập vào tài khoản
Step 2: Chọn tab cá nhân
Step 3: Chọn mục yêu thích
Step 4: Nhấn vào xem chi tiết sản phẩm
Step 5: Nhấn vào nút chia sẻ --&gt; hiển thị màn hình chia sẻ 
Step 6: Kiểm tra nút " Lưu ảnh  " </v>
      </c>
      <c r="L50" s="14"/>
      <c r="M50" s="22" t="s">
        <v>2162</v>
      </c>
      <c r="N50" s="22"/>
      <c r="O50" s="12"/>
      <c r="P50" s="38"/>
    </row>
    <row r="51">
      <c r="A51" s="37"/>
      <c r="B51" s="37"/>
      <c r="C51" s="37"/>
      <c r="D51" s="37"/>
      <c r="E51" s="37"/>
      <c r="F51" s="12" t="s">
        <v>2163</v>
      </c>
      <c r="G51" s="56"/>
      <c r="H51" s="73" t="s">
        <v>2164</v>
      </c>
      <c r="I51" s="12" t="s">
        <v>2101</v>
      </c>
      <c r="J51" s="12" t="s">
        <v>2165</v>
      </c>
      <c r="K51" s="13" t="str">
        <f>IFERROR(__xludf.DUMMYFUNCTION("IF(ISBLANK(J51), ""Input test step"", ARRAYFORMULA(TEXTJOIN(CHAR(10), TRUE, (""Step ""&amp; ROW(INDIRECT(""1:"" &amp; COUNTA(SPLIT(J51, CHAR(10))))) &amp; "": "" &amp; TRANSPOSE(SPLIT(J51, CHAR(10)))))))"),"Step 1: ""Đăng nhập vào tài khoản
Step 2: Chọn tab cá nhân
Step 3: Chọn mục yêu thích
Step 4: Nhấn vào xem chi tiết sản phẩm
Step 5: Nhấn vào nút chia sẻ --&gt; hiển thị màn hình chia sẻ 
Step 6: Kiểm tra nút "" Messenger  "" ")</f>
        <v>Step 1: "Đăng nhập vào tài khoản
Step 2: Chọn tab cá nhân
Step 3: Chọn mục yêu thích
Step 4: Nhấn vào xem chi tiết sản phẩm
Step 5: Nhấn vào nút chia sẻ --&gt; hiển thị màn hình chia sẻ 
Step 6: Kiểm tra nút " Messenger  " </v>
      </c>
      <c r="L51" s="14"/>
      <c r="M51" s="22" t="s">
        <v>2166</v>
      </c>
      <c r="N51" s="22"/>
      <c r="O51" s="12"/>
      <c r="P51" s="38"/>
    </row>
    <row r="52">
      <c r="A52" s="37"/>
      <c r="B52" s="37"/>
      <c r="C52" s="37"/>
      <c r="D52" s="37"/>
      <c r="E52" s="37"/>
      <c r="F52" s="12" t="s">
        <v>2167</v>
      </c>
      <c r="G52" s="56"/>
      <c r="H52" s="73" t="s">
        <v>2168</v>
      </c>
      <c r="I52" s="12" t="s">
        <v>2101</v>
      </c>
      <c r="J52" s="12" t="s">
        <v>2169</v>
      </c>
      <c r="K52" s="13" t="str">
        <f>IFERROR(__xludf.DUMMYFUNCTION("IF(ISBLANK(J52), ""Input test step"", ARRAYFORMULA(TEXTJOIN(CHAR(10), TRUE, (""Step ""&amp; ROW(INDIRECT(""1:"" &amp; COUNTA(SPLIT(J52, CHAR(10))))) &amp; "": "" &amp; TRANSPOSE(SPLIT(J52, CHAR(10)))))))"),"Step 1: ""Đăng nhập vào tài khoản
Step 2: Chọn tab cá nhân
Step 3: Chọn mục yêu thích
Step 4: Nhấn vào xem chi tiết sản phẩm
Step 5: Nhấn vào nút chia sẻ --&gt; hiển thị màn hình chia sẻ 
Step 6: Kiểm tra nút "" Facebook  "" ")</f>
        <v>Step 1: "Đăng nhập vào tài khoản
Step 2: Chọn tab cá nhân
Step 3: Chọn mục yêu thích
Step 4: Nhấn vào xem chi tiết sản phẩm
Step 5: Nhấn vào nút chia sẻ --&gt; hiển thị màn hình chia sẻ 
Step 6: Kiểm tra nút " Facebook  " </v>
      </c>
      <c r="L52" s="14"/>
      <c r="M52" s="22" t="s">
        <v>2170</v>
      </c>
      <c r="N52" s="22"/>
      <c r="O52" s="12"/>
      <c r="P52" s="38"/>
    </row>
    <row r="53">
      <c r="A53" s="37"/>
      <c r="B53" s="37"/>
      <c r="C53" s="37"/>
      <c r="D53" s="37"/>
      <c r="E53" s="37"/>
      <c r="F53" s="12" t="s">
        <v>2171</v>
      </c>
      <c r="G53" s="56"/>
      <c r="H53" s="73" t="s">
        <v>2172</v>
      </c>
      <c r="I53" s="12" t="s">
        <v>2101</v>
      </c>
      <c r="J53" s="12" t="s">
        <v>2173</v>
      </c>
      <c r="K53" s="13" t="str">
        <f>IFERROR(__xludf.DUMMYFUNCTION("IF(ISBLANK(J53), ""Input test step"", ARRAYFORMULA(TEXTJOIN(CHAR(10), TRUE, (""Step ""&amp; ROW(INDIRECT(""1:"" &amp; COUNTA(SPLIT(J53, CHAR(10))))) &amp; "": "" &amp; TRANSPOSE(SPLIT(J53, CHAR(10)))))))"),"Step 1: ""Đăng nhập vào tài khoản
Step 2: Chọn tab cá nhân
Step 3: Chọn mục yêu thích
Step 4: Nhấn vào xem chi tiết sản phẩm
Step 5: Nhấn vào nút chia sẻ --&gt; hiển thị màn hình chia sẻ 
Step 6: Kiểm tra nút "" Zalo  "" ")</f>
        <v>Step 1: "Đăng nhập vào tài khoản
Step 2: Chọn tab cá nhân
Step 3: Chọn mục yêu thích
Step 4: Nhấn vào xem chi tiết sản phẩm
Step 5: Nhấn vào nút chia sẻ --&gt; hiển thị màn hình chia sẻ 
Step 6: Kiểm tra nút " Zalo  " </v>
      </c>
      <c r="L53" s="14"/>
      <c r="M53" s="22" t="s">
        <v>2174</v>
      </c>
      <c r="N53" s="22"/>
      <c r="O53" s="12"/>
      <c r="P53" s="38"/>
    </row>
    <row r="54">
      <c r="A54" s="37"/>
      <c r="B54" s="37"/>
      <c r="C54" s="37"/>
      <c r="D54" s="37"/>
      <c r="E54" s="37"/>
      <c r="F54" s="12" t="s">
        <v>2175</v>
      </c>
      <c r="G54" s="56"/>
      <c r="H54" s="73" t="s">
        <v>2176</v>
      </c>
      <c r="I54" s="12" t="s">
        <v>2101</v>
      </c>
      <c r="J54" s="12" t="s">
        <v>2177</v>
      </c>
      <c r="K54" s="13" t="str">
        <f>IFERROR(__xludf.DUMMYFUNCTION("IF(ISBLANK(J54), ""Input test step"", ARRAYFORMULA(TEXTJOIN(CHAR(10), TRUE, (""Step ""&amp; ROW(INDIRECT(""1:"" &amp; COUNTA(SPLIT(J54, CHAR(10))))) &amp; "": "" &amp; TRANSPOSE(SPLIT(J54, CHAR(10)))))))"),"Step 1: ""Đăng nhập vào tài khoản
Step 2: Chọn tab cá nhân
Step 3: Chọn mục yêu thích
Step 4: Nhấn vào xem chi tiết sản phẩm
Step 5: Nhấn vào nút chia sẻ --&gt; hiển thị màn hình chia sẻ 
Step 6: Kiểm tra nút "" Instagram  "" ")</f>
        <v>Step 1: "Đăng nhập vào tài khoản
Step 2: Chọn tab cá nhân
Step 3: Chọn mục yêu thích
Step 4: Nhấn vào xem chi tiết sản phẩm
Step 5: Nhấn vào nút chia sẻ --&gt; hiển thị màn hình chia sẻ 
Step 6: Kiểm tra nút " Instagram  " </v>
      </c>
      <c r="L54" s="14"/>
      <c r="M54" s="22" t="s">
        <v>2178</v>
      </c>
      <c r="N54" s="22"/>
      <c r="O54" s="12"/>
      <c r="P54" s="38"/>
    </row>
    <row r="55">
      <c r="A55" s="37"/>
      <c r="B55" s="37"/>
      <c r="C55" s="37"/>
      <c r="D55" s="37"/>
      <c r="E55" s="37"/>
      <c r="F55" s="12" t="s">
        <v>2179</v>
      </c>
      <c r="G55" s="56"/>
      <c r="H55" s="73" t="s">
        <v>2180</v>
      </c>
      <c r="I55" s="12" t="s">
        <v>2101</v>
      </c>
      <c r="J55" s="12" t="s">
        <v>2181</v>
      </c>
      <c r="K55" s="13" t="str">
        <f>IFERROR(__xludf.DUMMYFUNCTION("IF(ISBLANK(J55), ""Input test step"", ARRAYFORMULA(TEXTJOIN(CHAR(10), TRUE, (""Step ""&amp; ROW(INDIRECT(""1:"" &amp; COUNTA(SPLIT(J55, CHAR(10))))) &amp; "": "" &amp; TRANSPOSE(SPLIT(J55, CHAR(10)))))))"),"Step 1: ""Đăng nhập vào tài khoản
Step 2: Chọn tab cá nhân
Step 3: Chọn mục yêu thích
Step 4: Nhấn vào xem chi tiết sản phẩm
Step 5: Mở phần chi tiết sản phẩm phía dưới (  màu sắc, kích thước, cỡ kích )")</f>
        <v>Step 1: "Đăng nhập vào tài khoản
Step 2: Chọn tab cá nhân
Step 3: Chọn mục yêu thích
Step 4: Nhấn vào xem chi tiết sản phẩm
Step 5: Mở phần chi tiết sản phẩm phía dưới (  màu sắc, kích thước, cỡ kích )</v>
      </c>
      <c r="L55" s="14"/>
      <c r="M55" s="22" t="s">
        <v>2182</v>
      </c>
      <c r="N55" s="22"/>
      <c r="O55" s="12"/>
      <c r="P55" s="38"/>
    </row>
    <row r="56">
      <c r="A56" s="37"/>
      <c r="B56" s="37"/>
      <c r="C56" s="37"/>
      <c r="D56" s="37"/>
      <c r="E56" s="37"/>
      <c r="F56" s="12" t="s">
        <v>2183</v>
      </c>
      <c r="G56" s="56"/>
      <c r="H56" s="73" t="s">
        <v>2184</v>
      </c>
      <c r="I56" s="12" t="s">
        <v>2101</v>
      </c>
      <c r="J56" s="12" t="s">
        <v>2185</v>
      </c>
      <c r="K56" s="13" t="str">
        <f>IFERROR(__xludf.DUMMYFUNCTION("IF(ISBLANK(J56), ""Input test step"", ARRAYFORMULA(TEXTJOIN(CHAR(10), TRUE, (""Step ""&amp; ROW(INDIRECT(""1:"" &amp; COUNTA(SPLIT(J56, CHAR(10))))) &amp; "": "" &amp; TRANSPOSE(SPLIT(J56, CHAR(10)))))))"),"Step 1: ""Đăng nhập vào tài khoản
Step 2: Chọn tab cá nhân
Step 3: Chọn mục yêu thích
Step 4: Nhấn vào xem chi tiết sản phẩm
Step 5: Nhấn vào "" xem thêm "" trong phần mô tả sản phẩm ( màu sắc, kích thước )")</f>
        <v>Step 1: "Đăng nhập vào tài khoản
Step 2: Chọn tab cá nhân
Step 3: Chọn mục yêu thích
Step 4: Nhấn vào xem chi tiết sản phẩm
Step 5: Nhấn vào " xem thêm " trong phần mô tả sản phẩm ( màu sắc, kích thước )</v>
      </c>
      <c r="L56" s="14"/>
      <c r="M56" s="52" t="s">
        <v>2186</v>
      </c>
      <c r="N56" s="12"/>
      <c r="O56" s="12"/>
      <c r="P56" s="38"/>
    </row>
    <row r="57">
      <c r="A57" s="37"/>
      <c r="B57" s="37"/>
      <c r="C57" s="37"/>
      <c r="D57" s="37"/>
      <c r="E57" s="37"/>
      <c r="F57" s="12" t="s">
        <v>2187</v>
      </c>
      <c r="G57" s="57"/>
      <c r="H57" s="83" t="s">
        <v>2188</v>
      </c>
      <c r="I57" s="12" t="s">
        <v>2101</v>
      </c>
      <c r="J57" s="12" t="s">
        <v>2189</v>
      </c>
      <c r="K57" s="13" t="str">
        <f>IFERROR(__xludf.DUMMYFUNCTION("IF(ISBLANK(J57), ""Input test step"", ARRAYFORMULA(TEXTJOIN(CHAR(10), TRUE, (""Step ""&amp; ROW(INDIRECT(""1:"" &amp; COUNTA(SPLIT(J57, CHAR(10))))) &amp; "": "" &amp; TRANSPOSE(SPLIT(J57, CHAR(10)))))))"),"Step 1: ""Đăng nhập vào tài khoản
Step 2: Chọn tab cá nhân
Step 3: Chọn mục yêu thích
Step 4: Nhấn vào xem chi tiết sản phẩm
Step 5: Nhấn vào  nút quay lại ở góc trái của màn hình")</f>
        <v>Step 1: "Đăng nhập vào tài khoản
Step 2: Chọn tab cá nhân
Step 3: Chọn mục yêu thích
Step 4: Nhấn vào xem chi tiết sản phẩm
Step 5: Nhấn vào  nút quay lại ở góc trái của màn hình</v>
      </c>
      <c r="L57" s="14"/>
      <c r="M57" s="73" t="s">
        <v>2190</v>
      </c>
      <c r="N57" s="73" t="s">
        <v>2190</v>
      </c>
      <c r="O57" s="12" t="s">
        <v>1</v>
      </c>
      <c r="P57" s="38"/>
    </row>
    <row r="58">
      <c r="A58" s="37"/>
      <c r="B58" s="37"/>
      <c r="C58" s="37"/>
      <c r="D58" s="37"/>
      <c r="E58" s="37"/>
      <c r="F58" s="12" t="s">
        <v>2191</v>
      </c>
      <c r="G58" s="55" t="s">
        <v>1257</v>
      </c>
      <c r="H58" s="12" t="s">
        <v>2192</v>
      </c>
      <c r="I58" s="12" t="s">
        <v>2193</v>
      </c>
      <c r="J58" s="12" t="s">
        <v>2194</v>
      </c>
      <c r="K58" s="13" t="str">
        <f>IFERROR(__xludf.DUMMYFUNCTION("IF(ISBLANK(J58), ""Input test step"", ARRAYFORMULA(TEXTJOIN(CHAR(10), TRUE, (""Step ""&amp; ROW(INDIRECT(""1:"" &amp; COUNTA(SPLIT(J58, CHAR(10))))) &amp; "": "" &amp; TRANSPOSE(SPLIT(J58, CHAR(10)))))))"),"Step 1: Điều hướng đến trang chi tiết sản phẩm
Step 2: Cuộn xuống phía dưới trang
Step 3: Kiểm tra và xác nhận hiển thị trang voucher khi người dùng nhấn vào link text ""Xem tất cả""")</f>
        <v>Step 1: Điều hướng đến trang chi tiết sản phẩm
Step 2: Cuộn xuống phía dưới trang
Step 3: Kiểm tra và xác nhận hiển thị trang voucher khi người dùng nhấn vào link text "Xem tất cả"</v>
      </c>
      <c r="L58" s="14"/>
      <c r="M58" s="12" t="s">
        <v>2195</v>
      </c>
      <c r="N58" s="22"/>
      <c r="O58" s="12"/>
      <c r="P58" s="38"/>
    </row>
    <row r="59">
      <c r="A59" s="37"/>
      <c r="B59" s="37"/>
      <c r="C59" s="37"/>
      <c r="D59" s="37"/>
      <c r="E59" s="37"/>
      <c r="F59" s="12" t="s">
        <v>2196</v>
      </c>
      <c r="G59" s="56"/>
      <c r="H59" s="12" t="s">
        <v>2197</v>
      </c>
      <c r="I59" s="12" t="s">
        <v>2193</v>
      </c>
      <c r="J59" s="12" t="s">
        <v>2198</v>
      </c>
      <c r="K59" s="13" t="str">
        <f>IFERROR(__xludf.DUMMYFUNCTION("IF(ISBLANK(J59), ""Input test step"", ARRAYFORMULA(TEXTJOIN(CHAR(10), TRUE, (""Step ""&amp; ROW(INDIRECT(""1:"" &amp; COUNTA(SPLIT(J59, CHAR(10))))) &amp; "": "" &amp; TRANSPOSE(SPLIT(J59, CHAR(10)))))))"),"Step 1: Điều hướng đến trang chi tiết sản phẩm
Step 2: Chọn vào 1 voucher 
Step 3: Kiểm tra và xác nhận người dùng sẽ không thực hiện được hành động khi nhấn vào 1 voucher khi không đủ điều kiện để áp dụng voucher")</f>
        <v>Step 1: Điều hướng đến trang chi tiết sản phẩm
Step 2: Chọn vào 1 voucher 
Step 3: Kiểm tra và xác nhận người dùng sẽ không thực hiện được hành động khi nhấn vào 1 voucher khi không đủ điều kiện để áp dụng voucher</v>
      </c>
      <c r="L59" s="14"/>
      <c r="M59" s="12" t="s">
        <v>2199</v>
      </c>
      <c r="N59" s="12"/>
      <c r="O59" s="12"/>
      <c r="P59" s="38"/>
    </row>
    <row r="60">
      <c r="A60" s="37"/>
      <c r="B60" s="37"/>
      <c r="C60" s="37"/>
      <c r="D60" s="37"/>
      <c r="E60" s="37"/>
      <c r="F60" s="12" t="s">
        <v>2200</v>
      </c>
      <c r="G60" s="56"/>
      <c r="H60" s="12" t="s">
        <v>2201</v>
      </c>
      <c r="I60" s="12" t="s">
        <v>2193</v>
      </c>
      <c r="J60" s="12" t="s">
        <v>2202</v>
      </c>
      <c r="K60" s="13" t="str">
        <f>IFERROR(__xludf.DUMMYFUNCTION("IF(ISBLANK(J60), ""Input test step"", ARRAYFORMULA(TEXTJOIN(CHAR(10), TRUE, (""Step ""&amp; ROW(INDIRECT(""1:"" &amp; COUNTA(SPLIT(J60, CHAR(10))))) &amp; "": "" &amp; TRANSPOSE(SPLIT(J60, CHAR(10)))))))"),"Step 1: Điều hướng đến trang chi tiết sản phẩm
Step 2: Chọn vào 1 voucher
Step 3: Kiểm tra và xác nhận hiển thị đúng thông tin chi tiết voucher khi nhấn vào 1 voucher trong danh sách")</f>
        <v>Step 1: Điều hướng đến trang chi tiết sản phẩm
Step 2: Chọn vào 1 voucher
Step 3: Kiểm tra và xác nhận hiển thị đúng thông tin chi tiết voucher khi nhấn vào 1 voucher trong danh sách</v>
      </c>
      <c r="L60" s="14"/>
      <c r="M60" s="12" t="s">
        <v>2203</v>
      </c>
      <c r="N60" s="12"/>
      <c r="O60" s="12"/>
      <c r="P60" s="38"/>
    </row>
    <row r="61">
      <c r="A61" s="37"/>
      <c r="B61" s="37"/>
      <c r="C61" s="37"/>
      <c r="D61" s="37"/>
      <c r="E61" s="37"/>
      <c r="F61" s="12" t="s">
        <v>2204</v>
      </c>
      <c r="G61" s="56"/>
      <c r="H61" s="12" t="s">
        <v>1270</v>
      </c>
      <c r="I61" s="12" t="s">
        <v>2193</v>
      </c>
      <c r="J61" s="12" t="s">
        <v>2205</v>
      </c>
      <c r="K61" s="13" t="str">
        <f>IFERROR(__xludf.DUMMYFUNCTION("IF(ISBLANK(J61), ""Input test step"", ARRAYFORMULA(TEXTJOIN(CHAR(10), TRUE, (""Step ""&amp; ROW(INDIRECT(""1:"" &amp; COUNTA(SPLIT(J61, CHAR(10))))) &amp; "": "" &amp; TRANSPOSE(SPLIT(J61, CHAR(10)))))))"),"Step 1: Điều hướng đến trang chi tiết sản phẩm
Step 2: Chọn vào 1 voucher
Step 3: Kiểm tra và xác nhận hiển thị thông báo ""Áp dụng thành công"" và hiển thị tích xanh trên voucher được chọn khi người dùng áp dụng 1 voucher thành công")</f>
        <v>Step 1: Điều hướng đến trang chi tiết sản phẩm
Step 2: Chọn vào 1 voucher
Step 3: Kiểm tra và xác nhận hiển thị thông báo "Áp dụng thành công" và hiển thị tích xanh trên voucher được chọn khi người dùng áp dụng 1 voucher thành công</v>
      </c>
      <c r="L61" s="14"/>
      <c r="M61" s="12" t="s">
        <v>2206</v>
      </c>
      <c r="N61" s="22"/>
      <c r="O61" s="12"/>
      <c r="P61" s="38"/>
    </row>
    <row r="62">
      <c r="A62" s="37"/>
      <c r="B62" s="37"/>
      <c r="C62" s="37"/>
      <c r="D62" s="37"/>
      <c r="E62" s="37"/>
      <c r="F62" s="12" t="s">
        <v>2207</v>
      </c>
      <c r="G62" s="56"/>
      <c r="H62" s="51" t="s">
        <v>2208</v>
      </c>
      <c r="I62" s="51" t="s">
        <v>2193</v>
      </c>
      <c r="J62" s="12" t="s">
        <v>2209</v>
      </c>
      <c r="K62" s="13" t="str">
        <f>IFERROR(__xludf.DUMMYFUNCTION("IF(ISBLANK(J62), ""Input test step"", ARRAYFORMULA(TEXTJOIN(CHAR(10), TRUE, (""Step ""&amp; ROW(INDIRECT(""1:"" &amp; COUNTA(SPLIT(J62, CHAR(10))))) &amp; "": "" &amp; TRANSPOSE(SPLIT(J62, CHAR(10)))))))"),"Step 1: Điều hướng đến trang chi tiết sản phẩm
Step 2: Chọn vào nhiều voucher 
Step 3: Kiểm tra và xác nhận người dùng không thể thực hiệnh hành động chọn 1 voucher tiếp theo khi đã chọn 1 voucher khác, người dùng chỉ có thể chọn 1 trong những voucher mà "&amp;"đơn hàng đủ điều kiện để áp dụng")</f>
        <v>Step 1: Điều hướng đến trang chi tiết sản phẩm
Step 2: Chọn vào nhiều voucher 
Step 3: Kiểm tra và xác nhận người dùng không thể thực hiệnh hành động chọn 1 voucher tiếp theo khi đã chọn 1 voucher khác, người dùng chỉ có thể chọn 1 trong những voucher mà đơn hàng đủ điều kiện để áp dụng</v>
      </c>
      <c r="L62" s="14"/>
      <c r="M62" s="12" t="s">
        <v>2210</v>
      </c>
      <c r="N62" s="12"/>
      <c r="O62" s="12"/>
      <c r="P62" s="38"/>
    </row>
    <row r="63">
      <c r="A63" s="37"/>
      <c r="B63" s="37"/>
      <c r="C63" s="37"/>
      <c r="D63" s="37"/>
      <c r="E63" s="37"/>
      <c r="F63" s="12" t="s">
        <v>2211</v>
      </c>
      <c r="G63" s="57"/>
      <c r="H63" s="12" t="s">
        <v>2212</v>
      </c>
      <c r="I63" s="12" t="s">
        <v>2193</v>
      </c>
      <c r="J63" s="12" t="s">
        <v>2213</v>
      </c>
      <c r="K63" s="13" t="str">
        <f>IFERROR(__xludf.DUMMYFUNCTION("IF(ISBLANK(J63), ""Input test step"", ARRAYFORMULA(TEXTJOIN(CHAR(10), TRUE, (""Step ""&amp; ROW(INDIRECT(""1:"" &amp; COUNTA(SPLIT(J63, CHAR(10))))) &amp; "": "" &amp; TRANSPOSE(SPLIT(J63, CHAR(10)))))))"),"Step 1: Điều hướng đến trang chi tiết sản phẩm
Step 2: Kiểm tra và xác nhận danh sách voucher hiển thị không bị trùng")</f>
        <v>Step 1: Điều hướng đến trang chi tiết sản phẩm
Step 2: Kiểm tra và xác nhận danh sách voucher hiển thị không bị trùng</v>
      </c>
      <c r="L63" s="14"/>
      <c r="M63" s="12" t="s">
        <v>2214</v>
      </c>
      <c r="N63" s="12"/>
      <c r="O63" s="12"/>
      <c r="P63" s="38"/>
    </row>
    <row r="64">
      <c r="A64" s="37"/>
      <c r="B64" s="37"/>
      <c r="C64" s="37"/>
      <c r="D64" s="37"/>
      <c r="E64" s="37"/>
      <c r="F64" s="12" t="s">
        <v>2215</v>
      </c>
      <c r="G64" s="55" t="s">
        <v>837</v>
      </c>
      <c r="H64" s="12" t="s">
        <v>2216</v>
      </c>
      <c r="I64" s="12" t="s">
        <v>2193</v>
      </c>
      <c r="J64" s="12" t="s">
        <v>2217</v>
      </c>
      <c r="K64" s="13" t="str">
        <f>IFERROR(__xludf.DUMMYFUNCTION("IF(ISBLANK(J64), ""Input test step"", ARRAYFORMULA(TEXTJOIN(CHAR(10), TRUE, (""Step ""&amp; ROW(INDIRECT(""1:"" &amp; COUNTA(SPLIT(J64, CHAR(10))))) &amp; "": "" &amp; TRANSPOSE(SPLIT(J64, CHAR(10)))))))"),"Step 1: Điều hướng đến trang chi tiết sản phẩm
Step 2: Cuộn xuống phía dưới trang
Step 3: Kiểm tra và xác nhận hiển thị trang sản phẩm liên quan khi nhấn vào link text ""Xem tất cả""")</f>
        <v>Step 1: Điều hướng đến trang chi tiết sản phẩm
Step 2: Cuộn xuống phía dưới trang
Step 3: Kiểm tra và xác nhận hiển thị trang sản phẩm liên quan khi nhấn vào link text "Xem tất cả"</v>
      </c>
      <c r="L64" s="14"/>
      <c r="M64" s="12" t="s">
        <v>2218</v>
      </c>
      <c r="N64" s="22"/>
      <c r="O64" s="12"/>
      <c r="P64" s="38"/>
    </row>
    <row r="65">
      <c r="A65" s="37"/>
      <c r="B65" s="37"/>
      <c r="C65" s="37"/>
      <c r="D65" s="37"/>
      <c r="E65" s="37"/>
      <c r="F65" s="12" t="s">
        <v>2219</v>
      </c>
      <c r="G65" s="56"/>
      <c r="H65" s="12" t="s">
        <v>2220</v>
      </c>
      <c r="I65" s="12" t="s">
        <v>2193</v>
      </c>
      <c r="J65" s="12" t="s">
        <v>2221</v>
      </c>
      <c r="K65" s="13" t="str">
        <f>IFERROR(__xludf.DUMMYFUNCTION("IF(ISBLANK(J65), ""Input test step"", ARRAYFORMULA(TEXTJOIN(CHAR(10), TRUE, (""Step ""&amp; ROW(INDIRECT(""1:"" &amp; COUNTA(SPLIT(J65, CHAR(10))))) &amp; "": "" &amp; TRANSPOSE(SPLIT(J65, CHAR(10)))))))"),"Step 1: Điều hướng đến trang chi tiết sản phẩm
Step 2: Cuộn xuống phía dưới trang
Step 3: Kiểm tra và xác nhận sản phẩm trong danh sách sản phẩm liên quan không bị trùng")</f>
        <v>Step 1: Điều hướng đến trang chi tiết sản phẩm
Step 2: Cuộn xuống phía dưới trang
Step 3: Kiểm tra và xác nhận sản phẩm trong danh sách sản phẩm liên quan không bị trùng</v>
      </c>
      <c r="L65" s="14"/>
      <c r="M65" s="12" t="s">
        <v>2222</v>
      </c>
      <c r="N65" s="12"/>
      <c r="O65" s="12"/>
      <c r="P65" s="38"/>
    </row>
    <row r="66">
      <c r="A66" s="37"/>
      <c r="B66" s="37"/>
      <c r="C66" s="37"/>
      <c r="D66" s="37"/>
      <c r="E66" s="37"/>
      <c r="F66" s="12" t="s">
        <v>2223</v>
      </c>
      <c r="G66" s="56"/>
      <c r="H66" s="12" t="s">
        <v>2224</v>
      </c>
      <c r="I66" s="12" t="s">
        <v>2193</v>
      </c>
      <c r="J66" s="12" t="s">
        <v>2225</v>
      </c>
      <c r="K66" s="13" t="str">
        <f>IFERROR(__xludf.DUMMYFUNCTION("IF(ISBLANK(J66), ""Input test step"", ARRAYFORMULA(TEXTJOIN(CHAR(10), TRUE, (""Step ""&amp; ROW(INDIRECT(""1:"" &amp; COUNTA(SPLIT(J66, CHAR(10))))) &amp; "": "" &amp; TRANSPOSE(SPLIT(J66, CHAR(10)))))))"),"Step 1: Điều hướng đến trang chi tiết sản phẩm
Step 2: Cuộn xuống phía dưới trang
Step 3: Kiểm tra và xác nhận hiển thị danh sách dữ liệu sản phẩm liên quan đúng với sản phẩm")</f>
        <v>Step 1: Điều hướng đến trang chi tiết sản phẩm
Step 2: Cuộn xuống phía dưới trang
Step 3: Kiểm tra và xác nhận hiển thị danh sách dữ liệu sản phẩm liên quan đúng với sản phẩm</v>
      </c>
      <c r="L66" s="14"/>
      <c r="M66" s="12" t="s">
        <v>2226</v>
      </c>
      <c r="N66" s="12"/>
      <c r="O66" s="12"/>
      <c r="P66" s="38"/>
    </row>
    <row r="67">
      <c r="A67" s="37"/>
      <c r="B67" s="37"/>
      <c r="C67" s="37"/>
      <c r="D67" s="37"/>
      <c r="E67" s="37"/>
      <c r="F67" s="12" t="s">
        <v>2227</v>
      </c>
      <c r="G67" s="56"/>
      <c r="H67" s="12" t="s">
        <v>2228</v>
      </c>
      <c r="I67" s="12" t="s">
        <v>2193</v>
      </c>
      <c r="J67" s="12" t="s">
        <v>2229</v>
      </c>
      <c r="K67" s="13" t="str">
        <f>IFERROR(__xludf.DUMMYFUNCTION("IF(ISBLANK(J67), ""Input test step"", ARRAYFORMULA(TEXTJOIN(CHAR(10), TRUE, (""Step ""&amp; ROW(INDIRECT(""1:"" &amp; COUNTA(SPLIT(J67, CHAR(10))))) &amp; "": "" &amp; TRANSPOSE(SPLIT(J67, CHAR(10)))))))"),"Step 1: Điều hướng đến trang chi tiết sản phẩm
Step 2: Click vào icon yêu thích trong 1 sản phẩm
Step 3: Kiểm tra màu sắc của icon yêu thích chuyển sang màu đỏ
Step 4: Trở lại trang chủ
Step 5: Nhấn vào button ""Cá nhân"" 
Step 6: Hệ thống chuyển đến tran"&amp;"g ""Thông tin cá nhân""
Step 7: Click vào mục ""Yêu thích""
Step 8: Hệ thống điều hướng đến trang ""Yêu thích""
Step 9: Kiểm tra và xác nhận sản phẩm đã tồn tại trong danh sách yêu thích và được hiển thị đúng thông tin")</f>
        <v>Step 1: Điều hướng đến trang chi tiết sản phẩm
Step 2: Click vào icon yêu thích trong 1 sản phẩm
Step 3: Kiểm tra màu sắc của icon yêu thích chuyển sang màu đỏ
Step 4: Trở lại trang chủ
Step 5: Nhấn vào button "Cá nhân" 
Step 6: Hệ thống chuyển đến trang "Thông tin cá nhân"
Step 7: Click vào mục "Yêu thích"
Step 8: Hệ thống điều hướng đến trang "Yêu thích"
Step 9: Kiểm tra và xác nhận sản phẩm đã tồn tại trong danh sách yêu thích và được hiển thị đúng thông tin</v>
      </c>
      <c r="L67" s="14"/>
      <c r="M67" s="12" t="s">
        <v>2230</v>
      </c>
      <c r="N67" s="22"/>
      <c r="O67" s="12"/>
      <c r="P67" s="38"/>
    </row>
    <row r="68">
      <c r="A68" s="37"/>
      <c r="B68" s="37"/>
      <c r="C68" s="37"/>
      <c r="D68" s="37"/>
      <c r="E68" s="37"/>
      <c r="F68" s="12" t="s">
        <v>2231</v>
      </c>
      <c r="G68" s="57"/>
      <c r="H68" s="12" t="s">
        <v>2232</v>
      </c>
      <c r="I68" s="12" t="s">
        <v>2193</v>
      </c>
      <c r="J68" s="12" t="s">
        <v>2233</v>
      </c>
      <c r="K68" s="13" t="str">
        <f>IFERROR(__xludf.DUMMYFUNCTION("IF(ISBLANK(J68), ""Input test step"", ARRAYFORMULA(TEXTJOIN(CHAR(10), TRUE, (""Step ""&amp; ROW(INDIRECT(""1:"" &amp; COUNTA(SPLIT(J68, CHAR(10))))) &amp; "": "" &amp; TRANSPOSE(SPLIT(J68, CHAR(10)))))))"),"Step 1: Điều hướng đến trang chi tiết sản phẩm
Step 2: Click vào icon cart trong vùng hiển thị 1 sản phẩm
Step 3: Kiểm ra và xác nhận hiển thị thông báo ""Thêm thành công"" 
Step 4: Nhấn vào button chứa icon giỏ hàng dưới thanh menu 
Step 5: Kiểm tra và x"&amp;"ác nhận sản phẩm đã tồn tại trong danh sách giỏ hàng và được hiển thị đúng thông tin")</f>
        <v>Step 1: Điều hướng đến trang chi tiết sản phẩm
Step 2: Click vào icon cart trong vùng hiển thị 1 sản phẩm
Step 3: Kiểm ra và xác nhận hiển thị thông báo "Thêm thành công" 
Step 4: Nhấn vào button chứa icon giỏ hàng dưới thanh menu 
Step 5: Kiểm tra và xác nhận sản phẩm đã tồn tại trong danh sách giỏ hàng và được hiển thị đúng thông tin</v>
      </c>
      <c r="L68" s="14"/>
      <c r="M68" s="12" t="s">
        <v>2234</v>
      </c>
      <c r="N68" s="12"/>
      <c r="O68" s="12"/>
      <c r="P68" s="38"/>
    </row>
    <row r="69">
      <c r="A69" s="37"/>
      <c r="B69" s="37"/>
      <c r="C69" s="37"/>
      <c r="D69" s="37"/>
      <c r="E69" s="37"/>
      <c r="F69" s="12" t="s">
        <v>2235</v>
      </c>
      <c r="G69" s="55" t="s">
        <v>1298</v>
      </c>
      <c r="H69" s="12" t="s">
        <v>2236</v>
      </c>
      <c r="I69" s="12" t="s">
        <v>2193</v>
      </c>
      <c r="J69" s="12" t="s">
        <v>2237</v>
      </c>
      <c r="K69" s="13" t="str">
        <f>IFERROR(__xludf.DUMMYFUNCTION("IF(ISBLANK(J69), ""Input test step"", ARRAYFORMULA(TEXTJOIN(CHAR(10), TRUE, (""Step ""&amp; ROW(INDIRECT(""1:"" &amp; COUNTA(SPLIT(J69, CHAR(10))))) &amp; "": "" &amp; TRANSPOSE(SPLIT(J69, CHAR(10)))))))"),"Step 1: Điều hướng đến trang chi tiết sản phẩm
Step 2: Cuộn xuống phía dưới trang
Step 3: Nhấn vào button cart ""Thêm giỏ hàng""
Step 4: Kiểm tra và xác nhận hệ thống chuyển sang trang ""Giỏ hàng"" ")</f>
        <v>Step 1: Điều hướng đến trang chi tiết sản phẩm
Step 2: Cuộn xuống phía dưới trang
Step 3: Nhấn vào button cart "Thêm giỏ hàng"
Step 4: Kiểm tra và xác nhận hệ thống chuyển sang trang "Giỏ hàng" </v>
      </c>
      <c r="L69" s="14"/>
      <c r="M69" s="12" t="s">
        <v>2238</v>
      </c>
      <c r="N69" s="12"/>
      <c r="O69" s="12"/>
      <c r="P69" s="38"/>
    </row>
    <row r="70">
      <c r="A70" s="37"/>
      <c r="B70" s="37"/>
      <c r="C70" s="37"/>
      <c r="D70" s="37"/>
      <c r="E70" s="37"/>
      <c r="F70" s="12" t="s">
        <v>2239</v>
      </c>
      <c r="G70" s="57"/>
      <c r="H70" s="12" t="s">
        <v>2240</v>
      </c>
      <c r="I70" s="12" t="s">
        <v>2193</v>
      </c>
      <c r="J70" s="12" t="s">
        <v>2241</v>
      </c>
      <c r="K70" s="13" t="str">
        <f>IFERROR(__xludf.DUMMYFUNCTION("IF(ISBLANK(J70), ""Input test step"", ARRAYFORMULA(TEXTJOIN(CHAR(10), TRUE, (""Step ""&amp; ROW(INDIRECT(""1:"" &amp; COUNTA(SPLIT(J70, CHAR(10))))) &amp; "": "" &amp; TRANSPOSE(SPLIT(J70, CHAR(10)))))))"),"Step 1: Điều hướng đến trang chi tiết sản phẩm
Step 2: Cuộn xuống phía dưới trang
Step 3: Nhấn vào button cart ""Thêm giỏ hàng""
Step 4: Kiểm tra và xác nhận hiển thị đúng thông tin dữ liệu trên trang Giỏ hàng")</f>
        <v>Step 1: Điều hướng đến trang chi tiết sản phẩm
Step 2: Cuộn xuống phía dưới trang
Step 3: Nhấn vào button cart "Thêm giỏ hàng"
Step 4: Kiểm tra và xác nhận hiển thị đúng thông tin dữ liệu trên trang Giỏ hàng</v>
      </c>
      <c r="L70" s="14"/>
      <c r="M70" s="12" t="s">
        <v>2242</v>
      </c>
      <c r="N70" s="22"/>
      <c r="O70" s="12"/>
      <c r="P70" s="38"/>
    </row>
    <row r="71">
      <c r="A71" s="37"/>
      <c r="B71" s="37"/>
      <c r="C71" s="37"/>
      <c r="D71" s="37"/>
      <c r="E71" s="37"/>
      <c r="F71" s="12" t="s">
        <v>2243</v>
      </c>
      <c r="G71" s="12" t="s">
        <v>1307</v>
      </c>
      <c r="H71" s="12" t="s">
        <v>2244</v>
      </c>
      <c r="I71" s="12" t="s">
        <v>2193</v>
      </c>
      <c r="J71" s="12" t="s">
        <v>2245</v>
      </c>
      <c r="K71" s="13" t="str">
        <f>IFERROR(__xludf.DUMMYFUNCTION("IF(ISBLANK(J71), ""Input test step"", ARRAYFORMULA(TEXTJOIN(CHAR(10), TRUE, (""Step ""&amp; ROW(INDIRECT(""1:"" &amp; COUNTA(SPLIT(J71, CHAR(10))))) &amp; "": "" &amp; TRANSPOSE(SPLIT(J71, CHAR(10)))))))"),"Step 1: Điều hướng đến trang chi tiết sản phẩm
Step 2: Cuộn xuống phía dưới trang
Step 3: Nhấn vào button cart ""Mua ngay""
Step 4: Kiểm tra và xác nhận hệ thống hiển thị hộp thoại thông báo chứa dữ liệu của sản phẩm")</f>
        <v>Step 1: Điều hướng đến trang chi tiết sản phẩm
Step 2: Cuộn xuống phía dưới trang
Step 3: Nhấn vào button cart "Mua ngay"
Step 4: Kiểm tra và xác nhận hệ thống hiển thị hộp thoại thông báo chứa dữ liệu của sản phẩm</v>
      </c>
      <c r="L71" s="14"/>
      <c r="M71" s="12" t="s">
        <v>2246</v>
      </c>
      <c r="N71" s="12"/>
      <c r="O71" s="12"/>
      <c r="P71" s="38"/>
    </row>
    <row r="72">
      <c r="A72" s="37"/>
      <c r="B72" s="37"/>
      <c r="C72" s="37"/>
      <c r="D72" s="37"/>
      <c r="E72" s="37"/>
      <c r="F72" s="12" t="s">
        <v>2247</v>
      </c>
      <c r="G72" s="55" t="s">
        <v>1312</v>
      </c>
      <c r="H72" s="12" t="s">
        <v>2248</v>
      </c>
      <c r="I72" s="12" t="s">
        <v>2193</v>
      </c>
      <c r="J72" s="12" t="s">
        <v>2249</v>
      </c>
      <c r="K72" s="13" t="str">
        <f>IFERROR(__xludf.DUMMYFUNCTION("IF(ISBLANK(J72), ""Input test step"", ARRAYFORMULA(TEXTJOIN(CHAR(10), TRUE, (""Step ""&amp; ROW(INDIRECT(""1:"" &amp; COUNTA(SPLIT(J72, CHAR(10))))) &amp; "": "" &amp; TRANSPOSE(SPLIT(J72, CHAR(10)))))))"),"Step 1: Điều hướng đến trang chi tiết sản phẩm
Step 2: Cuộn xuống phía dưới trang
Step 3: Nhấn vào button cart ""Mua ngay""
Step 4: Kiểm tra và xác nhận hình ảnh sản phẩm hiển thị tương ứng trước đó khi nhấn vào button ""Mua ngay""")</f>
        <v>Step 1: Điều hướng đến trang chi tiết sản phẩm
Step 2: Cuộn xuống phía dưới trang
Step 3: Nhấn vào button cart "Mua ngay"
Step 4: Kiểm tra và xác nhận hình ảnh sản phẩm hiển thị tương ứng trước đó khi nhấn vào button "Mua ngay"</v>
      </c>
      <c r="L72" s="14"/>
      <c r="M72" s="12" t="s">
        <v>2250</v>
      </c>
      <c r="N72" s="12"/>
      <c r="O72" s="12"/>
      <c r="P72" s="38"/>
    </row>
    <row r="73">
      <c r="A73" s="37"/>
      <c r="B73" s="37"/>
      <c r="C73" s="37"/>
      <c r="D73" s="37"/>
      <c r="E73" s="37"/>
      <c r="F73" s="12" t="s">
        <v>2251</v>
      </c>
      <c r="G73" s="56"/>
      <c r="H73" s="12" t="s">
        <v>2252</v>
      </c>
      <c r="I73" s="12" t="s">
        <v>2193</v>
      </c>
      <c r="J73" s="12" t="s">
        <v>2253</v>
      </c>
      <c r="K73" s="13" t="str">
        <f>IFERROR(__xludf.DUMMYFUNCTION("IF(ISBLANK(J73), ""Input test step"", ARRAYFORMULA(TEXTJOIN(CHAR(10), TRUE, (""Step ""&amp; ROW(INDIRECT(""1:"" &amp; COUNTA(SPLIT(J73, CHAR(10))))) &amp; "": "" &amp; TRANSPOSE(SPLIT(J73, CHAR(10)))))))"),"Step 1: Điều hướng đến trang chi tiết sản phẩm
Step 2: Cuộn xuống phía dưới trang
Step 3: Nhấn vào button cart ""Mua ngay""
Step 4: Kiểm tra và xác nhận thương hiệu sản phẩm hiển thị đúng và tương ứng khi nhấn vào button ""Mua ngay""")</f>
        <v>Step 1: Điều hướng đến trang chi tiết sản phẩm
Step 2: Cuộn xuống phía dưới trang
Step 3: Nhấn vào button cart "Mua ngay"
Step 4: Kiểm tra và xác nhận thương hiệu sản phẩm hiển thị đúng và tương ứng khi nhấn vào button "Mua ngay"</v>
      </c>
      <c r="L73" s="14"/>
      <c r="M73" s="12" t="s">
        <v>2254</v>
      </c>
      <c r="N73" s="22"/>
      <c r="O73" s="12"/>
      <c r="P73" s="38"/>
    </row>
    <row r="74">
      <c r="A74" s="37"/>
      <c r="B74" s="37"/>
      <c r="C74" s="37"/>
      <c r="D74" s="37"/>
      <c r="E74" s="37"/>
      <c r="F74" s="12" t="s">
        <v>2255</v>
      </c>
      <c r="G74" s="56"/>
      <c r="H74" s="12" t="s">
        <v>2256</v>
      </c>
      <c r="I74" s="12" t="s">
        <v>2193</v>
      </c>
      <c r="J74" s="12" t="s">
        <v>2257</v>
      </c>
      <c r="K74" s="13" t="str">
        <f>IFERROR(__xludf.DUMMYFUNCTION("IF(ISBLANK(J74), ""Input test step"", ARRAYFORMULA(TEXTJOIN(CHAR(10), TRUE, (""Step ""&amp; ROW(INDIRECT(""1:"" &amp; COUNTA(SPLIT(J74, CHAR(10))))) &amp; "": "" &amp; TRANSPOSE(SPLIT(J74, CHAR(10)))))))"),"Step 1: Điều hướng đến trang chi tiết sản phẩm
Step 2: Cuộn xuống phía dưới trang
Step 3: Nhấn vào button cart ""Mua ngay""
Step 4: Kiểm tra và xác nhận giá tiền sản phẩm hiển thị đúng và tương ứng khi nhấn vào button ""Mua ngay""")</f>
        <v>Step 1: Điều hướng đến trang chi tiết sản phẩm
Step 2: Cuộn xuống phía dưới trang
Step 3: Nhấn vào button cart "Mua ngay"
Step 4: Kiểm tra và xác nhận giá tiền sản phẩm hiển thị đúng và tương ứng khi nhấn vào button "Mua ngay"</v>
      </c>
      <c r="L74" s="14"/>
      <c r="M74" s="12" t="s">
        <v>2258</v>
      </c>
      <c r="N74" s="12"/>
      <c r="O74" s="12"/>
      <c r="P74" s="38"/>
    </row>
    <row r="75">
      <c r="A75" s="37"/>
      <c r="B75" s="37"/>
      <c r="C75" s="37"/>
      <c r="D75" s="37"/>
      <c r="E75" s="37"/>
      <c r="F75" s="12" t="s">
        <v>2259</v>
      </c>
      <c r="G75" s="56"/>
      <c r="H75" s="12" t="s">
        <v>2260</v>
      </c>
      <c r="I75" s="12" t="s">
        <v>2193</v>
      </c>
      <c r="J75" s="12" t="s">
        <v>2261</v>
      </c>
      <c r="K75" s="13" t="str">
        <f>IFERROR(__xludf.DUMMYFUNCTION("IF(ISBLANK(J75), ""Input test step"", ARRAYFORMULA(TEXTJOIN(CHAR(10), TRUE, (""Step ""&amp; ROW(INDIRECT(""1:"" &amp; COUNTA(SPLIT(J75, CHAR(10))))) &amp; "": "" &amp; TRANSPOSE(SPLIT(J75, CHAR(10)))))))"),"Step 1: Điều hướng đến trang chi tiết sản phẩm
Step 2: Cuộn xuống phía dưới trang
Step 3: Nhấn vào button cart ""Mua ngay""
Step 4: Kiểm tra và xác nhận giá tiền gốc sản phẩm hiển thị đúng và tương ứng khi nhấn vào button ""Mua ngay""")</f>
        <v>Step 1: Điều hướng đến trang chi tiết sản phẩm
Step 2: Cuộn xuống phía dưới trang
Step 3: Nhấn vào button cart "Mua ngay"
Step 4: Kiểm tra và xác nhận giá tiền gốc sản phẩm hiển thị đúng và tương ứng khi nhấn vào button "Mua ngay"</v>
      </c>
      <c r="L75" s="14"/>
      <c r="M75" s="12" t="s">
        <v>2262</v>
      </c>
      <c r="N75" s="12"/>
      <c r="O75" s="12"/>
      <c r="P75" s="38"/>
    </row>
    <row r="76">
      <c r="A76" s="37"/>
      <c r="B76" s="37"/>
      <c r="C76" s="37"/>
      <c r="D76" s="37"/>
      <c r="E76" s="37"/>
      <c r="F76" s="12" t="s">
        <v>2263</v>
      </c>
      <c r="G76" s="56"/>
      <c r="H76" s="12" t="s">
        <v>2264</v>
      </c>
      <c r="I76" s="12" t="s">
        <v>2193</v>
      </c>
      <c r="J76" s="12" t="s">
        <v>2265</v>
      </c>
      <c r="K76" s="13" t="str">
        <f>IFERROR(__xludf.DUMMYFUNCTION("IF(ISBLANK(J76), ""Input test step"", ARRAYFORMULA(TEXTJOIN(CHAR(10), TRUE, (""Step ""&amp; ROW(INDIRECT(""1:"" &amp; COUNTA(SPLIT(J76, CHAR(10))))) &amp; "": "" &amp; TRANSPOSE(SPLIT(J76, CHAR(10)))))))"),"Step 1: Điều hướng đến trang chi tiết sản phẩm
Step 2: Cuộn xuống phía dưới trang
Step 3: Nhấn vào button cart ""Mua ngay""
Step 4: Kiểm tra và xác nhận tên sản phẩm hiển thị đúng và tương ứng khi nhấn vào button ""Mua ngay""")</f>
        <v>Step 1: Điều hướng đến trang chi tiết sản phẩm
Step 2: Cuộn xuống phía dưới trang
Step 3: Nhấn vào button cart "Mua ngay"
Step 4: Kiểm tra và xác nhận tên sản phẩm hiển thị đúng và tương ứng khi nhấn vào button "Mua ngay"</v>
      </c>
      <c r="L76" s="14"/>
      <c r="M76" s="12" t="s">
        <v>2266</v>
      </c>
      <c r="N76" s="22"/>
      <c r="O76" s="12"/>
      <c r="P76" s="38"/>
    </row>
    <row r="77">
      <c r="A77" s="37"/>
      <c r="B77" s="37"/>
      <c r="C77" s="37"/>
      <c r="D77" s="37"/>
      <c r="E77" s="37"/>
      <c r="F77" s="12" t="s">
        <v>2267</v>
      </c>
      <c r="G77" s="56"/>
      <c r="H77" s="12" t="s">
        <v>2268</v>
      </c>
      <c r="I77" s="12" t="s">
        <v>2193</v>
      </c>
      <c r="J77" s="12" t="s">
        <v>2269</v>
      </c>
      <c r="K77" s="13" t="str">
        <f>IFERROR(__xludf.DUMMYFUNCTION("IF(ISBLANK(J77), ""Input test step"", ARRAYFORMULA(TEXTJOIN(CHAR(10), TRUE, (""Step ""&amp; ROW(INDIRECT(""1:"" &amp; COUNTA(SPLIT(J77, CHAR(10))))) &amp; "": "" &amp; TRANSPOSE(SPLIT(J77, CHAR(10)))))))"),"Step 1: Điều hướng đến trang chi tiết sản phẩm
Step 2: Cuộn xuống phía dưới trang
Step 3: Nhấn vào button cart ""Mua ngay""
Step 4: Kiểm tra và xác nhận số lượng sản phẩm mặc định hiển thị đúng và tương ứng trên hộp thoại khi nhấn vào button ""Mua ngay""")</f>
        <v>Step 1: Điều hướng đến trang chi tiết sản phẩm
Step 2: Cuộn xuống phía dưới trang
Step 3: Nhấn vào button cart "Mua ngay"
Step 4: Kiểm tra và xác nhận số lượng sản phẩm mặc định hiển thị đúng và tương ứng trên hộp thoại khi nhấn vào button "Mua ngay"</v>
      </c>
      <c r="L77" s="14"/>
      <c r="M77" s="12" t="s">
        <v>2270</v>
      </c>
      <c r="N77" s="12"/>
      <c r="O77" s="12"/>
      <c r="P77" s="38"/>
    </row>
    <row r="78">
      <c r="A78" s="37"/>
      <c r="B78" s="37"/>
      <c r="C78" s="37"/>
      <c r="D78" s="37"/>
      <c r="E78" s="37"/>
      <c r="F78" s="12" t="s">
        <v>2271</v>
      </c>
      <c r="G78" s="56"/>
      <c r="H78" s="72" t="s">
        <v>2272</v>
      </c>
      <c r="I78" s="12" t="s">
        <v>2193</v>
      </c>
      <c r="J78" s="12" t="s">
        <v>2273</v>
      </c>
      <c r="K78" s="13" t="str">
        <f>IFERROR(__xludf.DUMMYFUNCTION("IF(ISBLANK(J78), ""Input test step"", ARRAYFORMULA(TEXTJOIN(CHAR(10), TRUE, (""Step ""&amp; ROW(INDIRECT(""1:"" &amp; COUNTA(SPLIT(J78, CHAR(10))))) &amp; "": "" &amp; TRANSPOSE(SPLIT(J78, CHAR(10)))))))"),"Step 1: Điều hướng đến trang chi tiết sản phẩm
Step 2: Cuộn xuống phía dưới trang
Step 3: Nhấn vào button cart ""Mua ngay""
Step 4: Kiểm tra và xác nhận khi không áp dụng mã giảm giá thì chỉ hiển thị tổng số tiền")</f>
        <v>Step 1: Điều hướng đến trang chi tiết sản phẩm
Step 2: Cuộn xuống phía dưới trang
Step 3: Nhấn vào button cart "Mua ngay"
Step 4: Kiểm tra và xác nhận khi không áp dụng mã giảm giá thì chỉ hiển thị tổng số tiền</v>
      </c>
      <c r="L78" s="14"/>
      <c r="M78" s="12" t="s">
        <v>2274</v>
      </c>
      <c r="N78" s="22"/>
      <c r="O78" s="12"/>
      <c r="P78" s="38"/>
    </row>
    <row r="79">
      <c r="A79" s="37"/>
      <c r="B79" s="37"/>
      <c r="C79" s="37"/>
      <c r="D79" s="37"/>
      <c r="E79" s="37"/>
      <c r="F79" s="12" t="s">
        <v>2275</v>
      </c>
      <c r="G79" s="56"/>
      <c r="H79" s="72" t="s">
        <v>2276</v>
      </c>
      <c r="I79" s="12" t="s">
        <v>2193</v>
      </c>
      <c r="J79" s="12" t="s">
        <v>2277</v>
      </c>
      <c r="K79" s="13" t="str">
        <f>IFERROR(__xludf.DUMMYFUNCTION("IF(ISBLANK(J79), ""Input test step"", ARRAYFORMULA(TEXTJOIN(CHAR(10), TRUE, (""Step ""&amp; ROW(INDIRECT(""1:"" &amp; COUNTA(SPLIT(J79, CHAR(10))))) &amp; "": "" &amp; TRANSPOSE(SPLIT(J79, CHAR(10)))))))"),"Step 1: Điều hướng đến trang chi tiết sản phẩm
Step 2: Cuộn xuống phía dưới trang
Step 3: Nhấn vào button cart ""Mua ngay""
Step 4: Kiểm tra và xác nhận hiển thị số tiền giảm giá đúng khi áp dụng voucher")</f>
        <v>Step 1: Điều hướng đến trang chi tiết sản phẩm
Step 2: Cuộn xuống phía dưới trang
Step 3: Nhấn vào button cart "Mua ngay"
Step 4: Kiểm tra và xác nhận hiển thị số tiền giảm giá đúng khi áp dụng voucher</v>
      </c>
      <c r="L79" s="14"/>
      <c r="M79" s="12" t="s">
        <v>1339</v>
      </c>
      <c r="N79" s="12"/>
      <c r="O79" s="12"/>
      <c r="P79" s="38"/>
    </row>
    <row r="80">
      <c r="A80" s="37"/>
      <c r="B80" s="37"/>
      <c r="C80" s="37"/>
      <c r="D80" s="37"/>
      <c r="E80" s="37"/>
      <c r="F80" s="12" t="s">
        <v>2278</v>
      </c>
      <c r="G80" s="56"/>
      <c r="H80" s="51" t="s">
        <v>2279</v>
      </c>
      <c r="I80" s="12" t="s">
        <v>2193</v>
      </c>
      <c r="J80" s="12" t="s">
        <v>2280</v>
      </c>
      <c r="K80" s="13" t="str">
        <f>IFERROR(__xludf.DUMMYFUNCTION("IF(ISBLANK(J80), ""Input test step"", ARRAYFORMULA(TEXTJOIN(CHAR(10), TRUE, (""Step ""&amp; ROW(INDIRECT(""1:"" &amp; COUNTA(SPLIT(J80, CHAR(10))))) &amp; "": "" &amp; TRANSPOSE(SPLIT(J80, CHAR(10)))))))"),"Step 1: Điều hướng đến trang chi tiết sản phẩm
Step 2: Cuộn xuống phía dưới trang
Step 3: Nhấn vào button cart ""Mua ngay""
Step 4: Kiểm tra và xác nhận hiển thị tổng số tiền sản phẩm sau khi đã áp dụng voucher hiển thị đúng trên hộp thoại khi nhấn vào bu"&amp;"tton mua hàng ")</f>
        <v>Step 1: Điều hướng đến trang chi tiết sản phẩm
Step 2: Cuộn xuống phía dưới trang
Step 3: Nhấn vào button cart "Mua ngay"
Step 4: Kiểm tra và xác nhận hiển thị tổng số tiền sản phẩm sau khi đã áp dụng voucher hiển thị đúng trên hộp thoại khi nhấn vào button mua hàng </v>
      </c>
      <c r="L80" s="14"/>
      <c r="M80" s="12" t="s">
        <v>2281</v>
      </c>
      <c r="N80" s="12"/>
      <c r="O80" s="12"/>
      <c r="P80" s="38"/>
    </row>
    <row r="81">
      <c r="A81" s="37"/>
      <c r="B81" s="37"/>
      <c r="C81" s="37"/>
      <c r="D81" s="37"/>
      <c r="E81" s="37"/>
      <c r="F81" s="12" t="s">
        <v>2282</v>
      </c>
      <c r="G81" s="56"/>
      <c r="H81" s="12" t="s">
        <v>2283</v>
      </c>
      <c r="I81" s="12" t="s">
        <v>2193</v>
      </c>
      <c r="J81" s="12" t="s">
        <v>2284</v>
      </c>
      <c r="K81" s="13" t="str">
        <f>IFERROR(__xludf.DUMMYFUNCTION("IF(ISBLANK(J81), ""Input test step"", ARRAYFORMULA(TEXTJOIN(CHAR(10), TRUE, (""Step ""&amp; ROW(INDIRECT(""1:"" &amp; COUNTA(SPLIT(J81, CHAR(10))))) &amp; "": "" &amp; TRANSPOSE(SPLIT(J81, CHAR(10)))))))"),"Step 1: Điều hướng đến trang chi tiết sản phẩm
Step 2: Cuộn xuống phía dưới trang
Step 3: Nhấn vào button cart ""Mua ngay""
Step 4: Nhấn vào button (-) 
Step 5: Kiểm tra và xác nhận số lượng sản phẩm giảm")</f>
        <v>Step 1: Điều hướng đến trang chi tiết sản phẩm
Step 2: Cuộn xuống phía dưới trang
Step 3: Nhấn vào button cart "Mua ngay"
Step 4: Nhấn vào button (-) 
Step 5: Kiểm tra và xác nhận số lượng sản phẩm giảm</v>
      </c>
      <c r="L81" s="14"/>
      <c r="M81" s="12" t="s">
        <v>2285</v>
      </c>
      <c r="N81" s="22"/>
      <c r="O81" s="12"/>
      <c r="P81" s="38"/>
    </row>
    <row r="82">
      <c r="A82" s="37"/>
      <c r="B82" s="37"/>
      <c r="C82" s="37"/>
      <c r="D82" s="37"/>
      <c r="E82" s="37"/>
      <c r="F82" s="12" t="s">
        <v>2286</v>
      </c>
      <c r="G82" s="56"/>
      <c r="H82" s="12" t="s">
        <v>2287</v>
      </c>
      <c r="I82" s="12" t="s">
        <v>2193</v>
      </c>
      <c r="J82" s="12" t="s">
        <v>2288</v>
      </c>
      <c r="K82" s="13" t="str">
        <f>IFERROR(__xludf.DUMMYFUNCTION("IF(ISBLANK(J82), ""Input test step"", ARRAYFORMULA(TEXTJOIN(CHAR(10), TRUE, (""Step ""&amp; ROW(INDIRECT(""1:"" &amp; COUNTA(SPLIT(J82, CHAR(10))))) &amp; "": "" &amp; TRANSPOSE(SPLIT(J82, CHAR(10)))))))"),"Step 1: Điều hướng đến trang chi tiết sản phẩm
Step 2: Cuộn xuống phía dưới trang
Step 3: Nhấn vào button cart ""Mua ngay""
Step 4: Nhấn vào button (+) 
Step 5: Kiểm tra và xác nhận số lượng sản phẩm tăng")</f>
        <v>Step 1: Điều hướng đến trang chi tiết sản phẩm
Step 2: Cuộn xuống phía dưới trang
Step 3: Nhấn vào button cart "Mua ngay"
Step 4: Nhấn vào button (+) 
Step 5: Kiểm tra và xác nhận số lượng sản phẩm tăng</v>
      </c>
      <c r="L82" s="14"/>
      <c r="M82" s="12" t="s">
        <v>2289</v>
      </c>
      <c r="N82" s="12"/>
      <c r="O82" s="12"/>
      <c r="P82" s="38"/>
    </row>
    <row r="83">
      <c r="A83" s="37"/>
      <c r="B83" s="37"/>
      <c r="C83" s="37"/>
      <c r="D83" s="37"/>
      <c r="E83" s="37"/>
      <c r="F83" s="12" t="s">
        <v>2290</v>
      </c>
      <c r="G83" s="56"/>
      <c r="H83" s="12" t="s">
        <v>2291</v>
      </c>
      <c r="I83" s="12" t="s">
        <v>2193</v>
      </c>
      <c r="J83" s="12" t="s">
        <v>2292</v>
      </c>
      <c r="K83" s="13" t="str">
        <f>IFERROR(__xludf.DUMMYFUNCTION("IF(ISBLANK(J83), ""Input test step"", ARRAYFORMULA(TEXTJOIN(CHAR(10), TRUE, (""Step ""&amp; ROW(INDIRECT(""1:"" &amp; COUNTA(SPLIT(J83, CHAR(10))))) &amp; "": "" &amp; TRANSPOSE(SPLIT(J83, CHAR(10)))))))"),"Step 1: Điều hướng đến trang chi tiết sản phẩm
Step 2: Cuộn xuống phía dưới trang
Step 3: Nhấn vào button cart ""Mua ngay""
Step 4: Kiểm tra hiển tổng tiền hàng khi tăng hoặc giảm thêm số lượng sản phẩm")</f>
        <v>Step 1: Điều hướng đến trang chi tiết sản phẩm
Step 2: Cuộn xuống phía dưới trang
Step 3: Nhấn vào button cart "Mua ngay"
Step 4: Kiểm tra hiển tổng tiền hàng khi tăng hoặc giảm thêm số lượng sản phẩm</v>
      </c>
      <c r="L83" s="14"/>
      <c r="M83" s="12" t="s">
        <v>2293</v>
      </c>
      <c r="N83" s="12"/>
      <c r="O83" s="12"/>
      <c r="P83" s="38"/>
    </row>
    <row r="84">
      <c r="A84" s="37"/>
      <c r="B84" s="37"/>
      <c r="C84" s="37"/>
      <c r="D84" s="37"/>
      <c r="E84" s="37"/>
      <c r="F84" s="12" t="s">
        <v>2294</v>
      </c>
      <c r="G84" s="56"/>
      <c r="H84" s="12" t="s">
        <v>2295</v>
      </c>
      <c r="I84" s="12" t="s">
        <v>2193</v>
      </c>
      <c r="J84" s="12" t="s">
        <v>2296</v>
      </c>
      <c r="K84" s="13" t="str">
        <f>IFERROR(__xludf.DUMMYFUNCTION("IF(ISBLANK(J84), ""Input test step"", ARRAYFORMULA(TEXTJOIN(CHAR(10), TRUE, (""Step ""&amp; ROW(INDIRECT(""1:"" &amp; COUNTA(SPLIT(J84, CHAR(10))))) &amp; "": "" &amp; TRANSPOSE(SPLIT(J84, CHAR(10)))))))"),"Step 1: Điều hướng đến trang chi tiết sản phẩm
Step 2: Cuộn xuống phía dưới trang
Step 3: Nhấn vào button cart ""Mua ngay""
Step 4: Kiểm tra hiển thị tổng tiền phí vận chuyển của đơn hàng")</f>
        <v>Step 1: Điều hướng đến trang chi tiết sản phẩm
Step 2: Cuộn xuống phía dưới trang
Step 3: Nhấn vào button cart "Mua ngay"
Step 4: Kiểm tra hiển thị tổng tiền phí vận chuyển của đơn hàng</v>
      </c>
      <c r="L84" s="14"/>
      <c r="M84" s="12" t="s">
        <v>2297</v>
      </c>
      <c r="N84" s="12"/>
      <c r="O84" s="12"/>
      <c r="P84" s="38"/>
    </row>
    <row r="85">
      <c r="A85" s="37"/>
      <c r="B85" s="37"/>
      <c r="C85" s="37"/>
      <c r="D85" s="37"/>
      <c r="E85" s="37"/>
      <c r="F85" s="12" t="s">
        <v>2298</v>
      </c>
      <c r="G85" s="57"/>
      <c r="H85" s="12" t="s">
        <v>2299</v>
      </c>
      <c r="I85" s="12" t="s">
        <v>2193</v>
      </c>
      <c r="J85" s="12" t="s">
        <v>2300</v>
      </c>
      <c r="K85" s="13" t="str">
        <f>IFERROR(__xludf.DUMMYFUNCTION("IF(ISBLANK(J85), ""Input test step"", ARRAYFORMULA(TEXTJOIN(CHAR(10), TRUE, (""Step ""&amp; ROW(INDIRECT(""1:"" &amp; COUNTA(SPLIT(J85, CHAR(10))))) &amp; "": "" &amp; TRANSPOSE(SPLIT(J85, CHAR(10)))))))"),"Step 1: Điều hướng đến trang chi tiết sản phẩm
Step 2: Cuộn xuống phía dưới trang
Step 3: Nhấn vào button cart ""Mua ngay"" 
Step 4: Kiểm tra hiển thị tổng tiền thanh toán ")</f>
        <v>Step 1: Điều hướng đến trang chi tiết sản phẩm
Step 2: Cuộn xuống phía dưới trang
Step 3: Nhấn vào button cart "Mua ngay" 
Step 4: Kiểm tra hiển thị tổng tiền thanh toán </v>
      </c>
      <c r="L85" s="14"/>
      <c r="M85" s="12" t="s">
        <v>2301</v>
      </c>
      <c r="N85" s="12"/>
      <c r="O85" s="12"/>
      <c r="P85" s="38"/>
    </row>
    <row r="86">
      <c r="A86" s="37"/>
      <c r="B86" s="37"/>
      <c r="C86" s="37"/>
      <c r="D86" s="37"/>
      <c r="E86" s="37"/>
      <c r="F86" s="12" t="s">
        <v>2302</v>
      </c>
      <c r="G86" s="55" t="s">
        <v>1352</v>
      </c>
      <c r="H86" s="12" t="s">
        <v>2303</v>
      </c>
      <c r="I86" s="12" t="s">
        <v>2193</v>
      </c>
      <c r="J86" s="12" t="s">
        <v>2304</v>
      </c>
      <c r="K86" s="13" t="str">
        <f>IFERROR(__xludf.DUMMYFUNCTION("IF(ISBLANK(J86), ""Input test step"", ARRAYFORMULA(TEXTJOIN(CHAR(10), TRUE, (""Step ""&amp; ROW(INDIRECT(""1:"" &amp; COUNTA(SPLIT(J86, CHAR(10))))) &amp; "": "" &amp; TRANSPOSE(SPLIT(J86, CHAR(10)))))))"),"Step 1: Điều hướng đến trang chi tiết sản phẩm
Step 2: Cuộn xuống phía dưới trang
Step 3: Nhấn vào button cart ""Mua ngay""
Step 4: Nhấn vào button ""Tiến hành thanh toán""
Step 5: Kiểm tra và xác nhận hệ thống chuyển sang trang ""Giỏ hàng""")</f>
        <v>Step 1: Điều hướng đến trang chi tiết sản phẩm
Step 2: Cuộn xuống phía dưới trang
Step 3: Nhấn vào button cart "Mua ngay"
Step 4: Nhấn vào button "Tiến hành thanh toán"
Step 5: Kiểm tra và xác nhận hệ thống chuyển sang trang "Giỏ hàng"</v>
      </c>
      <c r="L86" s="14"/>
      <c r="M86" s="12" t="s">
        <v>2238</v>
      </c>
      <c r="N86" s="12"/>
      <c r="O86" s="12"/>
      <c r="P86" s="38"/>
    </row>
    <row r="87">
      <c r="A87" s="37"/>
      <c r="B87" s="37"/>
      <c r="C87" s="37"/>
      <c r="D87" s="37"/>
      <c r="E87" s="37"/>
      <c r="F87" s="12" t="s">
        <v>2305</v>
      </c>
      <c r="G87" s="57"/>
      <c r="H87" s="12" t="s">
        <v>2306</v>
      </c>
      <c r="I87" s="12" t="s">
        <v>2193</v>
      </c>
      <c r="J87" s="12" t="s">
        <v>2307</v>
      </c>
      <c r="K87" s="13" t="str">
        <f>IFERROR(__xludf.DUMMYFUNCTION("IF(ISBLANK(J87), ""Input test step"", ARRAYFORMULA(TEXTJOIN(CHAR(10), TRUE, (""Step ""&amp; ROW(INDIRECT(""1:"" &amp; COUNTA(SPLIT(J87, CHAR(10))))) &amp; "": "" &amp; TRANSPOSE(SPLIT(J87, CHAR(10)))))))"),"Step 1: Điều hướng đến trang chi tiết sản phẩm
Step 2: Cuộn xuống phía dưới trang
Step 3: Nhấn vào button cart ""Mua ngay""
Step 4: Nhấn vào button ""Tiến hành thanh toán""
Step 5: Hệ thống chuyển sang trang ""Giỏ hàng""
Step 6: Kiểm tra và xác nhận hiển "&amp;"thị đúng dữ liệu thông tin sản phẩm trên trang ""Giỏ hàng""")</f>
        <v>Step 1: Điều hướng đến trang chi tiết sản phẩm
Step 2: Cuộn xuống phía dưới trang
Step 3: Nhấn vào button cart "Mua ngay"
Step 4: Nhấn vào button "Tiến hành thanh toán"
Step 5: Hệ thống chuyển sang trang "Giỏ hàng"
Step 6: Kiểm tra và xác nhận hiển thị đúng dữ liệu thông tin sản phẩm trên trang "Giỏ hàng"</v>
      </c>
      <c r="L87" s="14"/>
      <c r="M87" s="12" t="s">
        <v>2308</v>
      </c>
      <c r="N87" s="12"/>
      <c r="O87" s="12"/>
      <c r="P87" s="38"/>
    </row>
    <row r="88">
      <c r="A88" s="37"/>
      <c r="B88" s="37"/>
      <c r="C88" s="37"/>
      <c r="D88" s="37"/>
      <c r="E88" s="37"/>
      <c r="F88" s="12" t="s">
        <v>2309</v>
      </c>
      <c r="G88" s="55" t="s">
        <v>1361</v>
      </c>
      <c r="H88" s="12" t="s">
        <v>2310</v>
      </c>
      <c r="I88" s="12" t="s">
        <v>2193</v>
      </c>
      <c r="J88" s="12" t="s">
        <v>2311</v>
      </c>
      <c r="K88" s="13" t="str">
        <f>IFERROR(__xludf.DUMMYFUNCTION("IF(ISBLANK(J88), ""Input test step"", ARRAYFORMULA(TEXTJOIN(CHAR(10), TRUE, (""Step ""&amp; ROW(INDIRECT(""1:"" &amp; COUNTA(SPLIT(J88, CHAR(10))))) &amp; "": "" &amp; TRANSPOSE(SPLIT(J88, CHAR(10)))))))"),"Step 1: Điều hướng đến trang chi tiết sản phẩm
Step 2: Kiểm tra hiển thị ""Hết hàng"" khi sản phẩm đang trong trạng thái hết hàng")</f>
        <v>Step 1: Điều hướng đến trang chi tiết sản phẩm
Step 2: Kiểm tra hiển thị "Hết hàng" khi sản phẩm đang trong trạng thái hết hàng</v>
      </c>
      <c r="L88" s="14"/>
      <c r="M88" s="12" t="s">
        <v>2312</v>
      </c>
      <c r="N88" s="12"/>
      <c r="O88" s="12"/>
      <c r="P88" s="38"/>
    </row>
    <row r="89">
      <c r="A89" s="37"/>
      <c r="B89" s="37"/>
      <c r="C89" s="37"/>
      <c r="D89" s="37"/>
      <c r="E89" s="37"/>
      <c r="F89" s="12" t="s">
        <v>2313</v>
      </c>
      <c r="G89" s="56"/>
      <c r="H89" s="12" t="s">
        <v>2314</v>
      </c>
      <c r="I89" s="12" t="s">
        <v>2193</v>
      </c>
      <c r="J89" s="12" t="s">
        <v>2315</v>
      </c>
      <c r="K89" s="13" t="str">
        <f>IFERROR(__xludf.DUMMYFUNCTION("IF(ISBLANK(J89), ""Input test step"", ARRAYFORMULA(TEXTJOIN(CHAR(10), TRUE, (""Step ""&amp; ROW(INDIRECT(""1:"" &amp; COUNTA(SPLIT(J89, CHAR(10))))) &amp; "": "" &amp; TRANSPOSE(SPLIT(J89, CHAR(10)))))))"),"Step 1: Điều hướng đến trang chi tiết sản phẩm
Step 2: Kiểm tra hệ thống hiển thị button ""Liên hệ"" khi hết hàng")</f>
        <v>Step 1: Điều hướng đến trang chi tiết sản phẩm
Step 2: Kiểm tra hệ thống hiển thị button "Liên hệ" khi hết hàng</v>
      </c>
      <c r="L89" s="14"/>
      <c r="M89" s="12" t="s">
        <v>2316</v>
      </c>
      <c r="N89" s="12"/>
      <c r="O89" s="12"/>
      <c r="P89" s="38"/>
    </row>
    <row r="90">
      <c r="A90" s="37"/>
      <c r="B90" s="37"/>
      <c r="C90" s="37"/>
      <c r="D90" s="37"/>
      <c r="E90" s="37"/>
      <c r="F90" s="12" t="s">
        <v>2317</v>
      </c>
      <c r="G90" s="57"/>
      <c r="H90" s="12" t="s">
        <v>2318</v>
      </c>
      <c r="I90" s="12" t="s">
        <v>2193</v>
      </c>
      <c r="J90" s="12" t="s">
        <v>2319</v>
      </c>
      <c r="K90" s="13" t="str">
        <f>IFERROR(__xludf.DUMMYFUNCTION("IF(ISBLANK(J90), ""Input test step"", ARRAYFORMULA(TEXTJOIN(CHAR(10), TRUE, (""Step ""&amp; ROW(INDIRECT(""1:"" &amp; COUNTA(SPLIT(J90, CHAR(10))))) &amp; "": "" &amp; TRANSPOSE(SPLIT(J90, CHAR(10)))))))"),"Step 1: Điều hướng đến trang chi tiết sản phẩm
Step 2: Nhấn button ""Liên Hệ""
Step 3: Kiểm tra hệ thống chuyển tới link Zalo OA")</f>
        <v>Step 1: Điều hướng đến trang chi tiết sản phẩm
Step 2: Nhấn button "Liên Hệ"
Step 3: Kiểm tra hệ thống chuyển tới link Zalo OA</v>
      </c>
      <c r="L90" s="14"/>
      <c r="M90" s="12" t="s">
        <v>2320</v>
      </c>
      <c r="N90" s="12"/>
      <c r="O90" s="12"/>
      <c r="P90" s="38"/>
    </row>
    <row r="91">
      <c r="A91" s="37"/>
      <c r="B91" s="37"/>
      <c r="C91" s="37"/>
      <c r="D91" s="37"/>
      <c r="E91" s="37"/>
      <c r="K91" s="48"/>
    </row>
    <row r="92">
      <c r="A92" s="37"/>
      <c r="B92" s="37"/>
      <c r="C92" s="37"/>
      <c r="D92" s="37"/>
      <c r="E92" s="37"/>
      <c r="K92" s="48"/>
    </row>
    <row r="93">
      <c r="A93" s="37"/>
      <c r="B93" s="37"/>
      <c r="C93" s="37"/>
      <c r="D93" s="37"/>
      <c r="E93" s="37"/>
      <c r="K93" s="48"/>
    </row>
    <row r="94">
      <c r="A94" s="37"/>
      <c r="B94" s="37"/>
      <c r="C94" s="37"/>
      <c r="D94" s="37"/>
      <c r="E94" s="37"/>
      <c r="K94" s="48"/>
    </row>
    <row r="95">
      <c r="A95" s="37"/>
      <c r="B95" s="37"/>
      <c r="C95" s="37"/>
      <c r="D95" s="37"/>
      <c r="E95" s="37"/>
      <c r="K95" s="48"/>
    </row>
    <row r="96">
      <c r="A96" s="37"/>
      <c r="B96" s="37"/>
      <c r="C96" s="37"/>
      <c r="D96" s="37"/>
      <c r="E96" s="37"/>
      <c r="K96" s="48"/>
    </row>
    <row r="97">
      <c r="A97" s="37"/>
      <c r="B97" s="37"/>
      <c r="C97" s="37"/>
      <c r="D97" s="37"/>
      <c r="E97" s="37"/>
      <c r="K97" s="48"/>
    </row>
    <row r="98">
      <c r="A98" s="37"/>
      <c r="B98" s="37"/>
      <c r="C98" s="37"/>
      <c r="D98" s="37"/>
      <c r="E98" s="37"/>
      <c r="K98" s="48"/>
    </row>
    <row r="99">
      <c r="A99" s="37"/>
      <c r="B99" s="37"/>
      <c r="C99" s="37"/>
      <c r="D99" s="37"/>
      <c r="E99" s="37"/>
      <c r="K99" s="48"/>
    </row>
    <row r="100">
      <c r="A100" s="37"/>
      <c r="B100" s="37"/>
      <c r="C100" s="37"/>
      <c r="D100" s="37"/>
      <c r="E100" s="37"/>
      <c r="K100" s="48"/>
    </row>
    <row r="101">
      <c r="A101" s="37"/>
      <c r="B101" s="37"/>
      <c r="C101" s="37"/>
      <c r="D101" s="37"/>
      <c r="E101" s="37"/>
      <c r="K101" s="48"/>
    </row>
    <row r="102">
      <c r="A102" s="37"/>
      <c r="B102" s="37"/>
      <c r="C102" s="37"/>
      <c r="D102" s="37"/>
      <c r="E102" s="37"/>
      <c r="K102" s="48"/>
    </row>
    <row r="103">
      <c r="A103" s="37"/>
      <c r="B103" s="37"/>
      <c r="C103" s="37"/>
      <c r="D103" s="37"/>
      <c r="E103" s="37"/>
      <c r="K103" s="48"/>
    </row>
    <row r="104">
      <c r="A104" s="37"/>
      <c r="B104" s="37"/>
      <c r="C104" s="37"/>
      <c r="D104" s="37"/>
      <c r="E104" s="37"/>
      <c r="K104" s="48"/>
    </row>
    <row r="105">
      <c r="A105" s="37"/>
      <c r="B105" s="37"/>
      <c r="C105" s="37"/>
      <c r="D105" s="37"/>
      <c r="E105" s="37"/>
      <c r="K105" s="48"/>
    </row>
    <row r="106">
      <c r="A106" s="37"/>
      <c r="B106" s="37"/>
      <c r="C106" s="37"/>
      <c r="D106" s="37"/>
      <c r="E106" s="37"/>
      <c r="K106" s="48"/>
    </row>
    <row r="107">
      <c r="A107" s="37"/>
      <c r="B107" s="37"/>
      <c r="C107" s="37"/>
      <c r="D107" s="37"/>
      <c r="E107" s="37"/>
      <c r="K107" s="48"/>
    </row>
    <row r="108">
      <c r="A108" s="37"/>
      <c r="B108" s="37"/>
      <c r="C108" s="37"/>
      <c r="D108" s="37"/>
      <c r="E108" s="37"/>
      <c r="K108" s="48"/>
    </row>
    <row r="109">
      <c r="A109" s="37"/>
      <c r="B109" s="37"/>
      <c r="C109" s="37"/>
      <c r="D109" s="37"/>
      <c r="E109" s="37"/>
      <c r="K109" s="48"/>
    </row>
    <row r="110">
      <c r="A110" s="37"/>
      <c r="B110" s="37"/>
      <c r="C110" s="37"/>
      <c r="D110" s="37"/>
      <c r="E110" s="37"/>
      <c r="K110" s="48"/>
    </row>
    <row r="111">
      <c r="A111" s="37"/>
      <c r="B111" s="37"/>
      <c r="C111" s="37"/>
      <c r="D111" s="37"/>
      <c r="E111" s="37"/>
      <c r="K111" s="48"/>
    </row>
    <row r="112">
      <c r="A112" s="37"/>
      <c r="B112" s="37"/>
      <c r="C112" s="37"/>
      <c r="D112" s="37"/>
      <c r="E112" s="37"/>
      <c r="K112" s="48"/>
    </row>
    <row r="113">
      <c r="A113" s="37"/>
      <c r="B113" s="37"/>
      <c r="C113" s="37"/>
      <c r="D113" s="37"/>
      <c r="E113" s="37"/>
      <c r="K113" s="48"/>
    </row>
    <row r="114">
      <c r="A114" s="37"/>
      <c r="B114" s="37"/>
      <c r="C114" s="37"/>
      <c r="D114" s="37"/>
      <c r="E114" s="37"/>
      <c r="K114" s="48"/>
    </row>
    <row r="115">
      <c r="A115" s="37"/>
      <c r="B115" s="37"/>
      <c r="C115" s="37"/>
      <c r="D115" s="37"/>
      <c r="E115" s="37"/>
      <c r="K115" s="48"/>
    </row>
    <row r="116">
      <c r="A116" s="37"/>
      <c r="B116" s="37"/>
      <c r="C116" s="37"/>
      <c r="D116" s="37"/>
      <c r="E116" s="37"/>
      <c r="K116" s="48"/>
    </row>
    <row r="117">
      <c r="A117" s="37"/>
      <c r="B117" s="37"/>
      <c r="C117" s="37"/>
      <c r="D117" s="37"/>
      <c r="E117" s="37"/>
      <c r="K117" s="48"/>
    </row>
    <row r="118">
      <c r="A118" s="37"/>
      <c r="B118" s="37"/>
      <c r="C118" s="37"/>
      <c r="D118" s="37"/>
      <c r="E118" s="37"/>
      <c r="K118" s="48"/>
    </row>
    <row r="119">
      <c r="A119" s="37"/>
      <c r="B119" s="37"/>
      <c r="C119" s="37"/>
      <c r="D119" s="37"/>
      <c r="E119" s="37"/>
      <c r="K119" s="48"/>
    </row>
    <row r="120">
      <c r="A120" s="37"/>
      <c r="B120" s="37"/>
      <c r="C120" s="37"/>
      <c r="D120" s="37"/>
      <c r="E120" s="37"/>
      <c r="K120" s="48"/>
    </row>
    <row r="121">
      <c r="A121" s="37"/>
      <c r="B121" s="37"/>
      <c r="C121" s="37"/>
      <c r="D121" s="37"/>
      <c r="E121" s="37"/>
      <c r="K121" s="48"/>
    </row>
    <row r="122">
      <c r="A122" s="37"/>
      <c r="B122" s="37"/>
      <c r="C122" s="37"/>
      <c r="D122" s="37"/>
      <c r="E122" s="37"/>
      <c r="K122" s="48"/>
    </row>
    <row r="123">
      <c r="A123" s="37"/>
      <c r="B123" s="37"/>
      <c r="C123" s="37"/>
      <c r="D123" s="37"/>
      <c r="E123" s="37"/>
      <c r="K123" s="48"/>
    </row>
    <row r="124">
      <c r="A124" s="37"/>
      <c r="B124" s="37"/>
      <c r="C124" s="37"/>
      <c r="D124" s="37"/>
      <c r="E124" s="37"/>
      <c r="K124" s="48"/>
    </row>
    <row r="125">
      <c r="A125" s="37"/>
      <c r="B125" s="37"/>
      <c r="C125" s="37"/>
      <c r="D125" s="37"/>
      <c r="E125" s="37"/>
      <c r="K125" s="48"/>
    </row>
    <row r="126">
      <c r="A126" s="37"/>
      <c r="B126" s="37"/>
      <c r="C126" s="37"/>
      <c r="D126" s="37"/>
      <c r="E126" s="37"/>
      <c r="K126" s="48"/>
    </row>
    <row r="127">
      <c r="A127" s="37"/>
      <c r="B127" s="37"/>
      <c r="C127" s="37"/>
      <c r="D127" s="37"/>
      <c r="E127" s="37"/>
      <c r="K127" s="48"/>
    </row>
    <row r="128">
      <c r="A128" s="37"/>
      <c r="B128" s="37"/>
      <c r="C128" s="37"/>
      <c r="D128" s="37"/>
      <c r="E128" s="37"/>
      <c r="K128" s="48"/>
    </row>
    <row r="129">
      <c r="A129" s="37"/>
      <c r="B129" s="37"/>
      <c r="C129" s="37"/>
      <c r="D129" s="37"/>
      <c r="E129" s="37"/>
      <c r="K129" s="48"/>
    </row>
    <row r="130">
      <c r="A130" s="37"/>
      <c r="B130" s="37"/>
      <c r="C130" s="37"/>
      <c r="D130" s="37"/>
      <c r="E130" s="37"/>
      <c r="K130" s="48"/>
    </row>
    <row r="131">
      <c r="A131" s="37"/>
      <c r="B131" s="37"/>
      <c r="C131" s="37"/>
      <c r="D131" s="37"/>
      <c r="E131" s="37"/>
      <c r="K131" s="48"/>
    </row>
    <row r="132">
      <c r="A132" s="37"/>
      <c r="B132" s="37"/>
      <c r="C132" s="37"/>
      <c r="D132" s="37"/>
      <c r="E132" s="37"/>
      <c r="K132" s="48"/>
    </row>
    <row r="133">
      <c r="A133" s="37"/>
      <c r="B133" s="37"/>
      <c r="C133" s="37"/>
      <c r="D133" s="37"/>
      <c r="E133" s="37"/>
      <c r="K133" s="48"/>
    </row>
    <row r="134">
      <c r="A134" s="37"/>
      <c r="B134" s="37"/>
      <c r="C134" s="37"/>
      <c r="D134" s="37"/>
      <c r="E134" s="37"/>
      <c r="K134" s="48"/>
    </row>
    <row r="135">
      <c r="A135" s="37"/>
      <c r="B135" s="37"/>
      <c r="C135" s="37"/>
      <c r="D135" s="37"/>
      <c r="E135" s="37"/>
      <c r="K135" s="48"/>
    </row>
    <row r="136">
      <c r="A136" s="37"/>
      <c r="B136" s="37"/>
      <c r="C136" s="37"/>
      <c r="D136" s="37"/>
      <c r="E136" s="37"/>
      <c r="K136" s="48"/>
    </row>
    <row r="137">
      <c r="A137" s="37"/>
      <c r="B137" s="37"/>
      <c r="C137" s="37"/>
      <c r="D137" s="37"/>
      <c r="E137" s="37"/>
      <c r="K137" s="48"/>
    </row>
    <row r="138">
      <c r="A138" s="37"/>
      <c r="B138" s="37"/>
      <c r="C138" s="37"/>
      <c r="D138" s="37"/>
      <c r="E138" s="37"/>
      <c r="K138" s="48"/>
    </row>
    <row r="139">
      <c r="A139" s="37"/>
      <c r="B139" s="37"/>
      <c r="C139" s="37"/>
      <c r="D139" s="37"/>
      <c r="E139" s="37"/>
      <c r="K139" s="48"/>
    </row>
    <row r="140">
      <c r="A140" s="37"/>
      <c r="B140" s="37"/>
      <c r="C140" s="37"/>
      <c r="D140" s="37"/>
      <c r="E140" s="37"/>
      <c r="K140" s="48"/>
    </row>
    <row r="141">
      <c r="A141" s="37"/>
      <c r="B141" s="37"/>
      <c r="C141" s="37"/>
      <c r="D141" s="37"/>
      <c r="E141" s="37"/>
      <c r="K141" s="48"/>
    </row>
    <row r="142">
      <c r="A142" s="37"/>
      <c r="B142" s="37"/>
      <c r="C142" s="37"/>
      <c r="D142" s="37"/>
      <c r="E142" s="37"/>
      <c r="K142" s="48"/>
    </row>
    <row r="143">
      <c r="A143" s="37"/>
      <c r="B143" s="37"/>
      <c r="C143" s="37"/>
      <c r="D143" s="37"/>
      <c r="E143" s="37"/>
      <c r="K143" s="48"/>
    </row>
    <row r="144">
      <c r="A144" s="37"/>
      <c r="B144" s="37"/>
      <c r="C144" s="37"/>
      <c r="D144" s="37"/>
      <c r="E144" s="37"/>
      <c r="K144" s="48"/>
    </row>
    <row r="145">
      <c r="A145" s="37"/>
      <c r="B145" s="37"/>
      <c r="C145" s="37"/>
      <c r="D145" s="37"/>
      <c r="E145" s="37"/>
      <c r="K145" s="48"/>
    </row>
    <row r="146">
      <c r="A146" s="37"/>
      <c r="B146" s="37"/>
      <c r="C146" s="37"/>
      <c r="D146" s="37"/>
      <c r="E146" s="37"/>
      <c r="K146" s="48"/>
    </row>
    <row r="147">
      <c r="A147" s="37"/>
      <c r="B147" s="37"/>
      <c r="C147" s="37"/>
      <c r="D147" s="37"/>
      <c r="E147" s="37"/>
      <c r="K147" s="48"/>
    </row>
    <row r="148">
      <c r="A148" s="37"/>
      <c r="B148" s="37"/>
      <c r="C148" s="37"/>
      <c r="D148" s="37"/>
      <c r="E148" s="37"/>
      <c r="K148" s="48"/>
    </row>
    <row r="149">
      <c r="A149" s="37"/>
      <c r="B149" s="37"/>
      <c r="C149" s="37"/>
      <c r="D149" s="37"/>
      <c r="E149" s="37"/>
      <c r="K149" s="48"/>
    </row>
    <row r="150">
      <c r="A150" s="37"/>
      <c r="B150" s="37"/>
      <c r="C150" s="37"/>
      <c r="D150" s="37"/>
      <c r="E150" s="37"/>
      <c r="K150" s="48"/>
    </row>
    <row r="151">
      <c r="A151" s="37"/>
      <c r="B151" s="37"/>
      <c r="C151" s="37"/>
      <c r="D151" s="37"/>
      <c r="E151" s="37"/>
      <c r="K151" s="48"/>
    </row>
    <row r="152">
      <c r="A152" s="37"/>
      <c r="B152" s="37"/>
      <c r="C152" s="37"/>
      <c r="D152" s="37"/>
      <c r="E152" s="37"/>
      <c r="K152" s="48"/>
    </row>
    <row r="153">
      <c r="A153" s="37"/>
      <c r="B153" s="37"/>
      <c r="C153" s="37"/>
      <c r="D153" s="37"/>
      <c r="E153" s="37"/>
      <c r="K153" s="48"/>
    </row>
    <row r="154">
      <c r="A154" s="37"/>
      <c r="B154" s="37"/>
      <c r="C154" s="37"/>
      <c r="D154" s="37"/>
      <c r="E154" s="37"/>
      <c r="K154" s="48"/>
    </row>
    <row r="155">
      <c r="A155" s="37"/>
      <c r="B155" s="37"/>
      <c r="C155" s="37"/>
      <c r="D155" s="37"/>
      <c r="E155" s="37"/>
      <c r="K155" s="48"/>
    </row>
    <row r="156">
      <c r="A156" s="37"/>
      <c r="B156" s="37"/>
      <c r="C156" s="37"/>
      <c r="D156" s="37"/>
      <c r="E156" s="37"/>
      <c r="K156" s="48"/>
    </row>
    <row r="157">
      <c r="A157" s="37"/>
      <c r="B157" s="37"/>
      <c r="C157" s="37"/>
      <c r="D157" s="37"/>
      <c r="E157" s="37"/>
      <c r="K157" s="48"/>
    </row>
    <row r="158">
      <c r="A158" s="37"/>
      <c r="B158" s="37"/>
      <c r="C158" s="37"/>
      <c r="D158" s="37"/>
      <c r="E158" s="37"/>
      <c r="K158" s="48"/>
    </row>
    <row r="159">
      <c r="A159" s="37"/>
      <c r="B159" s="37"/>
      <c r="C159" s="37"/>
      <c r="D159" s="37"/>
      <c r="E159" s="37"/>
      <c r="K159" s="48"/>
    </row>
    <row r="160">
      <c r="A160" s="37"/>
      <c r="B160" s="37"/>
      <c r="C160" s="37"/>
      <c r="D160" s="37"/>
      <c r="E160" s="37"/>
      <c r="K160" s="48"/>
    </row>
    <row r="161">
      <c r="A161" s="37"/>
      <c r="B161" s="37"/>
      <c r="C161" s="37"/>
      <c r="D161" s="37"/>
      <c r="E161" s="37"/>
      <c r="K161" s="48"/>
    </row>
    <row r="162">
      <c r="A162" s="37"/>
      <c r="B162" s="37"/>
      <c r="C162" s="37"/>
      <c r="D162" s="37"/>
      <c r="E162" s="37"/>
      <c r="K162" s="48"/>
    </row>
    <row r="163">
      <c r="A163" s="37"/>
      <c r="B163" s="37"/>
      <c r="C163" s="37"/>
      <c r="D163" s="37"/>
      <c r="E163" s="37"/>
      <c r="K163" s="48"/>
    </row>
    <row r="164">
      <c r="A164" s="37"/>
      <c r="B164" s="37"/>
      <c r="C164" s="37"/>
      <c r="D164" s="37"/>
      <c r="E164" s="37"/>
      <c r="K164" s="48"/>
    </row>
    <row r="165">
      <c r="A165" s="37"/>
      <c r="B165" s="37"/>
      <c r="C165" s="37"/>
      <c r="D165" s="37"/>
      <c r="E165" s="37"/>
      <c r="K165" s="48"/>
    </row>
    <row r="166">
      <c r="A166" s="37"/>
      <c r="B166" s="37"/>
      <c r="C166" s="37"/>
      <c r="D166" s="37"/>
      <c r="E166" s="37"/>
      <c r="K166" s="48"/>
    </row>
    <row r="167">
      <c r="A167" s="37"/>
      <c r="B167" s="37"/>
      <c r="C167" s="37"/>
      <c r="D167" s="37"/>
      <c r="E167" s="37"/>
      <c r="K167" s="48"/>
    </row>
    <row r="168">
      <c r="A168" s="37"/>
      <c r="B168" s="37"/>
      <c r="C168" s="37"/>
      <c r="D168" s="37"/>
      <c r="E168" s="37"/>
      <c r="K168" s="48"/>
    </row>
    <row r="169">
      <c r="A169" s="37"/>
      <c r="B169" s="37"/>
      <c r="C169" s="37"/>
      <c r="D169" s="37"/>
      <c r="E169" s="37"/>
      <c r="K169" s="48"/>
    </row>
    <row r="170">
      <c r="A170" s="37"/>
      <c r="B170" s="37"/>
      <c r="C170" s="37"/>
      <c r="D170" s="37"/>
      <c r="E170" s="37"/>
      <c r="K170" s="48"/>
    </row>
    <row r="171">
      <c r="A171" s="37"/>
      <c r="B171" s="37"/>
      <c r="C171" s="37"/>
      <c r="D171" s="37"/>
      <c r="E171" s="37"/>
      <c r="K171" s="48"/>
    </row>
    <row r="172">
      <c r="A172" s="37"/>
      <c r="B172" s="37"/>
      <c r="C172" s="37"/>
      <c r="D172" s="37"/>
      <c r="E172" s="37"/>
      <c r="K172" s="48"/>
    </row>
    <row r="173">
      <c r="A173" s="37"/>
      <c r="B173" s="37"/>
      <c r="C173" s="37"/>
      <c r="D173" s="37"/>
      <c r="E173" s="37"/>
      <c r="K173" s="48"/>
    </row>
    <row r="174">
      <c r="A174" s="37"/>
      <c r="B174" s="37"/>
      <c r="C174" s="37"/>
      <c r="D174" s="37"/>
      <c r="E174" s="37"/>
      <c r="K174" s="48"/>
    </row>
    <row r="175">
      <c r="A175" s="37"/>
      <c r="B175" s="37"/>
      <c r="C175" s="37"/>
      <c r="D175" s="37"/>
      <c r="E175" s="37"/>
      <c r="K175" s="48"/>
    </row>
    <row r="176">
      <c r="A176" s="37"/>
      <c r="B176" s="37"/>
      <c r="C176" s="37"/>
      <c r="D176" s="37"/>
      <c r="E176" s="37"/>
      <c r="K176" s="48"/>
    </row>
    <row r="177">
      <c r="A177" s="37"/>
      <c r="B177" s="37"/>
      <c r="C177" s="37"/>
      <c r="D177" s="37"/>
      <c r="E177" s="37"/>
      <c r="K177" s="48"/>
    </row>
    <row r="178">
      <c r="A178" s="37"/>
      <c r="B178" s="37"/>
      <c r="C178" s="37"/>
      <c r="D178" s="37"/>
      <c r="E178" s="37"/>
      <c r="K178" s="48"/>
    </row>
    <row r="179">
      <c r="A179" s="37"/>
      <c r="B179" s="37"/>
      <c r="C179" s="37"/>
      <c r="D179" s="37"/>
      <c r="E179" s="37"/>
      <c r="K179" s="48"/>
    </row>
    <row r="180">
      <c r="A180" s="37"/>
      <c r="B180" s="37"/>
      <c r="C180" s="37"/>
      <c r="D180" s="37"/>
      <c r="E180" s="37"/>
      <c r="K180" s="48"/>
    </row>
    <row r="181">
      <c r="A181" s="37"/>
      <c r="B181" s="37"/>
      <c r="C181" s="37"/>
      <c r="D181" s="37"/>
      <c r="E181" s="37"/>
      <c r="K181" s="48"/>
    </row>
    <row r="182">
      <c r="A182" s="37"/>
      <c r="B182" s="37"/>
      <c r="C182" s="37"/>
      <c r="D182" s="37"/>
      <c r="E182" s="37"/>
      <c r="K182" s="48"/>
    </row>
    <row r="183">
      <c r="A183" s="37"/>
      <c r="B183" s="37"/>
      <c r="C183" s="37"/>
      <c r="D183" s="37"/>
      <c r="E183" s="37"/>
      <c r="K183" s="48"/>
    </row>
    <row r="184">
      <c r="A184" s="37"/>
      <c r="B184" s="37"/>
      <c r="C184" s="37"/>
      <c r="D184" s="37"/>
      <c r="E184" s="37"/>
      <c r="K184" s="48"/>
    </row>
    <row r="185">
      <c r="A185" s="37"/>
      <c r="B185" s="37"/>
      <c r="C185" s="37"/>
      <c r="D185" s="37"/>
      <c r="E185" s="37"/>
      <c r="K185" s="48"/>
    </row>
    <row r="186">
      <c r="A186" s="37"/>
      <c r="B186" s="37"/>
      <c r="C186" s="37"/>
      <c r="D186" s="37"/>
      <c r="E186" s="37"/>
      <c r="K186" s="48"/>
    </row>
    <row r="187">
      <c r="A187" s="37"/>
      <c r="B187" s="37"/>
      <c r="C187" s="37"/>
      <c r="D187" s="37"/>
      <c r="E187" s="37"/>
      <c r="K187" s="48"/>
    </row>
    <row r="188">
      <c r="A188" s="37"/>
      <c r="B188" s="37"/>
      <c r="C188" s="37"/>
      <c r="D188" s="37"/>
      <c r="E188" s="37"/>
      <c r="K188" s="48"/>
    </row>
    <row r="189">
      <c r="A189" s="37"/>
      <c r="B189" s="37"/>
      <c r="C189" s="37"/>
      <c r="D189" s="37"/>
      <c r="E189" s="37"/>
      <c r="K189" s="48"/>
    </row>
    <row r="190">
      <c r="A190" s="37"/>
      <c r="B190" s="37"/>
      <c r="C190" s="37"/>
      <c r="D190" s="37"/>
      <c r="E190" s="37"/>
      <c r="K190" s="48"/>
    </row>
    <row r="191">
      <c r="A191" s="37"/>
      <c r="B191" s="37"/>
      <c r="C191" s="37"/>
      <c r="D191" s="37"/>
      <c r="E191" s="37"/>
      <c r="K191" s="48"/>
    </row>
    <row r="192">
      <c r="A192" s="37"/>
      <c r="B192" s="37"/>
      <c r="C192" s="37"/>
      <c r="D192" s="37"/>
      <c r="E192" s="37"/>
      <c r="K192" s="48"/>
    </row>
    <row r="193">
      <c r="A193" s="37"/>
      <c r="B193" s="37"/>
      <c r="C193" s="37"/>
      <c r="D193" s="37"/>
      <c r="E193" s="37"/>
      <c r="K193" s="48"/>
    </row>
    <row r="194">
      <c r="A194" s="37"/>
      <c r="B194" s="37"/>
      <c r="C194" s="37"/>
      <c r="D194" s="37"/>
      <c r="E194" s="37"/>
      <c r="K194" s="48"/>
    </row>
    <row r="195">
      <c r="A195" s="37"/>
      <c r="B195" s="37"/>
      <c r="C195" s="37"/>
      <c r="D195" s="37"/>
      <c r="E195" s="37"/>
      <c r="K195" s="48"/>
    </row>
    <row r="196">
      <c r="A196" s="37"/>
      <c r="B196" s="37"/>
      <c r="C196" s="37"/>
      <c r="D196" s="37"/>
      <c r="E196" s="37"/>
      <c r="K196" s="48"/>
    </row>
    <row r="197">
      <c r="A197" s="37"/>
      <c r="B197" s="37"/>
      <c r="C197" s="37"/>
      <c r="D197" s="37"/>
      <c r="E197" s="37"/>
      <c r="K197" s="48"/>
    </row>
    <row r="198">
      <c r="A198" s="37"/>
      <c r="B198" s="37"/>
      <c r="C198" s="37"/>
      <c r="D198" s="37"/>
      <c r="E198" s="37"/>
      <c r="K198" s="48"/>
    </row>
    <row r="199">
      <c r="A199" s="37"/>
      <c r="B199" s="37"/>
      <c r="C199" s="37"/>
      <c r="D199" s="37"/>
      <c r="E199" s="37"/>
      <c r="K199" s="48"/>
    </row>
    <row r="200">
      <c r="A200" s="37"/>
      <c r="B200" s="37"/>
      <c r="C200" s="37"/>
      <c r="D200" s="37"/>
      <c r="E200" s="37"/>
      <c r="K200" s="48"/>
    </row>
    <row r="201">
      <c r="A201" s="37"/>
      <c r="B201" s="37"/>
      <c r="C201" s="37"/>
      <c r="D201" s="37"/>
      <c r="E201" s="37"/>
      <c r="K201" s="48"/>
    </row>
    <row r="202">
      <c r="A202" s="37"/>
      <c r="B202" s="37"/>
      <c r="C202" s="37"/>
      <c r="D202" s="37"/>
      <c r="E202" s="37"/>
      <c r="K202" s="48"/>
    </row>
    <row r="203">
      <c r="A203" s="37"/>
      <c r="B203" s="37"/>
      <c r="C203" s="37"/>
      <c r="D203" s="37"/>
      <c r="E203" s="37"/>
      <c r="K203" s="48"/>
    </row>
    <row r="204">
      <c r="A204" s="37"/>
      <c r="B204" s="37"/>
      <c r="C204" s="37"/>
      <c r="D204" s="37"/>
      <c r="E204" s="37"/>
      <c r="K204" s="48"/>
    </row>
    <row r="205">
      <c r="A205" s="37"/>
      <c r="B205" s="37"/>
      <c r="C205" s="37"/>
      <c r="D205" s="37"/>
      <c r="E205" s="37"/>
      <c r="K205" s="48"/>
    </row>
    <row r="206">
      <c r="A206" s="37"/>
      <c r="B206" s="37"/>
      <c r="C206" s="37"/>
      <c r="D206" s="37"/>
      <c r="E206" s="37"/>
      <c r="K206" s="48"/>
    </row>
    <row r="207">
      <c r="A207" s="37"/>
      <c r="B207" s="37"/>
      <c r="C207" s="37"/>
      <c r="D207" s="37"/>
      <c r="E207" s="37"/>
      <c r="K207" s="48"/>
    </row>
    <row r="208">
      <c r="A208" s="37"/>
      <c r="B208" s="37"/>
      <c r="C208" s="37"/>
      <c r="D208" s="37"/>
      <c r="E208" s="37"/>
      <c r="K208" s="48"/>
    </row>
    <row r="209">
      <c r="A209" s="37"/>
      <c r="B209" s="37"/>
      <c r="C209" s="37"/>
      <c r="D209" s="37"/>
      <c r="E209" s="37"/>
      <c r="K209" s="48"/>
    </row>
    <row r="210">
      <c r="A210" s="37"/>
      <c r="B210" s="37"/>
      <c r="C210" s="37"/>
      <c r="D210" s="37"/>
      <c r="E210" s="37"/>
      <c r="K210" s="48"/>
    </row>
    <row r="211">
      <c r="A211" s="37"/>
      <c r="B211" s="37"/>
      <c r="C211" s="37"/>
      <c r="D211" s="37"/>
      <c r="E211" s="37"/>
      <c r="K211" s="48"/>
    </row>
    <row r="212">
      <c r="A212" s="37"/>
      <c r="B212" s="37"/>
      <c r="C212" s="37"/>
      <c r="D212" s="37"/>
      <c r="E212" s="37"/>
      <c r="K212" s="48"/>
    </row>
    <row r="213">
      <c r="A213" s="37"/>
      <c r="B213" s="37"/>
      <c r="C213" s="37"/>
      <c r="D213" s="37"/>
      <c r="E213" s="37"/>
      <c r="K213" s="48"/>
    </row>
    <row r="214">
      <c r="A214" s="37"/>
      <c r="B214" s="37"/>
      <c r="C214" s="37"/>
      <c r="D214" s="37"/>
      <c r="E214" s="37"/>
      <c r="K214" s="48"/>
    </row>
    <row r="215">
      <c r="A215" s="37"/>
      <c r="B215" s="37"/>
      <c r="C215" s="37"/>
      <c r="D215" s="37"/>
      <c r="E215" s="37"/>
      <c r="K215" s="48"/>
    </row>
    <row r="216">
      <c r="A216" s="37"/>
      <c r="B216" s="37"/>
      <c r="C216" s="37"/>
      <c r="D216" s="37"/>
      <c r="E216" s="37"/>
      <c r="K216" s="48"/>
    </row>
    <row r="217">
      <c r="A217" s="37"/>
      <c r="B217" s="37"/>
      <c r="C217" s="37"/>
      <c r="D217" s="37"/>
      <c r="E217" s="37"/>
      <c r="K217" s="48"/>
    </row>
    <row r="218">
      <c r="A218" s="37"/>
      <c r="B218" s="37"/>
      <c r="C218" s="37"/>
      <c r="D218" s="37"/>
      <c r="E218" s="37"/>
      <c r="K218" s="48"/>
    </row>
    <row r="219">
      <c r="A219" s="37"/>
      <c r="B219" s="37"/>
      <c r="C219" s="37"/>
      <c r="D219" s="37"/>
      <c r="E219" s="37"/>
      <c r="K219" s="48"/>
    </row>
    <row r="220">
      <c r="A220" s="37"/>
      <c r="B220" s="37"/>
      <c r="C220" s="37"/>
      <c r="D220" s="37"/>
      <c r="E220" s="37"/>
      <c r="K220" s="48"/>
    </row>
    <row r="221">
      <c r="A221" s="37"/>
      <c r="B221" s="37"/>
      <c r="C221" s="37"/>
      <c r="D221" s="37"/>
      <c r="E221" s="37"/>
      <c r="K221" s="48"/>
    </row>
    <row r="222">
      <c r="A222" s="37"/>
      <c r="B222" s="37"/>
      <c r="C222" s="37"/>
      <c r="D222" s="37"/>
      <c r="E222" s="37"/>
      <c r="K222" s="48"/>
    </row>
    <row r="223">
      <c r="A223" s="37"/>
      <c r="B223" s="37"/>
      <c r="C223" s="37"/>
      <c r="D223" s="37"/>
      <c r="E223" s="37"/>
      <c r="K223" s="48"/>
    </row>
    <row r="224">
      <c r="A224" s="37"/>
      <c r="B224" s="37"/>
      <c r="C224" s="37"/>
      <c r="D224" s="37"/>
      <c r="E224" s="37"/>
      <c r="K224" s="48"/>
    </row>
    <row r="225">
      <c r="A225" s="37"/>
      <c r="B225" s="37"/>
      <c r="C225" s="37"/>
      <c r="D225" s="37"/>
      <c r="E225" s="37"/>
      <c r="K225" s="48"/>
    </row>
    <row r="226">
      <c r="A226" s="37"/>
      <c r="B226" s="37"/>
      <c r="C226" s="37"/>
      <c r="D226" s="37"/>
      <c r="E226" s="37"/>
      <c r="K226" s="48"/>
    </row>
    <row r="227">
      <c r="A227" s="37"/>
      <c r="B227" s="37"/>
      <c r="C227" s="37"/>
      <c r="D227" s="37"/>
      <c r="E227" s="37"/>
      <c r="K227" s="48"/>
    </row>
    <row r="228">
      <c r="A228" s="37"/>
      <c r="B228" s="37"/>
      <c r="C228" s="37"/>
      <c r="D228" s="37"/>
      <c r="E228" s="37"/>
      <c r="K228" s="48"/>
    </row>
    <row r="229">
      <c r="A229" s="37"/>
      <c r="B229" s="37"/>
      <c r="C229" s="37"/>
      <c r="D229" s="37"/>
      <c r="E229" s="37"/>
      <c r="K229" s="48"/>
    </row>
    <row r="230">
      <c r="A230" s="37"/>
      <c r="B230" s="37"/>
      <c r="C230" s="37"/>
      <c r="D230" s="37"/>
      <c r="E230" s="37"/>
      <c r="K230" s="48"/>
    </row>
    <row r="231">
      <c r="A231" s="37"/>
      <c r="B231" s="37"/>
      <c r="C231" s="37"/>
      <c r="D231" s="37"/>
      <c r="E231" s="37"/>
      <c r="K231" s="48"/>
    </row>
    <row r="232">
      <c r="A232" s="37"/>
      <c r="B232" s="37"/>
      <c r="C232" s="37"/>
      <c r="D232" s="37"/>
      <c r="E232" s="37"/>
      <c r="K232" s="48"/>
    </row>
    <row r="233">
      <c r="A233" s="37"/>
      <c r="B233" s="37"/>
      <c r="C233" s="37"/>
      <c r="D233" s="37"/>
      <c r="E233" s="37"/>
      <c r="K233" s="48"/>
    </row>
    <row r="234">
      <c r="A234" s="37"/>
      <c r="B234" s="37"/>
      <c r="C234" s="37"/>
      <c r="D234" s="37"/>
      <c r="E234" s="37"/>
      <c r="K234" s="48"/>
    </row>
    <row r="235">
      <c r="A235" s="37"/>
      <c r="B235" s="37"/>
      <c r="C235" s="37"/>
      <c r="D235" s="37"/>
      <c r="E235" s="37"/>
      <c r="K235" s="48"/>
    </row>
    <row r="236">
      <c r="A236" s="37"/>
      <c r="B236" s="37"/>
      <c r="C236" s="37"/>
      <c r="D236" s="37"/>
      <c r="E236" s="37"/>
      <c r="K236" s="48"/>
    </row>
    <row r="237">
      <c r="A237" s="37"/>
      <c r="B237" s="37"/>
      <c r="C237" s="37"/>
      <c r="D237" s="37"/>
      <c r="E237" s="37"/>
      <c r="K237" s="48"/>
    </row>
    <row r="238">
      <c r="A238" s="37"/>
      <c r="B238" s="37"/>
      <c r="C238" s="37"/>
      <c r="D238" s="37"/>
      <c r="E238" s="37"/>
      <c r="K238" s="48"/>
    </row>
    <row r="239">
      <c r="A239" s="37"/>
      <c r="B239" s="37"/>
      <c r="C239" s="37"/>
      <c r="D239" s="37"/>
      <c r="E239" s="37"/>
      <c r="K239" s="48"/>
    </row>
    <row r="240">
      <c r="A240" s="37"/>
      <c r="B240" s="37"/>
      <c r="C240" s="37"/>
      <c r="D240" s="37"/>
      <c r="E240" s="37"/>
      <c r="K240" s="48"/>
    </row>
    <row r="241">
      <c r="A241" s="37"/>
      <c r="B241" s="37"/>
      <c r="C241" s="37"/>
      <c r="D241" s="37"/>
      <c r="E241" s="37"/>
      <c r="K241" s="48"/>
    </row>
    <row r="242">
      <c r="A242" s="37"/>
      <c r="B242" s="37"/>
      <c r="C242" s="37"/>
      <c r="D242" s="37"/>
      <c r="E242" s="37"/>
      <c r="K242" s="48"/>
    </row>
    <row r="243">
      <c r="A243" s="37"/>
      <c r="B243" s="37"/>
      <c r="C243" s="37"/>
      <c r="D243" s="37"/>
      <c r="E243" s="37"/>
      <c r="K243" s="48"/>
    </row>
    <row r="244">
      <c r="A244" s="37"/>
      <c r="B244" s="37"/>
      <c r="C244" s="37"/>
      <c r="D244" s="37"/>
      <c r="E244" s="37"/>
      <c r="K244" s="48"/>
    </row>
    <row r="245">
      <c r="A245" s="37"/>
      <c r="B245" s="37"/>
      <c r="C245" s="37"/>
      <c r="D245" s="37"/>
      <c r="E245" s="37"/>
      <c r="K245" s="48"/>
    </row>
    <row r="246">
      <c r="A246" s="37"/>
      <c r="B246" s="37"/>
      <c r="C246" s="37"/>
      <c r="D246" s="37"/>
      <c r="E246" s="37"/>
      <c r="K246" s="48"/>
    </row>
    <row r="247">
      <c r="A247" s="37"/>
      <c r="B247" s="37"/>
      <c r="C247" s="37"/>
      <c r="D247" s="37"/>
      <c r="E247" s="37"/>
      <c r="K247" s="48"/>
    </row>
    <row r="248">
      <c r="A248" s="37"/>
      <c r="B248" s="37"/>
      <c r="C248" s="37"/>
      <c r="D248" s="37"/>
      <c r="E248" s="37"/>
      <c r="K248" s="48"/>
    </row>
    <row r="249">
      <c r="A249" s="37"/>
      <c r="B249" s="37"/>
      <c r="C249" s="37"/>
      <c r="D249" s="37"/>
      <c r="E249" s="37"/>
      <c r="K249" s="48"/>
    </row>
    <row r="250">
      <c r="A250" s="37"/>
      <c r="B250" s="37"/>
      <c r="C250" s="37"/>
      <c r="D250" s="37"/>
      <c r="E250" s="37"/>
      <c r="K250" s="48"/>
    </row>
    <row r="251">
      <c r="A251" s="37"/>
      <c r="B251" s="37"/>
      <c r="C251" s="37"/>
      <c r="D251" s="37"/>
      <c r="E251" s="37"/>
      <c r="K251" s="48"/>
    </row>
    <row r="252">
      <c r="A252" s="37"/>
      <c r="B252" s="37"/>
      <c r="C252" s="37"/>
      <c r="D252" s="37"/>
      <c r="E252" s="37"/>
      <c r="K252" s="48"/>
    </row>
    <row r="253">
      <c r="A253" s="37"/>
      <c r="B253" s="37"/>
      <c r="C253" s="37"/>
      <c r="D253" s="37"/>
      <c r="E253" s="37"/>
      <c r="K253" s="48"/>
    </row>
    <row r="254">
      <c r="A254" s="37"/>
      <c r="B254" s="37"/>
      <c r="C254" s="37"/>
      <c r="D254" s="37"/>
      <c r="E254" s="37"/>
      <c r="K254" s="48"/>
    </row>
    <row r="255">
      <c r="A255" s="37"/>
      <c r="B255" s="37"/>
      <c r="C255" s="37"/>
      <c r="D255" s="37"/>
      <c r="E255" s="37"/>
      <c r="K255" s="48"/>
    </row>
    <row r="256">
      <c r="A256" s="37"/>
      <c r="B256" s="37"/>
      <c r="C256" s="37"/>
      <c r="D256" s="37"/>
      <c r="E256" s="37"/>
      <c r="K256" s="48"/>
    </row>
    <row r="257">
      <c r="A257" s="37"/>
      <c r="B257" s="37"/>
      <c r="C257" s="37"/>
      <c r="D257" s="37"/>
      <c r="E257" s="37"/>
      <c r="K257" s="48"/>
    </row>
    <row r="258">
      <c r="A258" s="37"/>
      <c r="B258" s="37"/>
      <c r="C258" s="37"/>
      <c r="D258" s="37"/>
      <c r="E258" s="37"/>
      <c r="K258" s="48"/>
    </row>
    <row r="259">
      <c r="A259" s="37"/>
      <c r="B259" s="37"/>
      <c r="C259" s="37"/>
      <c r="D259" s="37"/>
      <c r="E259" s="37"/>
      <c r="K259" s="48"/>
    </row>
    <row r="260">
      <c r="A260" s="37"/>
      <c r="B260" s="37"/>
      <c r="C260" s="37"/>
      <c r="D260" s="37"/>
      <c r="E260" s="37"/>
      <c r="K260" s="48"/>
    </row>
    <row r="261">
      <c r="A261" s="37"/>
      <c r="B261" s="37"/>
      <c r="C261" s="37"/>
      <c r="D261" s="37"/>
      <c r="E261" s="37"/>
      <c r="K261" s="48"/>
    </row>
    <row r="262">
      <c r="A262" s="37"/>
      <c r="B262" s="37"/>
      <c r="C262" s="37"/>
      <c r="D262" s="37"/>
      <c r="E262" s="37"/>
      <c r="K262" s="48"/>
    </row>
    <row r="263">
      <c r="A263" s="37"/>
      <c r="B263" s="37"/>
      <c r="C263" s="37"/>
      <c r="D263" s="37"/>
      <c r="E263" s="37"/>
      <c r="K263" s="48"/>
    </row>
    <row r="264">
      <c r="A264" s="37"/>
      <c r="B264" s="37"/>
      <c r="C264" s="37"/>
      <c r="D264" s="37"/>
      <c r="E264" s="37"/>
      <c r="K264" s="48"/>
    </row>
    <row r="265">
      <c r="A265" s="37"/>
      <c r="B265" s="37"/>
      <c r="C265" s="37"/>
      <c r="D265" s="37"/>
      <c r="E265" s="37"/>
      <c r="K265" s="48"/>
    </row>
    <row r="266">
      <c r="A266" s="37"/>
      <c r="B266" s="37"/>
      <c r="C266" s="37"/>
      <c r="D266" s="37"/>
      <c r="E266" s="37"/>
      <c r="K266" s="48"/>
    </row>
    <row r="267">
      <c r="A267" s="37"/>
      <c r="B267" s="37"/>
      <c r="C267" s="37"/>
      <c r="D267" s="37"/>
      <c r="E267" s="37"/>
      <c r="K267" s="48"/>
    </row>
    <row r="268">
      <c r="A268" s="37"/>
      <c r="B268" s="37"/>
      <c r="C268" s="37"/>
      <c r="D268" s="37"/>
      <c r="E268" s="37"/>
      <c r="K268" s="48"/>
    </row>
    <row r="269">
      <c r="A269" s="37"/>
      <c r="B269" s="37"/>
      <c r="C269" s="37"/>
      <c r="D269" s="37"/>
      <c r="E269" s="37"/>
      <c r="K269" s="48"/>
    </row>
    <row r="270">
      <c r="A270" s="37"/>
      <c r="B270" s="37"/>
      <c r="C270" s="37"/>
      <c r="D270" s="37"/>
      <c r="E270" s="37"/>
      <c r="K270" s="48"/>
    </row>
    <row r="271">
      <c r="A271" s="37"/>
      <c r="B271" s="37"/>
      <c r="C271" s="37"/>
      <c r="D271" s="37"/>
      <c r="E271" s="37"/>
      <c r="K271" s="48"/>
    </row>
    <row r="272">
      <c r="A272" s="37"/>
      <c r="B272" s="37"/>
      <c r="C272" s="37"/>
      <c r="D272" s="37"/>
      <c r="E272" s="37"/>
      <c r="K272" s="48"/>
    </row>
    <row r="273">
      <c r="A273" s="37"/>
      <c r="B273" s="37"/>
      <c r="C273" s="37"/>
      <c r="D273" s="37"/>
      <c r="E273" s="37"/>
      <c r="K273" s="48"/>
    </row>
    <row r="274">
      <c r="A274" s="37"/>
      <c r="B274" s="37"/>
      <c r="C274" s="37"/>
      <c r="D274" s="37"/>
      <c r="E274" s="37"/>
      <c r="K274" s="48"/>
    </row>
    <row r="275">
      <c r="A275" s="37"/>
      <c r="B275" s="37"/>
      <c r="C275" s="37"/>
      <c r="D275" s="37"/>
      <c r="E275" s="37"/>
      <c r="K275" s="48"/>
    </row>
    <row r="276">
      <c r="A276" s="37"/>
      <c r="B276" s="37"/>
      <c r="C276" s="37"/>
      <c r="D276" s="37"/>
      <c r="E276" s="37"/>
      <c r="K276" s="48"/>
    </row>
    <row r="277">
      <c r="A277" s="37"/>
      <c r="B277" s="37"/>
      <c r="C277" s="37"/>
      <c r="D277" s="37"/>
      <c r="E277" s="37"/>
      <c r="K277" s="48"/>
    </row>
    <row r="278">
      <c r="A278" s="37"/>
      <c r="B278" s="37"/>
      <c r="C278" s="37"/>
      <c r="D278" s="37"/>
      <c r="E278" s="37"/>
      <c r="K278" s="48"/>
    </row>
    <row r="279">
      <c r="A279" s="37"/>
      <c r="B279" s="37"/>
      <c r="C279" s="37"/>
      <c r="D279" s="37"/>
      <c r="E279" s="37"/>
      <c r="K279" s="48"/>
    </row>
    <row r="280">
      <c r="A280" s="37"/>
      <c r="B280" s="37"/>
      <c r="C280" s="37"/>
      <c r="D280" s="37"/>
      <c r="E280" s="37"/>
      <c r="K280" s="48"/>
    </row>
    <row r="281">
      <c r="A281" s="37"/>
      <c r="B281" s="37"/>
      <c r="C281" s="37"/>
      <c r="D281" s="37"/>
      <c r="E281" s="37"/>
      <c r="K281" s="48"/>
    </row>
    <row r="282">
      <c r="A282" s="37"/>
      <c r="B282" s="37"/>
      <c r="C282" s="37"/>
      <c r="D282" s="37"/>
      <c r="E282" s="37"/>
      <c r="K282" s="48"/>
    </row>
    <row r="283">
      <c r="A283" s="37"/>
      <c r="B283" s="37"/>
      <c r="C283" s="37"/>
      <c r="D283" s="37"/>
      <c r="E283" s="37"/>
      <c r="K283" s="48"/>
    </row>
    <row r="284">
      <c r="A284" s="37"/>
      <c r="B284" s="37"/>
      <c r="C284" s="37"/>
      <c r="D284" s="37"/>
      <c r="E284" s="37"/>
      <c r="K284" s="48"/>
    </row>
    <row r="285">
      <c r="A285" s="37"/>
      <c r="B285" s="37"/>
      <c r="C285" s="37"/>
      <c r="D285" s="37"/>
      <c r="E285" s="37"/>
      <c r="K285" s="48"/>
    </row>
    <row r="286">
      <c r="A286" s="37"/>
      <c r="B286" s="37"/>
      <c r="C286" s="37"/>
      <c r="D286" s="37"/>
      <c r="E286" s="37"/>
      <c r="K286" s="48"/>
    </row>
    <row r="287">
      <c r="A287" s="37"/>
      <c r="B287" s="37"/>
      <c r="C287" s="37"/>
      <c r="D287" s="37"/>
      <c r="E287" s="37"/>
      <c r="K287" s="48"/>
    </row>
    <row r="288">
      <c r="A288" s="37"/>
      <c r="B288" s="37"/>
      <c r="C288" s="37"/>
      <c r="D288" s="37"/>
      <c r="E288" s="37"/>
      <c r="K288" s="48"/>
    </row>
    <row r="289">
      <c r="A289" s="37"/>
      <c r="B289" s="37"/>
      <c r="C289" s="37"/>
      <c r="D289" s="37"/>
      <c r="E289" s="37"/>
      <c r="K289" s="48"/>
    </row>
    <row r="290">
      <c r="A290" s="37"/>
      <c r="B290" s="37"/>
      <c r="C290" s="37"/>
      <c r="D290" s="37"/>
      <c r="E290" s="37"/>
      <c r="K290" s="48"/>
    </row>
    <row r="291">
      <c r="A291" s="37"/>
      <c r="B291" s="37"/>
      <c r="C291" s="37"/>
      <c r="D291" s="37"/>
      <c r="E291" s="37"/>
      <c r="K291" s="48"/>
    </row>
    <row r="292">
      <c r="A292" s="37"/>
      <c r="B292" s="37"/>
      <c r="C292" s="37"/>
      <c r="D292" s="37"/>
      <c r="E292" s="37"/>
      <c r="K292" s="48"/>
    </row>
    <row r="293">
      <c r="A293" s="37"/>
      <c r="B293" s="37"/>
      <c r="C293" s="37"/>
      <c r="D293" s="37"/>
      <c r="E293" s="37"/>
      <c r="K293" s="48"/>
    </row>
    <row r="294">
      <c r="A294" s="37"/>
      <c r="B294" s="37"/>
      <c r="C294" s="37"/>
      <c r="D294" s="37"/>
      <c r="E294" s="37"/>
      <c r="K294" s="48"/>
    </row>
    <row r="295">
      <c r="A295" s="37"/>
      <c r="B295" s="37"/>
      <c r="C295" s="37"/>
      <c r="D295" s="37"/>
      <c r="E295" s="37"/>
      <c r="K295" s="48"/>
    </row>
    <row r="296">
      <c r="A296" s="37"/>
      <c r="B296" s="37"/>
      <c r="C296" s="37"/>
      <c r="D296" s="37"/>
      <c r="E296" s="37"/>
      <c r="K296" s="48"/>
    </row>
    <row r="297">
      <c r="A297" s="37"/>
      <c r="B297" s="37"/>
      <c r="C297" s="37"/>
      <c r="D297" s="37"/>
      <c r="E297" s="37"/>
      <c r="K297" s="48"/>
    </row>
    <row r="298">
      <c r="A298" s="37"/>
      <c r="B298" s="37"/>
      <c r="C298" s="37"/>
      <c r="D298" s="37"/>
      <c r="E298" s="37"/>
      <c r="K298" s="48"/>
    </row>
    <row r="299">
      <c r="A299" s="37"/>
      <c r="B299" s="37"/>
      <c r="C299" s="37"/>
      <c r="D299" s="37"/>
      <c r="E299" s="37"/>
      <c r="K299" s="48"/>
    </row>
    <row r="300">
      <c r="A300" s="37"/>
      <c r="B300" s="37"/>
      <c r="C300" s="37"/>
      <c r="D300" s="37"/>
      <c r="E300" s="37"/>
      <c r="K300" s="48"/>
    </row>
    <row r="301">
      <c r="A301" s="37"/>
      <c r="B301" s="37"/>
      <c r="C301" s="37"/>
      <c r="D301" s="37"/>
      <c r="E301" s="37"/>
      <c r="K301" s="48"/>
    </row>
    <row r="302">
      <c r="A302" s="37"/>
      <c r="B302" s="37"/>
      <c r="C302" s="37"/>
      <c r="D302" s="37"/>
      <c r="E302" s="37"/>
      <c r="K302" s="48"/>
    </row>
    <row r="303">
      <c r="A303" s="37"/>
      <c r="B303" s="37"/>
      <c r="C303" s="37"/>
      <c r="D303" s="37"/>
      <c r="E303" s="37"/>
      <c r="K303" s="48"/>
    </row>
    <row r="304">
      <c r="A304" s="37"/>
      <c r="B304" s="37"/>
      <c r="C304" s="37"/>
      <c r="D304" s="37"/>
      <c r="E304" s="37"/>
      <c r="K304" s="48"/>
    </row>
    <row r="305">
      <c r="A305" s="37"/>
      <c r="B305" s="37"/>
      <c r="C305" s="37"/>
      <c r="D305" s="37"/>
      <c r="E305" s="37"/>
      <c r="K305" s="48"/>
    </row>
    <row r="306">
      <c r="A306" s="37"/>
      <c r="B306" s="37"/>
      <c r="C306" s="37"/>
      <c r="D306" s="37"/>
      <c r="E306" s="37"/>
      <c r="K306" s="48"/>
    </row>
    <row r="307">
      <c r="A307" s="37"/>
      <c r="B307" s="37"/>
      <c r="C307" s="37"/>
      <c r="D307" s="37"/>
      <c r="E307" s="37"/>
      <c r="K307" s="48"/>
    </row>
    <row r="308">
      <c r="A308" s="37"/>
      <c r="B308" s="37"/>
      <c r="C308" s="37"/>
      <c r="D308" s="37"/>
      <c r="E308" s="37"/>
      <c r="K308" s="48"/>
    </row>
    <row r="309">
      <c r="A309" s="37"/>
      <c r="B309" s="37"/>
      <c r="C309" s="37"/>
      <c r="D309" s="37"/>
      <c r="E309" s="37"/>
      <c r="K309" s="48"/>
    </row>
    <row r="310">
      <c r="A310" s="37"/>
      <c r="B310" s="37"/>
      <c r="C310" s="37"/>
      <c r="D310" s="37"/>
      <c r="E310" s="37"/>
      <c r="K310" s="48"/>
    </row>
    <row r="311">
      <c r="A311" s="37"/>
      <c r="B311" s="37"/>
      <c r="C311" s="37"/>
      <c r="D311" s="37"/>
      <c r="E311" s="37"/>
      <c r="K311" s="48"/>
    </row>
    <row r="312">
      <c r="A312" s="37"/>
      <c r="B312" s="37"/>
      <c r="C312" s="37"/>
      <c r="D312" s="37"/>
      <c r="E312" s="37"/>
      <c r="K312" s="48"/>
    </row>
    <row r="313">
      <c r="A313" s="37"/>
      <c r="B313" s="37"/>
      <c r="C313" s="37"/>
      <c r="D313" s="37"/>
      <c r="E313" s="37"/>
      <c r="K313" s="48"/>
    </row>
    <row r="314">
      <c r="A314" s="37"/>
      <c r="B314" s="37"/>
      <c r="C314" s="37"/>
      <c r="D314" s="37"/>
      <c r="E314" s="37"/>
      <c r="K314" s="48"/>
    </row>
    <row r="315">
      <c r="A315" s="37"/>
      <c r="B315" s="37"/>
      <c r="C315" s="37"/>
      <c r="D315" s="37"/>
      <c r="E315" s="37"/>
      <c r="K315" s="48"/>
    </row>
    <row r="316">
      <c r="A316" s="37"/>
      <c r="B316" s="37"/>
      <c r="C316" s="37"/>
      <c r="D316" s="37"/>
      <c r="E316" s="37"/>
      <c r="K316" s="48"/>
    </row>
    <row r="317">
      <c r="A317" s="37"/>
      <c r="B317" s="37"/>
      <c r="C317" s="37"/>
      <c r="D317" s="37"/>
      <c r="E317" s="37"/>
      <c r="K317" s="48"/>
    </row>
    <row r="318">
      <c r="A318" s="37"/>
      <c r="B318" s="37"/>
      <c r="C318" s="37"/>
      <c r="D318" s="37"/>
      <c r="E318" s="37"/>
      <c r="K318" s="48"/>
    </row>
    <row r="319">
      <c r="A319" s="37"/>
      <c r="B319" s="37"/>
      <c r="C319" s="37"/>
      <c r="D319" s="37"/>
      <c r="E319" s="37"/>
      <c r="K319" s="48"/>
    </row>
    <row r="320">
      <c r="A320" s="37"/>
      <c r="B320" s="37"/>
      <c r="C320" s="37"/>
      <c r="D320" s="37"/>
      <c r="E320" s="37"/>
      <c r="K320" s="48"/>
    </row>
    <row r="321">
      <c r="A321" s="37"/>
      <c r="B321" s="37"/>
      <c r="C321" s="37"/>
      <c r="D321" s="37"/>
      <c r="E321" s="37"/>
      <c r="K321" s="48"/>
    </row>
    <row r="322">
      <c r="A322" s="37"/>
      <c r="B322" s="37"/>
      <c r="C322" s="37"/>
      <c r="D322" s="37"/>
      <c r="E322" s="37"/>
      <c r="K322" s="48"/>
    </row>
    <row r="323">
      <c r="A323" s="37"/>
      <c r="B323" s="37"/>
      <c r="C323" s="37"/>
      <c r="D323" s="37"/>
      <c r="E323" s="37"/>
      <c r="K323" s="48"/>
    </row>
    <row r="324">
      <c r="A324" s="37"/>
      <c r="B324" s="37"/>
      <c r="C324" s="37"/>
      <c r="D324" s="37"/>
      <c r="E324" s="37"/>
      <c r="K324" s="48"/>
    </row>
    <row r="325">
      <c r="A325" s="37"/>
      <c r="B325" s="37"/>
      <c r="C325" s="37"/>
      <c r="D325" s="37"/>
      <c r="E325" s="37"/>
      <c r="K325" s="48"/>
    </row>
    <row r="326">
      <c r="A326" s="37"/>
      <c r="B326" s="37"/>
      <c r="C326" s="37"/>
      <c r="D326" s="37"/>
      <c r="E326" s="37"/>
      <c r="K326" s="48"/>
    </row>
    <row r="327">
      <c r="A327" s="37"/>
      <c r="B327" s="37"/>
      <c r="C327" s="37"/>
      <c r="D327" s="37"/>
      <c r="E327" s="37"/>
      <c r="K327" s="48"/>
    </row>
    <row r="328">
      <c r="A328" s="37"/>
      <c r="B328" s="37"/>
      <c r="C328" s="37"/>
      <c r="D328" s="37"/>
      <c r="E328" s="37"/>
      <c r="K328" s="48"/>
    </row>
    <row r="329">
      <c r="A329" s="37"/>
      <c r="B329" s="37"/>
      <c r="C329" s="37"/>
      <c r="D329" s="37"/>
      <c r="E329" s="37"/>
      <c r="K329" s="48"/>
    </row>
    <row r="330">
      <c r="A330" s="37"/>
      <c r="B330" s="37"/>
      <c r="C330" s="37"/>
      <c r="D330" s="37"/>
      <c r="E330" s="37"/>
      <c r="K330" s="48"/>
    </row>
    <row r="331">
      <c r="A331" s="37"/>
      <c r="B331" s="37"/>
      <c r="C331" s="37"/>
      <c r="D331" s="37"/>
      <c r="E331" s="37"/>
      <c r="K331" s="48"/>
    </row>
    <row r="332">
      <c r="A332" s="37"/>
      <c r="B332" s="37"/>
      <c r="C332" s="37"/>
      <c r="D332" s="37"/>
      <c r="E332" s="37"/>
      <c r="K332" s="48"/>
    </row>
    <row r="333">
      <c r="A333" s="37"/>
      <c r="B333" s="37"/>
      <c r="C333" s="37"/>
      <c r="D333" s="37"/>
      <c r="E333" s="37"/>
      <c r="K333" s="48"/>
    </row>
    <row r="334">
      <c r="A334" s="37"/>
      <c r="B334" s="37"/>
      <c r="C334" s="37"/>
      <c r="D334" s="37"/>
      <c r="E334" s="37"/>
      <c r="K334" s="48"/>
    </row>
    <row r="335">
      <c r="A335" s="37"/>
      <c r="B335" s="37"/>
      <c r="C335" s="37"/>
      <c r="D335" s="37"/>
      <c r="E335" s="37"/>
      <c r="K335" s="48"/>
    </row>
    <row r="336">
      <c r="A336" s="37"/>
      <c r="B336" s="37"/>
      <c r="C336" s="37"/>
      <c r="D336" s="37"/>
      <c r="E336" s="37"/>
      <c r="K336" s="48"/>
    </row>
    <row r="337">
      <c r="A337" s="37"/>
      <c r="B337" s="37"/>
      <c r="C337" s="37"/>
      <c r="D337" s="37"/>
      <c r="E337" s="37"/>
      <c r="K337" s="48"/>
    </row>
    <row r="338">
      <c r="A338" s="37"/>
      <c r="B338" s="37"/>
      <c r="C338" s="37"/>
      <c r="D338" s="37"/>
      <c r="E338" s="37"/>
      <c r="K338" s="48"/>
    </row>
    <row r="339">
      <c r="A339" s="37"/>
      <c r="B339" s="37"/>
      <c r="C339" s="37"/>
      <c r="D339" s="37"/>
      <c r="E339" s="37"/>
      <c r="K339" s="48"/>
    </row>
    <row r="340">
      <c r="A340" s="37"/>
      <c r="B340" s="37"/>
      <c r="C340" s="37"/>
      <c r="D340" s="37"/>
      <c r="E340" s="37"/>
      <c r="K340" s="48"/>
    </row>
    <row r="341">
      <c r="A341" s="37"/>
      <c r="B341" s="37"/>
      <c r="C341" s="37"/>
      <c r="D341" s="37"/>
      <c r="E341" s="37"/>
      <c r="K341" s="48"/>
    </row>
    <row r="342">
      <c r="A342" s="37"/>
      <c r="B342" s="37"/>
      <c r="C342" s="37"/>
      <c r="D342" s="37"/>
      <c r="E342" s="37"/>
      <c r="K342" s="48"/>
    </row>
    <row r="343">
      <c r="A343" s="37"/>
      <c r="B343" s="37"/>
      <c r="C343" s="37"/>
      <c r="D343" s="37"/>
      <c r="E343" s="37"/>
      <c r="K343" s="48"/>
    </row>
    <row r="344">
      <c r="A344" s="37"/>
      <c r="B344" s="37"/>
      <c r="C344" s="37"/>
      <c r="D344" s="37"/>
      <c r="E344" s="37"/>
      <c r="K344" s="48"/>
    </row>
    <row r="345">
      <c r="A345" s="37"/>
      <c r="B345" s="37"/>
      <c r="C345" s="37"/>
      <c r="D345" s="37"/>
      <c r="E345" s="37"/>
      <c r="K345" s="48"/>
    </row>
    <row r="346">
      <c r="A346" s="37"/>
      <c r="B346" s="37"/>
      <c r="C346" s="37"/>
      <c r="D346" s="37"/>
      <c r="E346" s="37"/>
      <c r="K346" s="48"/>
    </row>
    <row r="347">
      <c r="A347" s="37"/>
      <c r="B347" s="37"/>
      <c r="C347" s="37"/>
      <c r="D347" s="37"/>
      <c r="E347" s="37"/>
      <c r="K347" s="48"/>
    </row>
    <row r="348">
      <c r="A348" s="37"/>
      <c r="B348" s="37"/>
      <c r="C348" s="37"/>
      <c r="D348" s="37"/>
      <c r="E348" s="37"/>
      <c r="K348" s="48"/>
    </row>
    <row r="349">
      <c r="A349" s="37"/>
      <c r="B349" s="37"/>
      <c r="C349" s="37"/>
      <c r="D349" s="37"/>
      <c r="E349" s="37"/>
      <c r="K349" s="48"/>
    </row>
    <row r="350">
      <c r="A350" s="37"/>
      <c r="B350" s="37"/>
      <c r="C350" s="37"/>
      <c r="D350" s="37"/>
      <c r="E350" s="37"/>
      <c r="K350" s="48"/>
    </row>
    <row r="351">
      <c r="A351" s="37"/>
      <c r="B351" s="37"/>
      <c r="C351" s="37"/>
      <c r="D351" s="37"/>
      <c r="E351" s="37"/>
      <c r="K351" s="48"/>
    </row>
    <row r="352">
      <c r="A352" s="37"/>
      <c r="B352" s="37"/>
      <c r="C352" s="37"/>
      <c r="D352" s="37"/>
      <c r="E352" s="37"/>
      <c r="K352" s="48"/>
    </row>
    <row r="353">
      <c r="A353" s="37"/>
      <c r="B353" s="37"/>
      <c r="C353" s="37"/>
      <c r="D353" s="37"/>
      <c r="E353" s="37"/>
      <c r="K353" s="48"/>
    </row>
    <row r="354">
      <c r="A354" s="37"/>
      <c r="B354" s="37"/>
      <c r="C354" s="37"/>
      <c r="D354" s="37"/>
      <c r="E354" s="37"/>
      <c r="K354" s="48"/>
    </row>
    <row r="355">
      <c r="A355" s="37"/>
      <c r="B355" s="37"/>
      <c r="C355" s="37"/>
      <c r="D355" s="37"/>
      <c r="E355" s="37"/>
      <c r="K355" s="48"/>
    </row>
    <row r="356">
      <c r="A356" s="37"/>
      <c r="B356" s="37"/>
      <c r="C356" s="37"/>
      <c r="D356" s="37"/>
      <c r="E356" s="37"/>
      <c r="K356" s="48"/>
    </row>
    <row r="357">
      <c r="A357" s="37"/>
      <c r="B357" s="37"/>
      <c r="C357" s="37"/>
      <c r="D357" s="37"/>
      <c r="E357" s="37"/>
      <c r="K357" s="48"/>
    </row>
    <row r="358">
      <c r="A358" s="37"/>
      <c r="B358" s="37"/>
      <c r="C358" s="37"/>
      <c r="D358" s="37"/>
      <c r="E358" s="37"/>
      <c r="K358" s="48"/>
    </row>
    <row r="359">
      <c r="A359" s="37"/>
      <c r="B359" s="37"/>
      <c r="C359" s="37"/>
      <c r="D359" s="37"/>
      <c r="E359" s="37"/>
      <c r="K359" s="48"/>
    </row>
    <row r="360">
      <c r="A360" s="37"/>
      <c r="B360" s="37"/>
      <c r="C360" s="37"/>
      <c r="D360" s="37"/>
      <c r="E360" s="37"/>
      <c r="K360" s="48"/>
    </row>
    <row r="361">
      <c r="A361" s="37"/>
      <c r="B361" s="37"/>
      <c r="C361" s="37"/>
      <c r="D361" s="37"/>
      <c r="E361" s="37"/>
      <c r="K361" s="48"/>
    </row>
    <row r="362">
      <c r="A362" s="37"/>
      <c r="B362" s="37"/>
      <c r="C362" s="37"/>
      <c r="D362" s="37"/>
      <c r="E362" s="37"/>
      <c r="K362" s="48"/>
    </row>
    <row r="363">
      <c r="A363" s="37"/>
      <c r="B363" s="37"/>
      <c r="C363" s="37"/>
      <c r="D363" s="37"/>
      <c r="E363" s="37"/>
      <c r="K363" s="48"/>
    </row>
    <row r="364">
      <c r="A364" s="37"/>
      <c r="B364" s="37"/>
      <c r="C364" s="37"/>
      <c r="D364" s="37"/>
      <c r="E364" s="37"/>
      <c r="K364" s="48"/>
    </row>
    <row r="365">
      <c r="A365" s="37"/>
      <c r="B365" s="37"/>
      <c r="C365" s="37"/>
      <c r="D365" s="37"/>
      <c r="E365" s="37"/>
      <c r="K365" s="48"/>
    </row>
    <row r="366">
      <c r="A366" s="37"/>
      <c r="B366" s="37"/>
      <c r="C366" s="37"/>
      <c r="D366" s="37"/>
      <c r="E366" s="37"/>
      <c r="K366" s="48"/>
    </row>
    <row r="367">
      <c r="A367" s="37"/>
      <c r="B367" s="37"/>
      <c r="C367" s="37"/>
      <c r="D367" s="37"/>
      <c r="E367" s="37"/>
      <c r="K367" s="48"/>
    </row>
    <row r="368">
      <c r="A368" s="37"/>
      <c r="B368" s="37"/>
      <c r="C368" s="37"/>
      <c r="D368" s="37"/>
      <c r="E368" s="37"/>
      <c r="K368" s="48"/>
    </row>
    <row r="369">
      <c r="A369" s="37"/>
      <c r="B369" s="37"/>
      <c r="C369" s="37"/>
      <c r="D369" s="37"/>
      <c r="E369" s="37"/>
      <c r="K369" s="48"/>
    </row>
    <row r="370">
      <c r="A370" s="37"/>
      <c r="B370" s="37"/>
      <c r="C370" s="37"/>
      <c r="D370" s="37"/>
      <c r="E370" s="37"/>
      <c r="K370" s="48"/>
    </row>
    <row r="371">
      <c r="A371" s="37"/>
      <c r="B371" s="37"/>
      <c r="C371" s="37"/>
      <c r="D371" s="37"/>
      <c r="E371" s="37"/>
      <c r="K371" s="48"/>
    </row>
    <row r="372">
      <c r="A372" s="37"/>
      <c r="B372" s="37"/>
      <c r="C372" s="37"/>
      <c r="D372" s="37"/>
      <c r="E372" s="37"/>
      <c r="K372" s="48"/>
    </row>
    <row r="373">
      <c r="A373" s="37"/>
      <c r="B373" s="37"/>
      <c r="C373" s="37"/>
      <c r="D373" s="37"/>
      <c r="E373" s="37"/>
      <c r="K373" s="48"/>
    </row>
    <row r="374">
      <c r="A374" s="37"/>
      <c r="B374" s="37"/>
      <c r="C374" s="37"/>
      <c r="D374" s="37"/>
      <c r="E374" s="37"/>
      <c r="K374" s="48"/>
    </row>
    <row r="375">
      <c r="A375" s="37"/>
      <c r="B375" s="37"/>
      <c r="C375" s="37"/>
      <c r="D375" s="37"/>
      <c r="E375" s="37"/>
      <c r="K375" s="48"/>
    </row>
    <row r="376">
      <c r="A376" s="37"/>
      <c r="B376" s="37"/>
      <c r="C376" s="37"/>
      <c r="D376" s="37"/>
      <c r="E376" s="37"/>
      <c r="K376" s="48"/>
    </row>
    <row r="377">
      <c r="A377" s="37"/>
      <c r="B377" s="37"/>
      <c r="C377" s="37"/>
      <c r="D377" s="37"/>
      <c r="E377" s="37"/>
      <c r="K377" s="48"/>
    </row>
    <row r="378">
      <c r="A378" s="37"/>
      <c r="B378" s="37"/>
      <c r="C378" s="37"/>
      <c r="D378" s="37"/>
      <c r="E378" s="37"/>
      <c r="K378" s="48"/>
    </row>
    <row r="379">
      <c r="A379" s="37"/>
      <c r="B379" s="37"/>
      <c r="C379" s="37"/>
      <c r="D379" s="37"/>
      <c r="E379" s="37"/>
      <c r="K379" s="48"/>
    </row>
    <row r="380">
      <c r="A380" s="37"/>
      <c r="B380" s="37"/>
      <c r="C380" s="37"/>
      <c r="D380" s="37"/>
      <c r="E380" s="37"/>
      <c r="K380" s="48"/>
    </row>
    <row r="381">
      <c r="A381" s="37"/>
      <c r="B381" s="37"/>
      <c r="C381" s="37"/>
      <c r="D381" s="37"/>
      <c r="E381" s="37"/>
      <c r="K381" s="48"/>
    </row>
    <row r="382">
      <c r="A382" s="37"/>
      <c r="B382" s="37"/>
      <c r="C382" s="37"/>
      <c r="D382" s="37"/>
      <c r="E382" s="37"/>
      <c r="K382" s="48"/>
    </row>
    <row r="383">
      <c r="A383" s="37"/>
      <c r="B383" s="37"/>
      <c r="C383" s="37"/>
      <c r="D383" s="37"/>
      <c r="E383" s="37"/>
      <c r="K383" s="48"/>
    </row>
    <row r="384">
      <c r="A384" s="37"/>
      <c r="B384" s="37"/>
      <c r="C384" s="37"/>
      <c r="D384" s="37"/>
      <c r="E384" s="37"/>
      <c r="K384" s="48"/>
    </row>
    <row r="385">
      <c r="A385" s="37"/>
      <c r="B385" s="37"/>
      <c r="C385" s="37"/>
      <c r="D385" s="37"/>
      <c r="E385" s="37"/>
      <c r="K385" s="48"/>
    </row>
    <row r="386">
      <c r="A386" s="37"/>
      <c r="B386" s="37"/>
      <c r="C386" s="37"/>
      <c r="D386" s="37"/>
      <c r="E386" s="37"/>
      <c r="K386" s="48"/>
    </row>
    <row r="387">
      <c r="A387" s="37"/>
      <c r="B387" s="37"/>
      <c r="C387" s="37"/>
      <c r="D387" s="37"/>
      <c r="E387" s="37"/>
      <c r="K387" s="48"/>
    </row>
    <row r="388">
      <c r="A388" s="37"/>
      <c r="B388" s="37"/>
      <c r="C388" s="37"/>
      <c r="D388" s="37"/>
      <c r="E388" s="37"/>
      <c r="K388" s="48"/>
    </row>
    <row r="389">
      <c r="A389" s="37"/>
      <c r="B389" s="37"/>
      <c r="C389" s="37"/>
      <c r="D389" s="37"/>
      <c r="E389" s="37"/>
      <c r="K389" s="48"/>
    </row>
    <row r="390">
      <c r="A390" s="37"/>
      <c r="B390" s="37"/>
      <c r="C390" s="37"/>
      <c r="D390" s="37"/>
      <c r="E390" s="37"/>
      <c r="K390" s="48"/>
    </row>
    <row r="391">
      <c r="A391" s="37"/>
      <c r="B391" s="37"/>
      <c r="C391" s="37"/>
      <c r="D391" s="37"/>
      <c r="E391" s="37"/>
      <c r="K391" s="48"/>
    </row>
    <row r="392">
      <c r="A392" s="37"/>
      <c r="B392" s="37"/>
      <c r="C392" s="37"/>
      <c r="D392" s="37"/>
      <c r="E392" s="37"/>
      <c r="K392" s="48"/>
    </row>
    <row r="393">
      <c r="A393" s="37"/>
      <c r="B393" s="37"/>
      <c r="C393" s="37"/>
      <c r="D393" s="37"/>
      <c r="E393" s="37"/>
      <c r="K393" s="48"/>
    </row>
    <row r="394">
      <c r="A394" s="37"/>
      <c r="B394" s="37"/>
      <c r="C394" s="37"/>
      <c r="D394" s="37"/>
      <c r="E394" s="37"/>
      <c r="K394" s="48"/>
    </row>
    <row r="395">
      <c r="A395" s="37"/>
      <c r="B395" s="37"/>
      <c r="C395" s="37"/>
      <c r="D395" s="37"/>
      <c r="E395" s="37"/>
      <c r="K395" s="48"/>
    </row>
    <row r="396">
      <c r="A396" s="37"/>
      <c r="B396" s="37"/>
      <c r="C396" s="37"/>
      <c r="D396" s="37"/>
      <c r="E396" s="37"/>
      <c r="K396" s="48"/>
    </row>
    <row r="397">
      <c r="A397" s="37"/>
      <c r="B397" s="37"/>
      <c r="C397" s="37"/>
      <c r="D397" s="37"/>
      <c r="E397" s="37"/>
      <c r="K397" s="48"/>
    </row>
    <row r="398">
      <c r="A398" s="37"/>
      <c r="B398" s="37"/>
      <c r="C398" s="37"/>
      <c r="D398" s="37"/>
      <c r="E398" s="37"/>
      <c r="K398" s="48"/>
    </row>
    <row r="399">
      <c r="A399" s="37"/>
      <c r="B399" s="37"/>
      <c r="C399" s="37"/>
      <c r="D399" s="37"/>
      <c r="E399" s="37"/>
      <c r="K399" s="48"/>
    </row>
    <row r="400">
      <c r="A400" s="37"/>
      <c r="B400" s="37"/>
      <c r="C400" s="37"/>
      <c r="D400" s="37"/>
      <c r="E400" s="37"/>
      <c r="K400" s="48"/>
    </row>
    <row r="401">
      <c r="A401" s="37"/>
      <c r="B401" s="37"/>
      <c r="C401" s="37"/>
      <c r="D401" s="37"/>
      <c r="E401" s="37"/>
      <c r="K401" s="48"/>
    </row>
    <row r="402">
      <c r="A402" s="37"/>
      <c r="B402" s="37"/>
      <c r="C402" s="37"/>
      <c r="D402" s="37"/>
      <c r="E402" s="37"/>
      <c r="K402" s="48"/>
    </row>
    <row r="403">
      <c r="A403" s="37"/>
      <c r="B403" s="37"/>
      <c r="C403" s="37"/>
      <c r="D403" s="37"/>
      <c r="E403" s="37"/>
      <c r="K403" s="48"/>
    </row>
    <row r="404">
      <c r="A404" s="37"/>
      <c r="B404" s="37"/>
      <c r="C404" s="37"/>
      <c r="D404" s="37"/>
      <c r="E404" s="37"/>
      <c r="K404" s="48"/>
    </row>
    <row r="405">
      <c r="A405" s="37"/>
      <c r="B405" s="37"/>
      <c r="C405" s="37"/>
      <c r="D405" s="37"/>
      <c r="E405" s="37"/>
      <c r="K405" s="48"/>
    </row>
    <row r="406">
      <c r="A406" s="37"/>
      <c r="B406" s="37"/>
      <c r="C406" s="37"/>
      <c r="D406" s="37"/>
      <c r="E406" s="37"/>
      <c r="K406" s="48"/>
    </row>
    <row r="407">
      <c r="A407" s="37"/>
      <c r="B407" s="37"/>
      <c r="C407" s="37"/>
      <c r="D407" s="37"/>
      <c r="E407" s="37"/>
      <c r="K407" s="48"/>
    </row>
    <row r="408">
      <c r="A408" s="37"/>
      <c r="B408" s="37"/>
      <c r="C408" s="37"/>
      <c r="D408" s="37"/>
      <c r="E408" s="37"/>
      <c r="K408" s="48"/>
    </row>
    <row r="409">
      <c r="A409" s="37"/>
      <c r="B409" s="37"/>
      <c r="C409" s="37"/>
      <c r="D409" s="37"/>
      <c r="E409" s="37"/>
      <c r="K409" s="48"/>
    </row>
    <row r="410">
      <c r="A410" s="37"/>
      <c r="B410" s="37"/>
      <c r="C410" s="37"/>
      <c r="D410" s="37"/>
      <c r="E410" s="37"/>
      <c r="K410" s="48"/>
    </row>
    <row r="411">
      <c r="A411" s="37"/>
      <c r="B411" s="37"/>
      <c r="C411" s="37"/>
      <c r="D411" s="37"/>
      <c r="E411" s="37"/>
      <c r="K411" s="48"/>
    </row>
    <row r="412">
      <c r="A412" s="37"/>
      <c r="B412" s="37"/>
      <c r="C412" s="37"/>
      <c r="D412" s="37"/>
      <c r="E412" s="37"/>
      <c r="K412" s="48"/>
    </row>
    <row r="413">
      <c r="A413" s="37"/>
      <c r="B413" s="37"/>
      <c r="C413" s="37"/>
      <c r="D413" s="37"/>
      <c r="E413" s="37"/>
      <c r="K413" s="48"/>
    </row>
    <row r="414">
      <c r="A414" s="37"/>
      <c r="B414" s="37"/>
      <c r="C414" s="37"/>
      <c r="D414" s="37"/>
      <c r="E414" s="37"/>
      <c r="K414" s="4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row r="1010">
      <c r="A1010" s="37"/>
      <c r="B1010" s="37"/>
      <c r="C1010" s="37"/>
      <c r="D1010" s="37"/>
      <c r="E1010" s="37"/>
      <c r="K1010" s="48"/>
    </row>
    <row r="1011">
      <c r="A1011" s="37"/>
      <c r="B1011" s="37"/>
      <c r="C1011" s="37"/>
      <c r="D1011" s="37"/>
      <c r="E1011" s="37"/>
      <c r="K1011" s="48"/>
    </row>
    <row r="1012">
      <c r="A1012" s="37"/>
      <c r="B1012" s="37"/>
      <c r="C1012" s="37"/>
      <c r="D1012" s="37"/>
      <c r="E1012" s="37"/>
      <c r="K1012" s="48"/>
    </row>
    <row r="1013">
      <c r="A1013" s="37"/>
      <c r="B1013" s="37"/>
      <c r="C1013" s="37"/>
      <c r="D1013" s="37"/>
      <c r="E1013" s="37"/>
      <c r="K1013" s="48"/>
    </row>
    <row r="1014">
      <c r="A1014" s="37"/>
      <c r="B1014" s="37"/>
      <c r="C1014" s="37"/>
      <c r="D1014" s="37"/>
      <c r="E1014" s="37"/>
      <c r="K1014" s="48"/>
    </row>
    <row r="1015">
      <c r="A1015" s="37"/>
      <c r="B1015" s="37"/>
      <c r="C1015" s="37"/>
      <c r="D1015" s="37"/>
      <c r="E1015" s="37"/>
      <c r="K1015" s="48"/>
    </row>
    <row r="1016">
      <c r="A1016" s="37"/>
      <c r="B1016" s="37"/>
      <c r="C1016" s="37"/>
      <c r="D1016" s="37"/>
      <c r="E1016" s="37"/>
      <c r="K1016" s="48"/>
    </row>
    <row r="1017">
      <c r="A1017" s="37"/>
      <c r="B1017" s="37"/>
      <c r="C1017" s="37"/>
      <c r="D1017" s="37"/>
      <c r="E1017" s="37"/>
      <c r="K1017" s="48"/>
    </row>
    <row r="1018">
      <c r="A1018" s="37"/>
      <c r="B1018" s="37"/>
      <c r="C1018" s="37"/>
      <c r="D1018" s="37"/>
      <c r="E1018" s="37"/>
      <c r="K1018" s="48"/>
    </row>
    <row r="1019">
      <c r="A1019" s="37"/>
      <c r="B1019" s="37"/>
      <c r="C1019" s="37"/>
      <c r="D1019" s="37"/>
      <c r="E1019" s="37"/>
      <c r="K1019" s="48"/>
    </row>
    <row r="1020">
      <c r="A1020" s="37"/>
      <c r="B1020" s="37"/>
      <c r="C1020" s="37"/>
      <c r="D1020" s="37"/>
      <c r="E1020" s="37"/>
      <c r="K1020" s="48"/>
    </row>
    <row r="1021">
      <c r="A1021" s="37"/>
      <c r="B1021" s="37"/>
      <c r="C1021" s="37"/>
      <c r="D1021" s="37"/>
      <c r="E1021" s="37"/>
      <c r="K1021" s="48"/>
    </row>
    <row r="1022">
      <c r="A1022" s="37"/>
      <c r="B1022" s="37"/>
      <c r="C1022" s="37"/>
      <c r="D1022" s="37"/>
      <c r="E1022" s="37"/>
      <c r="K1022" s="48"/>
    </row>
    <row r="1023">
      <c r="A1023" s="37"/>
      <c r="B1023" s="37"/>
      <c r="C1023" s="37"/>
      <c r="D1023" s="37"/>
      <c r="E1023" s="37"/>
      <c r="K1023" s="48"/>
    </row>
    <row r="1024">
      <c r="A1024" s="37"/>
      <c r="B1024" s="37"/>
      <c r="C1024" s="37"/>
      <c r="D1024" s="37"/>
      <c r="E1024" s="37"/>
      <c r="K1024" s="48"/>
    </row>
    <row r="1025">
      <c r="A1025" s="37"/>
      <c r="B1025" s="37"/>
      <c r="C1025" s="37"/>
      <c r="D1025" s="37"/>
      <c r="E1025" s="37"/>
      <c r="K1025" s="48"/>
    </row>
  </sheetData>
  <mergeCells count="14">
    <mergeCell ref="G35:G57"/>
    <mergeCell ref="G58:G63"/>
    <mergeCell ref="G64:G68"/>
    <mergeCell ref="G69:G70"/>
    <mergeCell ref="G72:G85"/>
    <mergeCell ref="G86:G87"/>
    <mergeCell ref="G88:G90"/>
    <mergeCell ref="G3:G18"/>
    <mergeCell ref="A4:B4"/>
    <mergeCell ref="C4:D4"/>
    <mergeCell ref="A5:B5"/>
    <mergeCell ref="C5:D5"/>
    <mergeCell ref="G19:G34"/>
    <mergeCell ref="A21:D25"/>
  </mergeCells>
  <dataValidations>
    <dataValidation type="list" allowBlank="1" showErrorMessage="1" sqref="B26">
      <formula1>"MINH THUẬN,CẨM NHIÊN"</formula1>
    </dataValidation>
    <dataValidation type="list" allowBlank="1" showErrorMessage="1" sqref="O3:O90">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7.5"/>
    <col customWidth="1" min="3" max="3" width="13.0"/>
    <col customWidth="1" min="4" max="4" width="14.13"/>
    <col customWidth="1" min="5" max="5" width="11.0"/>
    <col customWidth="1" min="6" max="6" width="11.13"/>
    <col customWidth="1" min="7" max="7" width="18.5"/>
    <col customWidth="1" min="8" max="8" width="28.38"/>
    <col customWidth="1" min="9" max="9" width="26.88"/>
    <col customWidth="1" min="10" max="10" width="30.13"/>
    <col customWidth="1" min="11" max="11" width="32.63"/>
    <col customWidth="1" min="12" max="12" width="23.75"/>
    <col customWidth="1" min="13" max="13" width="25.25"/>
    <col customWidth="1" min="14" max="14" width="17.75"/>
    <col customWidth="1" min="16" max="16" width="16.13"/>
    <col customWidth="1" min="32" max="37" width="88.25"/>
  </cols>
  <sheetData>
    <row r="1">
      <c r="A1" s="2"/>
      <c r="B1" s="2"/>
      <c r="C1" s="2"/>
      <c r="D1" s="2"/>
      <c r="E1" s="3"/>
      <c r="F1" s="4"/>
      <c r="G1" s="4"/>
      <c r="H1" s="4"/>
      <c r="I1" s="4"/>
      <c r="J1" s="4"/>
      <c r="K1" s="4"/>
      <c r="L1" s="4"/>
      <c r="M1" s="4"/>
      <c r="N1" s="4"/>
      <c r="O1" s="4"/>
      <c r="P1" s="4"/>
      <c r="Q1" s="5"/>
      <c r="R1" s="5"/>
      <c r="S1" s="5"/>
      <c r="T1" s="5"/>
      <c r="U1" s="5"/>
      <c r="V1" s="5"/>
      <c r="W1" s="5"/>
      <c r="X1" s="5"/>
      <c r="Y1" s="5"/>
      <c r="Z1" s="5"/>
      <c r="AA1" s="5"/>
      <c r="AB1" s="5"/>
      <c r="AC1" s="5"/>
      <c r="AD1" s="5"/>
      <c r="AE1" s="5"/>
      <c r="AF1" s="5"/>
      <c r="AG1" s="5"/>
      <c r="AH1" s="5"/>
      <c r="AI1" s="5"/>
      <c r="AJ1" s="5"/>
      <c r="AK1" s="5"/>
      <c r="AL1" s="5"/>
      <c r="AM1" s="5"/>
    </row>
    <row r="2">
      <c r="A2" s="6" t="s">
        <v>0</v>
      </c>
      <c r="B2" s="7" t="s">
        <v>1</v>
      </c>
      <c r="C2" s="7" t="s">
        <v>2</v>
      </c>
      <c r="D2" s="7" t="s">
        <v>3</v>
      </c>
      <c r="E2" s="8"/>
      <c r="F2" s="9" t="s">
        <v>4</v>
      </c>
      <c r="G2" s="9" t="s">
        <v>5</v>
      </c>
      <c r="H2" s="9" t="s">
        <v>6</v>
      </c>
      <c r="I2" s="9" t="s">
        <v>7</v>
      </c>
      <c r="J2" s="9"/>
      <c r="K2" s="9" t="s">
        <v>8</v>
      </c>
      <c r="L2" s="9" t="s">
        <v>9</v>
      </c>
      <c r="M2" s="9" t="s">
        <v>10</v>
      </c>
      <c r="N2" s="9" t="s">
        <v>11</v>
      </c>
      <c r="O2" s="9" t="s">
        <v>12</v>
      </c>
      <c r="P2" s="9" t="s">
        <v>13</v>
      </c>
    </row>
    <row r="3">
      <c r="A3" s="10">
        <f>COUNTA(F:F)-1</f>
        <v>382</v>
      </c>
      <c r="B3" s="11">
        <f>COUNTIF(O:O,"Pass")</f>
        <v>46</v>
      </c>
      <c r="C3" s="11">
        <f>COUNTIF(O:O,"Fail")</f>
        <v>31</v>
      </c>
      <c r="D3" s="11">
        <f>COUNTIF(O:O,"Untest")</f>
        <v>0</v>
      </c>
      <c r="E3" s="8"/>
      <c r="F3" s="12" t="s">
        <v>2321</v>
      </c>
      <c r="G3" s="55" t="s">
        <v>15</v>
      </c>
      <c r="H3" s="12" t="s">
        <v>1612</v>
      </c>
      <c r="I3" s="12" t="s">
        <v>2322</v>
      </c>
      <c r="J3" s="12" t="s">
        <v>2323</v>
      </c>
      <c r="K3" s="13" t="str">
        <f>IFERROR(__xludf.DUMMYFUNCTION("IF(ISBLANK(J3), ""Input test step"", ARRAYFORMULA(TEXTJOIN(CHAR(10), TRUE, (""Step ""&amp; ROW(INDIRECT(""1:"" &amp; COUNTA(SPLIT(J3, CHAR(10))))) &amp; "": "" &amp; TRANSPOSE(SPLIT(J3, CHAR(10)))))))"),"Step 1: Đăng nhập vào tài khoản
Step 2: Chọn tab Cá nhân 
Step 3: Chọn Đơn hàng --&gt; xem tất cả
Step 4: Quan sát màn hình Lịch sử đơn hàng")</f>
        <v>Step 1: Đăng nhập vào tài khoản
Step 2: Chọn tab Cá nhân 
Step 3: Chọn Đơn hàng --&gt; xem tất cả
Step 4: Quan sát màn hình Lịch sử đơn hàng</v>
      </c>
      <c r="L3" s="14"/>
      <c r="M3" s="12" t="s">
        <v>1807</v>
      </c>
      <c r="N3" s="12" t="s">
        <v>2324</v>
      </c>
      <c r="O3" s="12" t="s">
        <v>2</v>
      </c>
      <c r="P3" s="12"/>
    </row>
    <row r="4">
      <c r="A4" s="58"/>
      <c r="B4" s="59"/>
      <c r="C4" s="60"/>
      <c r="D4" s="60"/>
      <c r="E4" s="18"/>
      <c r="F4" s="12" t="s">
        <v>2325</v>
      </c>
      <c r="G4" s="57"/>
      <c r="H4" s="45" t="s">
        <v>2326</v>
      </c>
      <c r="I4" s="12" t="s">
        <v>2322</v>
      </c>
      <c r="J4" s="12" t="s">
        <v>2327</v>
      </c>
      <c r="K4" s="13" t="str">
        <f>IFERROR(__xludf.DUMMYFUNCTION("IF(ISBLANK(J4), ""Input test step"", ARRAYFORMULA(TEXTJOIN(CHAR(10), TRUE, (""Step ""&amp; ROW(INDIRECT(""1:"" &amp; COUNTA(SPLIT(J4, CHAR(10))))) &amp; "": "" &amp; TRANSPOSE(SPLIT(J4, CHAR(10)))))))"),"Step 1: Đăng nhập vào tài khoản
Step 2: Chọn tab Cá nhân 
Step 3: Chọn Đơn hàng --&gt; xem tất cả
Step 4: Quan sát thanh trạng thái của lịch sử đơn hàng ( kiểm tra kích thước , màu sắc, cỡ chữ _")</f>
        <v>Step 1: Đăng nhập vào tài khoản
Step 2: Chọn tab Cá nhân 
Step 3: Chọn Đơn hàng --&gt; xem tất cả
Step 4: Quan sát thanh trạng thái của lịch sử đơn hàng ( kiểm tra kích thước , màu sắc, cỡ chữ _</v>
      </c>
      <c r="L4" s="14"/>
      <c r="M4" s="73" t="s">
        <v>2328</v>
      </c>
      <c r="N4" s="73" t="s">
        <v>2329</v>
      </c>
      <c r="O4" s="12" t="s">
        <v>2</v>
      </c>
      <c r="P4" s="19"/>
    </row>
    <row r="5">
      <c r="A5" s="15" t="s">
        <v>20</v>
      </c>
      <c r="B5" s="16"/>
      <c r="C5" s="17">
        <f>IFERROR(((B3+C3)/A3),0)</f>
        <v>0.2015706806</v>
      </c>
      <c r="D5" s="16"/>
      <c r="E5" s="18"/>
      <c r="F5" s="12" t="s">
        <v>2330</v>
      </c>
      <c r="G5" s="55" t="s">
        <v>2331</v>
      </c>
      <c r="H5" s="83" t="s">
        <v>2332</v>
      </c>
      <c r="I5" s="12" t="s">
        <v>2333</v>
      </c>
      <c r="J5" s="12" t="s">
        <v>2334</v>
      </c>
      <c r="K5" s="13" t="str">
        <f>IFERROR(__xludf.DUMMYFUNCTION("IF(ISBLANK(J5), ""Input test step"", ARRAYFORMULA(TEXTJOIN(CHAR(10), TRUE, (""Step ""&amp; ROW(INDIRECT(""1:"" &amp; COUNTA(SPLIT(J5, CHAR(10))))) &amp; "": "" &amp; TRANSPOSE(SPLIT(J5, CHAR(10)))))))"),"Step 1: Đăng nhập vào tài khoản
Step 2: Chọn tab Cá nhân 
Step 3: Chọn Đơn hàng --&gt; xem tất cả 
Step 4: Chọn tab "" Tất cả """)</f>
        <v>Step 1: Đăng nhập vào tài khoản
Step 2: Chọn tab Cá nhân 
Step 3: Chọn Đơn hàng --&gt; xem tất cả 
Step 4: Chọn tab " Tất cả "</v>
      </c>
      <c r="L5" s="14"/>
      <c r="M5" s="83" t="s">
        <v>2335</v>
      </c>
      <c r="N5" s="73" t="s">
        <v>2335</v>
      </c>
      <c r="O5" s="12" t="s">
        <v>1</v>
      </c>
      <c r="P5" s="19"/>
    </row>
    <row r="6">
      <c r="A6" s="15" t="s">
        <v>26</v>
      </c>
      <c r="B6" s="16"/>
      <c r="C6" s="20">
        <f>IFERROR(B3/(B3+C3),0)</f>
        <v>0.5974025974</v>
      </c>
      <c r="D6" s="16"/>
      <c r="E6" s="18"/>
      <c r="F6" s="12" t="s">
        <v>2336</v>
      </c>
      <c r="G6" s="56"/>
      <c r="H6" s="12" t="s">
        <v>2337</v>
      </c>
      <c r="I6" s="12" t="s">
        <v>2333</v>
      </c>
      <c r="J6" s="12" t="s">
        <v>2338</v>
      </c>
      <c r="K6" s="13" t="str">
        <f>IFERROR(__xludf.DUMMYFUNCTION("IF(ISBLANK(J6), ""Input test step"", ARRAYFORMULA(TEXTJOIN(CHAR(10), TRUE, (""Step ""&amp; ROW(INDIRECT(""1:"" &amp; COUNTA(SPLIT(J6, CHAR(10))))) &amp; "": "" &amp; TRANSPOSE(SPLIT(J6, CHAR(10)))))))"),"Step 1: Đăng nhập vào tài khoản
Step 2: Chọn tab Cá nhân 
Step 3: Chọn Đơn hàng --&gt; xem tất cả 
Step 4: Chọn tab "" Tất cả "" 
Step 5: Kiểm tra mã đơn hàng")</f>
        <v>Step 1: Đăng nhập vào tài khoản
Step 2: Chọn tab Cá nhân 
Step 3: Chọn Đơn hàng --&gt; xem tất cả 
Step 4: Chọn tab " Tất cả " 
Step 5: Kiểm tra mã đơn hàng</v>
      </c>
      <c r="L6" s="14"/>
      <c r="M6" s="12" t="s">
        <v>2339</v>
      </c>
      <c r="N6" s="12" t="s">
        <v>2339</v>
      </c>
      <c r="O6" s="12" t="s">
        <v>1</v>
      </c>
      <c r="P6" s="19"/>
    </row>
    <row r="7">
      <c r="A7" s="23" t="s">
        <v>2340</v>
      </c>
      <c r="D7" s="24"/>
      <c r="E7" s="18"/>
      <c r="F7" s="12" t="s">
        <v>2341</v>
      </c>
      <c r="G7" s="56"/>
      <c r="H7" s="12" t="s">
        <v>2342</v>
      </c>
      <c r="I7" s="12" t="s">
        <v>2333</v>
      </c>
      <c r="J7" s="12" t="s">
        <v>2343</v>
      </c>
      <c r="K7" s="13" t="str">
        <f>IFERROR(__xludf.DUMMYFUNCTION("IF(ISBLANK(J7), ""Input test step"", ARRAYFORMULA(TEXTJOIN(CHAR(10), TRUE, (""Step ""&amp; ROW(INDIRECT(""1:"" &amp; COUNTA(SPLIT(J7, CHAR(10))))) &amp; "": "" &amp; TRANSPOSE(SPLIT(J7, CHAR(10)))))))"),"Step 1: Đăng nhập vào tài khoản
Step 2: Chọn tab Cá nhân 
Step 3: Chọn Đơn hàng --&gt; xem tất cả 
Step 4: Chọn tab "" Tất cả "" 
Step 5: Kiểm tra thời gian đặt hàng")</f>
        <v>Step 1: Đăng nhập vào tài khoản
Step 2: Chọn tab Cá nhân 
Step 3: Chọn Đơn hàng --&gt; xem tất cả 
Step 4: Chọn tab " Tất cả " 
Step 5: Kiểm tra thời gian đặt hàng</v>
      </c>
      <c r="L7" s="14"/>
      <c r="M7" s="12" t="s">
        <v>2344</v>
      </c>
      <c r="N7" s="12" t="s">
        <v>2344</v>
      </c>
      <c r="O7" s="12" t="s">
        <v>1</v>
      </c>
      <c r="P7" s="19"/>
    </row>
    <row r="8">
      <c r="A8" s="25"/>
      <c r="D8" s="24"/>
      <c r="E8" s="18"/>
      <c r="F8" s="12" t="s">
        <v>2345</v>
      </c>
      <c r="G8" s="56"/>
      <c r="H8" s="12" t="s">
        <v>2346</v>
      </c>
      <c r="I8" s="12" t="s">
        <v>2333</v>
      </c>
      <c r="J8" s="12" t="s">
        <v>2347</v>
      </c>
      <c r="K8" s="13" t="str">
        <f>IFERROR(__xludf.DUMMYFUNCTION("IF(ISBLANK(J8), ""Input test step"", ARRAYFORMULA(TEXTJOIN(CHAR(10), TRUE, (""Step ""&amp; ROW(INDIRECT(""1:"" &amp; COUNTA(SPLIT(J8, CHAR(10))))) &amp; "": "" &amp; TRANSPOSE(SPLIT(J8, CHAR(10)))))))"),"Step 1: Đăng nhập vào tài khoản
Step 2: Chọn tab Cá nhân 
Step 3: Chọn Đơn hàng --&gt; xem tất cả 
Step 4: Chọn tab "" Tất cả "" 
Step 5: Kiểm tra tên sản phẩm")</f>
        <v>Step 1: Đăng nhập vào tài khoản
Step 2: Chọn tab Cá nhân 
Step 3: Chọn Đơn hàng --&gt; xem tất cả 
Step 4: Chọn tab " Tất cả " 
Step 5: Kiểm tra tên sản phẩm</v>
      </c>
      <c r="L8" s="14"/>
      <c r="M8" s="12" t="s">
        <v>2348</v>
      </c>
      <c r="N8" s="12" t="s">
        <v>2348</v>
      </c>
      <c r="O8" s="12" t="s">
        <v>1</v>
      </c>
      <c r="P8" s="19"/>
    </row>
    <row r="9">
      <c r="A9" s="25"/>
      <c r="D9" s="24"/>
      <c r="E9" s="18"/>
      <c r="F9" s="12" t="s">
        <v>2349</v>
      </c>
      <c r="G9" s="56"/>
      <c r="H9" s="12" t="s">
        <v>2350</v>
      </c>
      <c r="I9" s="12" t="s">
        <v>2333</v>
      </c>
      <c r="J9" s="12" t="s">
        <v>2351</v>
      </c>
      <c r="K9" s="13" t="str">
        <f>IFERROR(__xludf.DUMMYFUNCTION("IF(ISBLANK(J9), ""Input test step"", ARRAYFORMULA(TEXTJOIN(CHAR(10), TRUE, (""Step ""&amp; ROW(INDIRECT(""1:"" &amp; COUNTA(SPLIT(J9, CHAR(10))))) &amp; "": "" &amp; TRANSPOSE(SPLIT(J9, CHAR(10)))))))"),"Step 1: Đăng nhập vào tài khoản
Step 2: Chọn tab Cá nhân 
Step 3: Chọn Đơn hàng --&gt; xem tất cả 
Step 4: Chọn tab "" Tất cả "" 
Step 5: Kiểm tra số lượng")</f>
        <v>Step 1: Đăng nhập vào tài khoản
Step 2: Chọn tab Cá nhân 
Step 3: Chọn Đơn hàng --&gt; xem tất cả 
Step 4: Chọn tab " Tất cả " 
Step 5: Kiểm tra số lượng</v>
      </c>
      <c r="L9" s="14"/>
      <c r="M9" s="12" t="s">
        <v>2352</v>
      </c>
      <c r="N9" s="12" t="s">
        <v>2352</v>
      </c>
      <c r="O9" s="12" t="s">
        <v>1</v>
      </c>
      <c r="P9" s="19"/>
    </row>
    <row r="10">
      <c r="A10" s="25"/>
      <c r="D10" s="24"/>
      <c r="E10" s="18"/>
      <c r="F10" s="12" t="s">
        <v>2353</v>
      </c>
      <c r="G10" s="56"/>
      <c r="H10" s="12" t="s">
        <v>2354</v>
      </c>
      <c r="I10" s="12" t="s">
        <v>2333</v>
      </c>
      <c r="J10" s="12" t="s">
        <v>2355</v>
      </c>
      <c r="K10" s="13" t="str">
        <f>IFERROR(__xludf.DUMMYFUNCTION("IF(ISBLANK(J10), ""Input test step"", ARRAYFORMULA(TEXTJOIN(CHAR(10), TRUE, (""Step ""&amp; ROW(INDIRECT(""1:"" &amp; COUNTA(SPLIT(J10, CHAR(10))))) &amp; "": "" &amp; TRANSPOSE(SPLIT(J10, CHAR(10)))))))"),"Step 1: Đăng nhập vào tài khoản
Step 2: Chọn tab Cá nhân 
Step 3: Chọn Đơn hàng --&gt; xem tất cả 
Step 4: Chọn tab "" Tất cả "" 
Step 5: Kiểm tra giá gốc ")</f>
        <v>Step 1: Đăng nhập vào tài khoản
Step 2: Chọn tab Cá nhân 
Step 3: Chọn Đơn hàng --&gt; xem tất cả 
Step 4: Chọn tab " Tất cả " 
Step 5: Kiểm tra giá gốc </v>
      </c>
      <c r="L10" s="14"/>
      <c r="M10" s="12" t="s">
        <v>2356</v>
      </c>
      <c r="N10" s="12" t="s">
        <v>2356</v>
      </c>
      <c r="O10" s="12" t="s">
        <v>1</v>
      </c>
      <c r="P10" s="19"/>
    </row>
    <row r="11">
      <c r="A11" s="25"/>
      <c r="D11" s="24"/>
      <c r="E11" s="18"/>
      <c r="F11" s="12" t="s">
        <v>2357</v>
      </c>
      <c r="G11" s="56"/>
      <c r="H11" s="12" t="s">
        <v>2358</v>
      </c>
      <c r="I11" s="12" t="s">
        <v>2333</v>
      </c>
      <c r="J11" s="12" t="s">
        <v>2359</v>
      </c>
      <c r="K11" s="13" t="str">
        <f>IFERROR(__xludf.DUMMYFUNCTION("IF(ISBLANK(J11), ""Input test step"", ARRAYFORMULA(TEXTJOIN(CHAR(10), TRUE, (""Step ""&amp; ROW(INDIRECT(""1:"" &amp; COUNTA(SPLIT(J11, CHAR(10))))) &amp; "": "" &amp; TRANSPOSE(SPLIT(J11, CHAR(10)))))))"),"Step 1: Đăng nhập vào tài khoản
Step 2: Chọn tab Cá nhân 
Step 3: Chọn Đơn hàng --&gt; xem tất cả 
Step 4: Chọn tab "" Tất cả "" 
Step 5: Kiểm tra giá sau giảm")</f>
        <v>Step 1: Đăng nhập vào tài khoản
Step 2: Chọn tab Cá nhân 
Step 3: Chọn Đơn hàng --&gt; xem tất cả 
Step 4: Chọn tab " Tất cả " 
Step 5: Kiểm tra giá sau giảm</v>
      </c>
      <c r="L11" s="14"/>
      <c r="M11" s="12" t="s">
        <v>2360</v>
      </c>
      <c r="N11" s="12" t="s">
        <v>2361</v>
      </c>
      <c r="O11" s="12" t="s">
        <v>2</v>
      </c>
      <c r="P11" s="19"/>
    </row>
    <row r="12">
      <c r="A12" s="70"/>
      <c r="B12" s="71"/>
      <c r="C12" s="71"/>
      <c r="D12" s="16"/>
      <c r="E12" s="18"/>
      <c r="F12" s="12" t="s">
        <v>2362</v>
      </c>
      <c r="G12" s="56"/>
      <c r="H12" s="12" t="s">
        <v>2106</v>
      </c>
      <c r="I12" s="12" t="s">
        <v>2333</v>
      </c>
      <c r="J12" s="12" t="s">
        <v>2363</v>
      </c>
      <c r="K12" s="13" t="str">
        <f>IFERROR(__xludf.DUMMYFUNCTION("IF(ISBLANK(J12), ""Input test step"", ARRAYFORMULA(TEXTJOIN(CHAR(10), TRUE, (""Step ""&amp; ROW(INDIRECT(""1:"" &amp; COUNTA(SPLIT(J12, CHAR(10))))) &amp; "": "" &amp; TRANSPOSE(SPLIT(J12, CHAR(10)))))))"),"Step 1: Đăng nhập vào tài khoản
Step 2: Chọn tab Cá nhân 
Step 3: Chọn Đơn hàng --&gt; xem tất cả 
Step 4: Chọn tab "" Tất cả "" 
Step 5: Kiểm tra hình ảnh sản phẩm")</f>
        <v>Step 1: Đăng nhập vào tài khoản
Step 2: Chọn tab Cá nhân 
Step 3: Chọn Đơn hàng --&gt; xem tất cả 
Step 4: Chọn tab " Tất cả " 
Step 5: Kiểm tra hình ảnh sản phẩm</v>
      </c>
      <c r="L12" s="14"/>
      <c r="M12" s="12" t="s">
        <v>2364</v>
      </c>
      <c r="N12" s="12" t="s">
        <v>2365</v>
      </c>
      <c r="O12" s="12" t="s">
        <v>2</v>
      </c>
      <c r="P12" s="19"/>
    </row>
    <row r="13">
      <c r="A13" s="26" t="s">
        <v>46</v>
      </c>
      <c r="B13" s="27" t="s">
        <v>1650</v>
      </c>
      <c r="C13" s="35"/>
      <c r="D13" s="35"/>
      <c r="E13" s="18"/>
      <c r="F13" s="12" t="s">
        <v>2366</v>
      </c>
      <c r="G13" s="56"/>
      <c r="H13" s="88" t="s">
        <v>2367</v>
      </c>
      <c r="I13" s="63" t="s">
        <v>2333</v>
      </c>
      <c r="J13" s="43" t="s">
        <v>2368</v>
      </c>
      <c r="K13" s="89" t="str">
        <f>IFERROR(__xludf.DUMMYFUNCTION("IF(ISBLANK(J13), ""Input test step"", ARRAYFORMULA(TEXTJOIN(CHAR(10), TRUE, (""Step ""&amp; ROW(INDIRECT(""1:"" &amp; COUNTA(SPLIT(J13, CHAR(10))))) &amp; "": "" &amp; TRANSPOSE(SPLIT(J13, CHAR(10)))))))"),"Step 1: Đăng nhập vào tài khoản
Step 2: Chọn tab Cá nhân 
Step 3: Chọn Đơn hàng --&gt; xem tất cả 
Step 4: Chọn tab "" Tất cả "" 
Step 5: Kiểm tra ghi chú ")</f>
        <v>Step 1: Đăng nhập vào tài khoản
Step 2: Chọn tab Cá nhân 
Step 3: Chọn Đơn hàng --&gt; xem tất cả 
Step 4: Chọn tab " Tất cả " 
Step 5: Kiểm tra ghi chú </v>
      </c>
      <c r="L13" s="90"/>
      <c r="M13" s="91" t="s">
        <v>2369</v>
      </c>
      <c r="N13" s="91" t="s">
        <v>2369</v>
      </c>
      <c r="O13" s="12" t="s">
        <v>1</v>
      </c>
      <c r="P13" s="32"/>
    </row>
    <row r="14">
      <c r="A14" s="35"/>
      <c r="B14" s="35"/>
      <c r="C14" s="35"/>
      <c r="D14" s="35"/>
      <c r="E14" s="18"/>
      <c r="F14" s="12" t="s">
        <v>2370</v>
      </c>
      <c r="G14" s="56"/>
      <c r="H14" s="92" t="s">
        <v>2371</v>
      </c>
      <c r="I14" s="63" t="s">
        <v>2333</v>
      </c>
      <c r="J14" s="43" t="s">
        <v>2372</v>
      </c>
      <c r="K14" s="89" t="str">
        <f>IFERROR(__xludf.DUMMYFUNCTION("IF(ISBLANK(J14), ""Input test step"", ARRAYFORMULA(TEXTJOIN(CHAR(10), TRUE, (""Step ""&amp; ROW(INDIRECT(""1:"" &amp; COUNTA(SPLIT(J14, CHAR(10))))) &amp; "": "" &amp; TRANSPOSE(SPLIT(J14, CHAR(10)))))))"),"Step 1: Đăng nhập vào tài khoản
Step 2: Chọn tab Cá nhân 
Step 3: Chọn Đơn hàng --&gt; xem tất cả 
Step 4: Chọn tab "" Tất cả "" 
Step 5: Nhấn chọn vào 1 chỗ bất kì để xem chi tiết sản phẩm --&gt; kiểm tra vùng tương tác không phù hợp")</f>
        <v>Step 1: Đăng nhập vào tài khoản
Step 2: Chọn tab Cá nhân 
Step 3: Chọn Đơn hàng --&gt; xem tất cả 
Step 4: Chọn tab " Tất cả " 
Step 5: Nhấn chọn vào 1 chỗ bất kì để xem chi tiết sản phẩm --&gt; kiểm tra vùng tương tác không phù hợp</v>
      </c>
      <c r="L14" s="14" t="s">
        <v>2373</v>
      </c>
      <c r="M14" s="73" t="s">
        <v>2374</v>
      </c>
      <c r="N14" s="12" t="s">
        <v>2375</v>
      </c>
      <c r="O14" s="12" t="s">
        <v>1</v>
      </c>
      <c r="P14" s="32"/>
    </row>
    <row r="15">
      <c r="A15" s="35"/>
      <c r="B15" s="35"/>
      <c r="C15" s="35"/>
      <c r="D15" s="35"/>
      <c r="E15" s="18"/>
      <c r="F15" s="12" t="s">
        <v>2376</v>
      </c>
      <c r="G15" s="56"/>
      <c r="H15" s="93" t="s">
        <v>2377</v>
      </c>
      <c r="I15" s="63" t="s">
        <v>2333</v>
      </c>
      <c r="J15" s="43" t="s">
        <v>2378</v>
      </c>
      <c r="K15" s="89" t="str">
        <f>IFERROR(__xludf.DUMMYFUNCTION("IF(ISBLANK(J15), ""Input test step"", ARRAYFORMULA(TEXTJOIN(CHAR(10), TRUE, (""Step ""&amp; ROW(INDIRECT(""1:"" &amp; COUNTA(SPLIT(J15, CHAR(10))))) &amp; "": "" &amp; TRANSPOSE(SPLIT(J15, CHAR(10)))))))"),"Step 1: Đăng nhập vào tài khoản
Step 2: Chọn tab Cá nhân 
Step 3: Chọn Đơn hàng --&gt; xem tất cả 
Step 4: Chọn tab "" Tất cả "" 
Step 5: Kiểm tra thao tác khi loading  sản phẩm")</f>
        <v>Step 1: Đăng nhập vào tài khoản
Step 2: Chọn tab Cá nhân 
Step 3: Chọn Đơn hàng --&gt; xem tất cả 
Step 4: Chọn tab " Tất cả " 
Step 5: Kiểm tra thao tác khi loading  sản phẩm</v>
      </c>
      <c r="L15" s="14"/>
      <c r="M15" s="73" t="s">
        <v>2379</v>
      </c>
      <c r="N15" s="12"/>
      <c r="O15" s="12"/>
      <c r="P15" s="32"/>
    </row>
    <row r="16">
      <c r="A16" s="35"/>
      <c r="B16" s="35"/>
      <c r="C16" s="35"/>
      <c r="D16" s="35"/>
      <c r="E16" s="18"/>
      <c r="F16" s="12" t="s">
        <v>2380</v>
      </c>
      <c r="G16" s="56"/>
      <c r="H16" s="93" t="s">
        <v>2381</v>
      </c>
      <c r="I16" s="63" t="s">
        <v>2333</v>
      </c>
      <c r="J16" s="43" t="s">
        <v>2382</v>
      </c>
      <c r="K16" s="89" t="str">
        <f>IFERROR(__xludf.DUMMYFUNCTION("IF(ISBLANK(J16), ""Input test step"", ARRAYFORMULA(TEXTJOIN(CHAR(10), TRUE, (""Step ""&amp; ROW(INDIRECT(""1:"" &amp; COUNTA(SPLIT(J16, CHAR(10))))) &amp; "": "" &amp; TRANSPOSE(SPLIT(J16, CHAR(10)))))))"),"Step 1: Đăng nhập vào tài khoản
Step 2: Chọn tab Cá nhân 
Step 3: Chọn Đơn hàng --&gt; xem tất cả 
Step 4: Chọn tab "" Tất cả "" 
Step 5: Kiểm tra khoảng cách giữa các dòng với nhau")</f>
        <v>Step 1: Đăng nhập vào tài khoản
Step 2: Chọn tab Cá nhân 
Step 3: Chọn Đơn hàng --&gt; xem tất cả 
Step 4: Chọn tab " Tất cả " 
Step 5: Kiểm tra khoảng cách giữa các dòng với nhau</v>
      </c>
      <c r="L16" s="14" t="s">
        <v>2383</v>
      </c>
      <c r="M16" s="73" t="s">
        <v>2384</v>
      </c>
      <c r="N16" s="73" t="s">
        <v>2385</v>
      </c>
      <c r="O16" s="12" t="s">
        <v>2</v>
      </c>
      <c r="P16" s="32"/>
    </row>
    <row r="17">
      <c r="A17" s="35"/>
      <c r="B17" s="35"/>
      <c r="C17" s="35"/>
      <c r="D17" s="35"/>
      <c r="E17" s="18"/>
      <c r="F17" s="12" t="s">
        <v>2386</v>
      </c>
      <c r="G17" s="56"/>
      <c r="H17" s="94" t="s">
        <v>2387</v>
      </c>
      <c r="I17" s="12" t="s">
        <v>2333</v>
      </c>
      <c r="J17" s="12" t="s">
        <v>2388</v>
      </c>
      <c r="K17" s="13" t="str">
        <f>IFERROR(__xludf.DUMMYFUNCTION("IF(ISBLANK(J17), ""Input test step"", ARRAYFORMULA(TEXTJOIN(CHAR(10), TRUE, (""Step ""&amp; ROW(INDIRECT(""1:"" &amp; COUNTA(SPLIT(J17, CHAR(10))))) &amp; "": "" &amp; TRANSPOSE(SPLIT(J17, CHAR(10)))))))"),"Step 1: Đăng nhập vào tài khoản
Step 2: Chọn tab Cá nhân 
Step 3: Chọn Đơn hàng --&gt; xem tất cả 
Step 4: Chọn tab "" Chờ xác nhận """)</f>
        <v>Step 1: Đăng nhập vào tài khoản
Step 2: Chọn tab Cá nhân 
Step 3: Chọn Đơn hàng --&gt; xem tất cả 
Step 4: Chọn tab " Chờ xác nhận "</v>
      </c>
      <c r="L17" s="14"/>
      <c r="M17" s="52" t="s">
        <v>2389</v>
      </c>
      <c r="N17" s="73" t="s">
        <v>2389</v>
      </c>
      <c r="O17" s="12" t="s">
        <v>1</v>
      </c>
      <c r="P17" s="32"/>
    </row>
    <row r="18">
      <c r="A18" s="35"/>
      <c r="B18" s="35"/>
      <c r="C18" s="35"/>
      <c r="D18" s="35"/>
      <c r="E18" s="18"/>
      <c r="F18" s="12" t="s">
        <v>2390</v>
      </c>
      <c r="G18" s="56"/>
      <c r="H18" s="12" t="s">
        <v>2337</v>
      </c>
      <c r="I18" s="12" t="s">
        <v>2333</v>
      </c>
      <c r="J18" s="12" t="s">
        <v>2391</v>
      </c>
      <c r="K18" s="13" t="str">
        <f>IFERROR(__xludf.DUMMYFUNCTION("IF(ISBLANK(J18), ""Input test step"", ARRAYFORMULA(TEXTJOIN(CHAR(10), TRUE, (""Step ""&amp; ROW(INDIRECT(""1:"" &amp; COUNTA(SPLIT(J18, CHAR(10))))) &amp; "": "" &amp; TRANSPOSE(SPLIT(J18, CHAR(10)))))))"),"Step 1: Đăng nhập vào tài khoản
Step 2: Chọn tab Cá nhân 
Step 3: Chọn Đơn hàng --&gt; xem tất cả 
Step 4: Chọn tab "" Chờ xác nhận "" 
Step 5: Kiểm tra mã đơn hàng")</f>
        <v>Step 1: Đăng nhập vào tài khoản
Step 2: Chọn tab Cá nhân 
Step 3: Chọn Đơn hàng --&gt; xem tất cả 
Step 4: Chọn tab " Chờ xác nhận " 
Step 5: Kiểm tra mã đơn hàng</v>
      </c>
      <c r="L18" s="14"/>
      <c r="M18" s="12" t="s">
        <v>2339</v>
      </c>
      <c r="N18" s="12" t="s">
        <v>2339</v>
      </c>
      <c r="O18" s="12" t="s">
        <v>1</v>
      </c>
      <c r="P18" s="32"/>
    </row>
    <row r="19">
      <c r="A19" s="36"/>
      <c r="B19" s="36"/>
      <c r="C19" s="36"/>
      <c r="D19" s="36"/>
      <c r="E19" s="27"/>
      <c r="F19" s="12" t="s">
        <v>2392</v>
      </c>
      <c r="G19" s="56"/>
      <c r="H19" s="12" t="s">
        <v>2342</v>
      </c>
      <c r="I19" s="12" t="s">
        <v>2333</v>
      </c>
      <c r="J19" s="12" t="s">
        <v>2393</v>
      </c>
      <c r="K19" s="13" t="str">
        <f>IFERROR(__xludf.DUMMYFUNCTION("IF(ISBLANK(J19), ""Input test step"", ARRAYFORMULA(TEXTJOIN(CHAR(10), TRUE, (""Step ""&amp; ROW(INDIRECT(""1:"" &amp; COUNTA(SPLIT(J19, CHAR(10))))) &amp; "": "" &amp; TRANSPOSE(SPLIT(J19, CHAR(10)))))))"),"Step 1: Đăng nhập vào tài khoản
Step 2: Chọn tab Cá nhân 
Step 3: Chọn Đơn hàng --&gt; xem tất cả 
Step 4: Chọn tab "" Chờ xác nhận "" 
Step 5: Kiểm tra thời gian đặt hàng")</f>
        <v>Step 1: Đăng nhập vào tài khoản
Step 2: Chọn tab Cá nhân 
Step 3: Chọn Đơn hàng --&gt; xem tất cả 
Step 4: Chọn tab " Chờ xác nhận " 
Step 5: Kiểm tra thời gian đặt hàng</v>
      </c>
      <c r="L19" s="14"/>
      <c r="M19" s="12" t="s">
        <v>2344</v>
      </c>
      <c r="N19" s="12" t="s">
        <v>2344</v>
      </c>
      <c r="O19" s="12" t="s">
        <v>1</v>
      </c>
      <c r="P19" s="32"/>
    </row>
    <row r="20">
      <c r="A20" s="36"/>
      <c r="B20" s="36"/>
      <c r="C20" s="36"/>
      <c r="D20" s="36"/>
      <c r="E20" s="27"/>
      <c r="F20" s="12" t="s">
        <v>2394</v>
      </c>
      <c r="G20" s="56"/>
      <c r="H20" s="12" t="s">
        <v>2346</v>
      </c>
      <c r="I20" s="12" t="s">
        <v>2333</v>
      </c>
      <c r="J20" s="12" t="s">
        <v>2395</v>
      </c>
      <c r="K20" s="13" t="str">
        <f>IFERROR(__xludf.DUMMYFUNCTION("IF(ISBLANK(J20), ""Input test step"", ARRAYFORMULA(TEXTJOIN(CHAR(10), TRUE, (""Step ""&amp; ROW(INDIRECT(""1:"" &amp; COUNTA(SPLIT(J20, CHAR(10))))) &amp; "": "" &amp; TRANSPOSE(SPLIT(J20, CHAR(10)))))))"),"Step 1: Đăng nhập vào tài khoản
Step 2: Chọn tab Cá nhân 
Step 3: Chọn Đơn hàng --&gt; xem tất cả 
Step 4: Chọn tab "" Chờ xác nhận "" 
Step 5: Kiểm tra tên sản phẩm")</f>
        <v>Step 1: Đăng nhập vào tài khoản
Step 2: Chọn tab Cá nhân 
Step 3: Chọn Đơn hàng --&gt; xem tất cả 
Step 4: Chọn tab " Chờ xác nhận " 
Step 5: Kiểm tra tên sản phẩm</v>
      </c>
      <c r="L20" s="14"/>
      <c r="M20" s="12" t="s">
        <v>2348</v>
      </c>
      <c r="N20" s="12" t="s">
        <v>2348</v>
      </c>
      <c r="O20" s="12" t="s">
        <v>1</v>
      </c>
      <c r="P20" s="32"/>
    </row>
    <row r="21">
      <c r="A21" s="37"/>
      <c r="B21" s="37"/>
      <c r="C21" s="37"/>
      <c r="D21" s="37"/>
      <c r="E21" s="37"/>
      <c r="F21" s="12" t="s">
        <v>2396</v>
      </c>
      <c r="G21" s="56"/>
      <c r="H21" s="12" t="s">
        <v>2350</v>
      </c>
      <c r="I21" s="12" t="s">
        <v>2333</v>
      </c>
      <c r="J21" s="12" t="s">
        <v>2397</v>
      </c>
      <c r="K21" s="13" t="str">
        <f>IFERROR(__xludf.DUMMYFUNCTION("IF(ISBLANK(J21), ""Input test step"", ARRAYFORMULA(TEXTJOIN(CHAR(10), TRUE, (""Step ""&amp; ROW(INDIRECT(""1:"" &amp; COUNTA(SPLIT(J21, CHAR(10))))) &amp; "": "" &amp; TRANSPOSE(SPLIT(J21, CHAR(10)))))))"),"Step 1: Đăng nhập vào tài khoản
Step 2: Chọn tab Cá nhân 
Step 3: Chọn Đơn hàng --&gt; xem tất cả 
Step 4: Chọn tab "" Chờ xác nhận "" 
Step 5: Kiểm tra số lượng")</f>
        <v>Step 1: Đăng nhập vào tài khoản
Step 2: Chọn tab Cá nhân 
Step 3: Chọn Đơn hàng --&gt; xem tất cả 
Step 4: Chọn tab " Chờ xác nhận " 
Step 5: Kiểm tra số lượng</v>
      </c>
      <c r="L21" s="14"/>
      <c r="M21" s="12" t="s">
        <v>2352</v>
      </c>
      <c r="N21" s="12" t="s">
        <v>2352</v>
      </c>
      <c r="O21" s="12" t="s">
        <v>1</v>
      </c>
      <c r="P21" s="38"/>
    </row>
    <row r="22">
      <c r="A22" s="37"/>
      <c r="B22" s="37"/>
      <c r="C22" s="37"/>
      <c r="D22" s="37"/>
      <c r="E22" s="37"/>
      <c r="F22" s="12" t="s">
        <v>2398</v>
      </c>
      <c r="G22" s="56"/>
      <c r="H22" s="12" t="s">
        <v>2354</v>
      </c>
      <c r="I22" s="12" t="s">
        <v>2333</v>
      </c>
      <c r="J22" s="12" t="s">
        <v>2399</v>
      </c>
      <c r="K22" s="13" t="str">
        <f>IFERROR(__xludf.DUMMYFUNCTION("IF(ISBLANK(J22), ""Input test step"", ARRAYFORMULA(TEXTJOIN(CHAR(10), TRUE, (""Step ""&amp; ROW(INDIRECT(""1:"" &amp; COUNTA(SPLIT(J22, CHAR(10))))) &amp; "": "" &amp; TRANSPOSE(SPLIT(J22, CHAR(10)))))))"),"Step 1: Đăng nhập vào tài khoản
Step 2: Chọn tab Cá nhân 
Step 3: Chọn Đơn hàng --&gt; xem tất cả 
Step 4: Chọn tab "" Chờ xác nhận "" 
Step 5: Kiểm tra giá gốc ")</f>
        <v>Step 1: Đăng nhập vào tài khoản
Step 2: Chọn tab Cá nhân 
Step 3: Chọn Đơn hàng --&gt; xem tất cả 
Step 4: Chọn tab " Chờ xác nhận " 
Step 5: Kiểm tra giá gốc </v>
      </c>
      <c r="L22" s="14"/>
      <c r="M22" s="12" t="s">
        <v>2356</v>
      </c>
      <c r="N22" s="12" t="s">
        <v>2356</v>
      </c>
      <c r="O22" s="12" t="s">
        <v>1</v>
      </c>
      <c r="P22" s="38"/>
    </row>
    <row r="23">
      <c r="A23" s="37"/>
      <c r="B23" s="37"/>
      <c r="C23" s="37"/>
      <c r="D23" s="37"/>
      <c r="E23" s="37"/>
      <c r="F23" s="12" t="s">
        <v>2400</v>
      </c>
      <c r="G23" s="56"/>
      <c r="H23" s="12" t="s">
        <v>2358</v>
      </c>
      <c r="I23" s="12" t="s">
        <v>2333</v>
      </c>
      <c r="J23" s="12" t="s">
        <v>2401</v>
      </c>
      <c r="K23" s="13" t="str">
        <f>IFERROR(__xludf.DUMMYFUNCTION("IF(ISBLANK(J23), ""Input test step"", ARRAYFORMULA(TEXTJOIN(CHAR(10), TRUE, (""Step ""&amp; ROW(INDIRECT(""1:"" &amp; COUNTA(SPLIT(J23, CHAR(10))))) &amp; "": "" &amp; TRANSPOSE(SPLIT(J23, CHAR(10)))))))"),"Step 1: Đăng nhập vào tài khoản
Step 2: Chọn tab Cá nhân 
Step 3: Chọn Đơn hàng --&gt; xem tất cả 
Step 4: Chọn tab "" Chờ xác nhận "" 
Step 5: Kiểm tra giá sau giảm")</f>
        <v>Step 1: Đăng nhập vào tài khoản
Step 2: Chọn tab Cá nhân 
Step 3: Chọn Đơn hàng --&gt; xem tất cả 
Step 4: Chọn tab " Chờ xác nhận " 
Step 5: Kiểm tra giá sau giảm</v>
      </c>
      <c r="L23" s="14"/>
      <c r="M23" s="12" t="s">
        <v>2402</v>
      </c>
      <c r="N23" s="12" t="s">
        <v>2361</v>
      </c>
      <c r="O23" s="12" t="s">
        <v>2</v>
      </c>
      <c r="P23" s="38"/>
    </row>
    <row r="24">
      <c r="A24" s="37"/>
      <c r="B24" s="37"/>
      <c r="C24" s="37"/>
      <c r="D24" s="37"/>
      <c r="E24" s="37"/>
      <c r="F24" s="12" t="s">
        <v>2403</v>
      </c>
      <c r="G24" s="56"/>
      <c r="H24" s="12" t="s">
        <v>2106</v>
      </c>
      <c r="I24" s="12" t="s">
        <v>2333</v>
      </c>
      <c r="J24" s="12" t="s">
        <v>2404</v>
      </c>
      <c r="K24" s="13" t="str">
        <f>IFERROR(__xludf.DUMMYFUNCTION("IF(ISBLANK(J24), ""Input test step"", ARRAYFORMULA(TEXTJOIN(CHAR(10), TRUE, (""Step ""&amp; ROW(INDIRECT(""1:"" &amp; COUNTA(SPLIT(J24, CHAR(10))))) &amp; "": "" &amp; TRANSPOSE(SPLIT(J24, CHAR(10)))))))"),"Step 1: Đăng nhập vào tài khoản
Step 2: Chọn tab Cá nhân 
Step 3: Chọn Đơn hàng --&gt; xem tất cả 
Step 4: Chọn tab "" Chờ xác nhận "" 
Step 5: Kiểm tra hình ảnh sản phẩm")</f>
        <v>Step 1: Đăng nhập vào tài khoản
Step 2: Chọn tab Cá nhân 
Step 3: Chọn Đơn hàng --&gt; xem tất cả 
Step 4: Chọn tab " Chờ xác nhận " 
Step 5: Kiểm tra hình ảnh sản phẩm</v>
      </c>
      <c r="L24" s="14"/>
      <c r="M24" s="12" t="s">
        <v>2364</v>
      </c>
      <c r="N24" s="12" t="s">
        <v>2365</v>
      </c>
      <c r="O24" s="12" t="s">
        <v>2</v>
      </c>
      <c r="P24" s="38"/>
    </row>
    <row r="25">
      <c r="A25" s="37"/>
      <c r="B25" s="37"/>
      <c r="C25" s="37"/>
      <c r="D25" s="37"/>
      <c r="E25" s="37"/>
      <c r="F25" s="12" t="s">
        <v>2405</v>
      </c>
      <c r="G25" s="56"/>
      <c r="H25" s="88" t="s">
        <v>2367</v>
      </c>
      <c r="I25" s="63" t="s">
        <v>2333</v>
      </c>
      <c r="J25" s="43" t="s">
        <v>2406</v>
      </c>
      <c r="K25" s="89" t="str">
        <f>IFERROR(__xludf.DUMMYFUNCTION("IF(ISBLANK(J25), ""Input test step"", ARRAYFORMULA(TEXTJOIN(CHAR(10), TRUE, (""Step ""&amp; ROW(INDIRECT(""1:"" &amp; COUNTA(SPLIT(J25, CHAR(10))))) &amp; "": "" &amp; TRANSPOSE(SPLIT(J25, CHAR(10)))))))"),"Step 1: Đăng nhập vào tài khoản
Step 2: Chọn tab Cá nhân 
Step 3: Chọn Đơn hàng --&gt; xem tất cả 
Step 4: Chọn tab "" Chờ xác nhận "" 
Step 5: Kiểm tra ghi chú ")</f>
        <v>Step 1: Đăng nhập vào tài khoản
Step 2: Chọn tab Cá nhân 
Step 3: Chọn Đơn hàng --&gt; xem tất cả 
Step 4: Chọn tab " Chờ xác nhận " 
Step 5: Kiểm tra ghi chú </v>
      </c>
      <c r="L25" s="90"/>
      <c r="M25" s="91" t="s">
        <v>2369</v>
      </c>
      <c r="N25" s="91" t="s">
        <v>2369</v>
      </c>
      <c r="O25" s="12" t="s">
        <v>1</v>
      </c>
      <c r="P25" s="38"/>
    </row>
    <row r="26">
      <c r="A26" s="37"/>
      <c r="B26" s="37"/>
      <c r="C26" s="37"/>
      <c r="D26" s="37"/>
      <c r="E26" s="37"/>
      <c r="F26" s="12" t="s">
        <v>2407</v>
      </c>
      <c r="G26" s="56"/>
      <c r="H26" s="93" t="s">
        <v>2377</v>
      </c>
      <c r="I26" s="63" t="s">
        <v>2333</v>
      </c>
      <c r="J26" s="43" t="s">
        <v>2408</v>
      </c>
      <c r="K26" s="89" t="str">
        <f>IFERROR(__xludf.DUMMYFUNCTION("IF(ISBLANK(J26), ""Input test step"", ARRAYFORMULA(TEXTJOIN(CHAR(10), TRUE, (""Step ""&amp; ROW(INDIRECT(""1:"" &amp; COUNTA(SPLIT(J26, CHAR(10))))) &amp; "": "" &amp; TRANSPOSE(SPLIT(J26, CHAR(10)))))))"),"Step 1: Đăng nhập vào tài khoản
Step 2: Chọn tab Cá nhân 
Step 3: Chọn Đơn hàng --&gt; xem tất cả 
Step 4: Chọn tab "" Chờ xác nhận "" 
Step 5: Kiểm tra thao tác khi loading  sản phẩm")</f>
        <v>Step 1: Đăng nhập vào tài khoản
Step 2: Chọn tab Cá nhân 
Step 3: Chọn Đơn hàng --&gt; xem tất cả 
Step 4: Chọn tab " Chờ xác nhận " 
Step 5: Kiểm tra thao tác khi loading  sản phẩm</v>
      </c>
      <c r="L26" s="14"/>
      <c r="M26" s="73" t="s">
        <v>2379</v>
      </c>
      <c r="N26" s="12"/>
      <c r="O26" s="12"/>
      <c r="P26" s="38"/>
    </row>
    <row r="27">
      <c r="A27" s="37"/>
      <c r="B27" s="37"/>
      <c r="C27" s="37"/>
      <c r="D27" s="37"/>
      <c r="E27" s="37"/>
      <c r="F27" s="12" t="s">
        <v>2409</v>
      </c>
      <c r="G27" s="56"/>
      <c r="H27" s="93" t="s">
        <v>2381</v>
      </c>
      <c r="I27" s="63" t="s">
        <v>2333</v>
      </c>
      <c r="J27" s="43" t="s">
        <v>2410</v>
      </c>
      <c r="K27" s="89" t="str">
        <f>IFERROR(__xludf.DUMMYFUNCTION("IF(ISBLANK(J27), ""Input test step"", ARRAYFORMULA(TEXTJOIN(CHAR(10), TRUE, (""Step ""&amp; ROW(INDIRECT(""1:"" &amp; COUNTA(SPLIT(J27, CHAR(10))))) &amp; "": "" &amp; TRANSPOSE(SPLIT(J27, CHAR(10)))))))"),"Step 1: Đăng nhập vào tài khoản
Step 2: Chọn tab Cá nhân 
Step 3: Chọn Đơn hàng --&gt; xem tất cả 
Step 4: Chọn tab "" Chờ xác nhận "" 
Step 5: Kiểm tra khoảng cách giữa các dòng với nhau")</f>
        <v>Step 1: Đăng nhập vào tài khoản
Step 2: Chọn tab Cá nhân 
Step 3: Chọn Đơn hàng --&gt; xem tất cả 
Step 4: Chọn tab " Chờ xác nhận " 
Step 5: Kiểm tra khoảng cách giữa các dòng với nhau</v>
      </c>
      <c r="L27" s="14" t="s">
        <v>2383</v>
      </c>
      <c r="M27" s="73" t="s">
        <v>2384</v>
      </c>
      <c r="N27" s="73" t="s">
        <v>2385</v>
      </c>
      <c r="O27" s="12" t="s">
        <v>2</v>
      </c>
      <c r="P27" s="38"/>
    </row>
    <row r="28">
      <c r="A28" s="37"/>
      <c r="B28" s="37"/>
      <c r="C28" s="37"/>
      <c r="D28" s="37"/>
      <c r="E28" s="37"/>
      <c r="F28" s="12" t="s">
        <v>2411</v>
      </c>
      <c r="G28" s="56"/>
      <c r="H28" s="95" t="s">
        <v>2412</v>
      </c>
      <c r="I28" s="12" t="s">
        <v>2333</v>
      </c>
      <c r="J28" s="12" t="s">
        <v>2413</v>
      </c>
      <c r="K28" s="13" t="str">
        <f>IFERROR(__xludf.DUMMYFUNCTION("IF(ISBLANK(J28), ""Input test step"", ARRAYFORMULA(TEXTJOIN(CHAR(10), TRUE, (""Step ""&amp; ROW(INDIRECT(""1:"" &amp; COUNTA(SPLIT(J28, CHAR(10))))) &amp; "": "" &amp; TRANSPOSE(SPLIT(J28, CHAR(10)))))))"),"Step 1: Đăng nhập vào tài khoản
Step 2: Chọn tab Cá nhân 
Step 3: Chọn Đơn hàng --&gt; xem tất cả 
Step 4: Chọn tab "" Đang xử lý """)</f>
        <v>Step 1: Đăng nhập vào tài khoản
Step 2: Chọn tab Cá nhân 
Step 3: Chọn Đơn hàng --&gt; xem tất cả 
Step 4: Chọn tab " Đang xử lý "</v>
      </c>
      <c r="L28" s="14"/>
      <c r="M28" s="73" t="s">
        <v>2389</v>
      </c>
      <c r="N28" s="52" t="s">
        <v>2389</v>
      </c>
      <c r="O28" s="12" t="s">
        <v>1</v>
      </c>
      <c r="P28" s="38"/>
    </row>
    <row r="29">
      <c r="A29" s="37"/>
      <c r="B29" s="37"/>
      <c r="C29" s="37"/>
      <c r="D29" s="37"/>
      <c r="E29" s="37"/>
      <c r="F29" s="12" t="s">
        <v>2414</v>
      </c>
      <c r="G29" s="56"/>
      <c r="H29" s="12" t="s">
        <v>2337</v>
      </c>
      <c r="I29" s="12" t="s">
        <v>2333</v>
      </c>
      <c r="J29" s="12" t="s">
        <v>2415</v>
      </c>
      <c r="K29" s="13" t="str">
        <f>IFERROR(__xludf.DUMMYFUNCTION("IF(ISBLANK(J29), ""Input test step"", ARRAYFORMULA(TEXTJOIN(CHAR(10), TRUE, (""Step ""&amp; ROW(INDIRECT(""1:"" &amp; COUNTA(SPLIT(J29, CHAR(10))))) &amp; "": "" &amp; TRANSPOSE(SPLIT(J29, CHAR(10)))))))"),"Step 1: Đăng nhập vào tài khoản
Step 2: Chọn tab Cá nhân 
Step 3: Chọn Đơn hàng --&gt; xem tất cả 
Step 4: Chọn tab "" Đang xử lý "" 
Step 5: Kiểm tra mã đơn hàng")</f>
        <v>Step 1: Đăng nhập vào tài khoản
Step 2: Chọn tab Cá nhân 
Step 3: Chọn Đơn hàng --&gt; xem tất cả 
Step 4: Chọn tab " Đang xử lý " 
Step 5: Kiểm tra mã đơn hàng</v>
      </c>
      <c r="L29" s="14"/>
      <c r="M29" s="12" t="s">
        <v>2339</v>
      </c>
      <c r="N29" s="12" t="s">
        <v>2339</v>
      </c>
      <c r="O29" s="12" t="s">
        <v>1</v>
      </c>
      <c r="P29" s="38"/>
    </row>
    <row r="30">
      <c r="A30" s="37"/>
      <c r="B30" s="37"/>
      <c r="C30" s="37"/>
      <c r="D30" s="37"/>
      <c r="E30" s="37"/>
      <c r="F30" s="12" t="s">
        <v>2416</v>
      </c>
      <c r="G30" s="56"/>
      <c r="H30" s="12" t="s">
        <v>2342</v>
      </c>
      <c r="I30" s="12" t="s">
        <v>2333</v>
      </c>
      <c r="J30" s="12" t="s">
        <v>2417</v>
      </c>
      <c r="K30" s="13" t="str">
        <f>IFERROR(__xludf.DUMMYFUNCTION("IF(ISBLANK(J30), ""Input test step"", ARRAYFORMULA(TEXTJOIN(CHAR(10), TRUE, (""Step ""&amp; ROW(INDIRECT(""1:"" &amp; COUNTA(SPLIT(J30, CHAR(10))))) &amp; "": "" &amp; TRANSPOSE(SPLIT(J30, CHAR(10)))))))"),"Step 1: Đăng nhập vào tài khoản
Step 2: Chọn tab Cá nhân 
Step 3: Chọn Đơn hàng --&gt; xem tất cả 
Step 4: Chọn tab "" Đang xử lý "" 
Step 5: Kiểm tra thời gian đặt hàng")</f>
        <v>Step 1: Đăng nhập vào tài khoản
Step 2: Chọn tab Cá nhân 
Step 3: Chọn Đơn hàng --&gt; xem tất cả 
Step 4: Chọn tab " Đang xử lý " 
Step 5: Kiểm tra thời gian đặt hàng</v>
      </c>
      <c r="L30" s="14"/>
      <c r="M30" s="12" t="s">
        <v>2344</v>
      </c>
      <c r="N30" s="12" t="s">
        <v>2344</v>
      </c>
      <c r="O30" s="12" t="s">
        <v>1</v>
      </c>
      <c r="P30" s="38"/>
    </row>
    <row r="31">
      <c r="A31" s="37"/>
      <c r="B31" s="37"/>
      <c r="C31" s="37"/>
      <c r="D31" s="37"/>
      <c r="E31" s="37"/>
      <c r="F31" s="12" t="s">
        <v>2418</v>
      </c>
      <c r="G31" s="56"/>
      <c r="H31" s="12" t="s">
        <v>2346</v>
      </c>
      <c r="I31" s="12" t="s">
        <v>2333</v>
      </c>
      <c r="J31" s="12" t="s">
        <v>2419</v>
      </c>
      <c r="K31" s="13" t="str">
        <f>IFERROR(__xludf.DUMMYFUNCTION("IF(ISBLANK(J31), ""Input test step"", ARRAYFORMULA(TEXTJOIN(CHAR(10), TRUE, (""Step ""&amp; ROW(INDIRECT(""1:"" &amp; COUNTA(SPLIT(J31, CHAR(10))))) &amp; "": "" &amp; TRANSPOSE(SPLIT(J31, CHAR(10)))))))"),"Step 1: Đăng nhập vào tài khoản
Step 2: Chọn tab Cá nhân 
Step 3: Chọn Đơn hàng --&gt; xem tất cả 
Step 4: Chọn tab "" Đang xử lý "" 
Step 5: Kiểm tra tên sản phẩm")</f>
        <v>Step 1: Đăng nhập vào tài khoản
Step 2: Chọn tab Cá nhân 
Step 3: Chọn Đơn hàng --&gt; xem tất cả 
Step 4: Chọn tab " Đang xử lý " 
Step 5: Kiểm tra tên sản phẩm</v>
      </c>
      <c r="L31" s="14"/>
      <c r="M31" s="12" t="s">
        <v>2348</v>
      </c>
      <c r="N31" s="12" t="s">
        <v>2348</v>
      </c>
      <c r="O31" s="12" t="s">
        <v>1</v>
      </c>
      <c r="P31" s="38"/>
    </row>
    <row r="32">
      <c r="A32" s="37"/>
      <c r="B32" s="37"/>
      <c r="C32" s="37"/>
      <c r="D32" s="37"/>
      <c r="E32" s="37"/>
      <c r="F32" s="12" t="s">
        <v>2420</v>
      </c>
      <c r="G32" s="56"/>
      <c r="H32" s="12" t="s">
        <v>2350</v>
      </c>
      <c r="I32" s="12" t="s">
        <v>2333</v>
      </c>
      <c r="J32" s="12" t="s">
        <v>2421</v>
      </c>
      <c r="K32" s="13" t="str">
        <f>IFERROR(__xludf.DUMMYFUNCTION("IF(ISBLANK(J32), ""Input test step"", ARRAYFORMULA(TEXTJOIN(CHAR(10), TRUE, (""Step ""&amp; ROW(INDIRECT(""1:"" &amp; COUNTA(SPLIT(J32, CHAR(10))))) &amp; "": "" &amp; TRANSPOSE(SPLIT(J32, CHAR(10)))))))"),"Step 1: Đăng nhập vào tài khoản
Step 2: Chọn tab Cá nhân 
Step 3: Chọn Đơn hàng --&gt; xem tất cả 
Step 4: Chọn tab "" Đang xử lý "" 
Step 5: Kiểm tra số lượng")</f>
        <v>Step 1: Đăng nhập vào tài khoản
Step 2: Chọn tab Cá nhân 
Step 3: Chọn Đơn hàng --&gt; xem tất cả 
Step 4: Chọn tab " Đang xử lý " 
Step 5: Kiểm tra số lượng</v>
      </c>
      <c r="L32" s="14"/>
      <c r="M32" s="12" t="s">
        <v>2352</v>
      </c>
      <c r="N32" s="12" t="s">
        <v>2352</v>
      </c>
      <c r="O32" s="12" t="s">
        <v>1</v>
      </c>
      <c r="P32" s="38"/>
    </row>
    <row r="33">
      <c r="A33" s="37"/>
      <c r="B33" s="37"/>
      <c r="C33" s="37"/>
      <c r="D33" s="37"/>
      <c r="E33" s="37"/>
      <c r="F33" s="12" t="s">
        <v>2422</v>
      </c>
      <c r="G33" s="56"/>
      <c r="H33" s="12" t="s">
        <v>2354</v>
      </c>
      <c r="I33" s="12" t="s">
        <v>2333</v>
      </c>
      <c r="J33" s="12" t="s">
        <v>2423</v>
      </c>
      <c r="K33" s="13" t="str">
        <f>IFERROR(__xludf.DUMMYFUNCTION("IF(ISBLANK(J33), ""Input test step"", ARRAYFORMULA(TEXTJOIN(CHAR(10), TRUE, (""Step ""&amp; ROW(INDIRECT(""1:"" &amp; COUNTA(SPLIT(J33, CHAR(10))))) &amp; "": "" &amp; TRANSPOSE(SPLIT(J33, CHAR(10)))))))"),"Step 1: Đăng nhập vào tài khoản
Step 2: Chọn tab Cá nhân 
Step 3: Chọn Đơn hàng --&gt; xem tất cả 
Step 4: Chọn tab "" Đang xử lý "" 
Step 5: Kiểm tra giá gốc ")</f>
        <v>Step 1: Đăng nhập vào tài khoản
Step 2: Chọn tab Cá nhân 
Step 3: Chọn Đơn hàng --&gt; xem tất cả 
Step 4: Chọn tab " Đang xử lý " 
Step 5: Kiểm tra giá gốc </v>
      </c>
      <c r="L33" s="14"/>
      <c r="M33" s="12" t="s">
        <v>2356</v>
      </c>
      <c r="N33" s="12" t="s">
        <v>2356</v>
      </c>
      <c r="O33" s="12" t="s">
        <v>1</v>
      </c>
      <c r="P33" s="38"/>
    </row>
    <row r="34">
      <c r="A34" s="37"/>
      <c r="B34" s="37"/>
      <c r="C34" s="37"/>
      <c r="D34" s="37"/>
      <c r="E34" s="37"/>
      <c r="F34" s="12" t="s">
        <v>2424</v>
      </c>
      <c r="G34" s="56"/>
      <c r="H34" s="12" t="s">
        <v>2358</v>
      </c>
      <c r="I34" s="12" t="s">
        <v>2333</v>
      </c>
      <c r="J34" s="12" t="s">
        <v>2425</v>
      </c>
      <c r="K34" s="13" t="str">
        <f>IFERROR(__xludf.DUMMYFUNCTION("IF(ISBLANK(J34), ""Input test step"", ARRAYFORMULA(TEXTJOIN(CHAR(10), TRUE, (""Step ""&amp; ROW(INDIRECT(""1:"" &amp; COUNTA(SPLIT(J34, CHAR(10))))) &amp; "": "" &amp; TRANSPOSE(SPLIT(J34, CHAR(10)))))))"),"Step 1: Đăng nhập vào tài khoản
Step 2: Chọn tab Cá nhân 
Step 3: Chọn Đơn hàng --&gt; xem tất cả 
Step 4: Chọn tab "" Đang xử lý "" 
Step 5: Kiểm tra giá sau giảm")</f>
        <v>Step 1: Đăng nhập vào tài khoản
Step 2: Chọn tab Cá nhân 
Step 3: Chọn Đơn hàng --&gt; xem tất cả 
Step 4: Chọn tab " Đang xử lý " 
Step 5: Kiểm tra giá sau giảm</v>
      </c>
      <c r="L34" s="14"/>
      <c r="M34" s="12" t="s">
        <v>2402</v>
      </c>
      <c r="N34" s="12" t="s">
        <v>2361</v>
      </c>
      <c r="O34" s="12" t="s">
        <v>2</v>
      </c>
      <c r="P34" s="38"/>
    </row>
    <row r="35">
      <c r="A35" s="37"/>
      <c r="B35" s="37"/>
      <c r="C35" s="37"/>
      <c r="D35" s="37"/>
      <c r="E35" s="37"/>
      <c r="F35" s="12" t="s">
        <v>2426</v>
      </c>
      <c r="G35" s="56"/>
      <c r="H35" s="12" t="s">
        <v>2106</v>
      </c>
      <c r="I35" s="12" t="s">
        <v>2333</v>
      </c>
      <c r="J35" s="12" t="s">
        <v>2427</v>
      </c>
      <c r="K35" s="13" t="str">
        <f>IFERROR(__xludf.DUMMYFUNCTION("IF(ISBLANK(J35), ""Input test step"", ARRAYFORMULA(TEXTJOIN(CHAR(10), TRUE, (""Step ""&amp; ROW(INDIRECT(""1:"" &amp; COUNTA(SPLIT(J35, CHAR(10))))) &amp; "": "" &amp; TRANSPOSE(SPLIT(J35, CHAR(10)))))))"),"Step 1: Đăng nhập vào tài khoản
Step 2: Chọn tab Cá nhân 
Step 3: Chọn Đơn hàng --&gt; xem tất cả 
Step 4: Chọn tab "" Đang xử lý "" 
Step 5: Kiểm tra hình ảnh sản phẩm")</f>
        <v>Step 1: Đăng nhập vào tài khoản
Step 2: Chọn tab Cá nhân 
Step 3: Chọn Đơn hàng --&gt; xem tất cả 
Step 4: Chọn tab " Đang xử lý " 
Step 5: Kiểm tra hình ảnh sản phẩm</v>
      </c>
      <c r="L35" s="14"/>
      <c r="M35" s="12" t="s">
        <v>2364</v>
      </c>
      <c r="N35" s="12" t="s">
        <v>2365</v>
      </c>
      <c r="O35" s="12" t="s">
        <v>2</v>
      </c>
      <c r="P35" s="38"/>
    </row>
    <row r="36">
      <c r="A36" s="37"/>
      <c r="B36" s="37"/>
      <c r="C36" s="37"/>
      <c r="D36" s="37"/>
      <c r="E36" s="37"/>
      <c r="F36" s="12" t="s">
        <v>2428</v>
      </c>
      <c r="G36" s="56"/>
      <c r="H36" s="88" t="s">
        <v>2367</v>
      </c>
      <c r="I36" s="63" t="s">
        <v>2333</v>
      </c>
      <c r="J36" s="43" t="s">
        <v>2429</v>
      </c>
      <c r="K36" s="89" t="str">
        <f>IFERROR(__xludf.DUMMYFUNCTION("IF(ISBLANK(J36), ""Input test step"", ARRAYFORMULA(TEXTJOIN(CHAR(10), TRUE, (""Step ""&amp; ROW(INDIRECT(""1:"" &amp; COUNTA(SPLIT(J36, CHAR(10))))) &amp; "": "" &amp; TRANSPOSE(SPLIT(J36, CHAR(10)))))))"),"Step 1: Đăng nhập vào tài khoản
Step 2: Chọn tab Cá nhân 
Step 3: Chọn Đơn hàng --&gt; xem tất cả 
Step 4: Chọn tab "" Đang xử lý "" 
Step 5: Kiểm tra ghi chú ")</f>
        <v>Step 1: Đăng nhập vào tài khoản
Step 2: Chọn tab Cá nhân 
Step 3: Chọn Đơn hàng --&gt; xem tất cả 
Step 4: Chọn tab " Đang xử lý " 
Step 5: Kiểm tra ghi chú </v>
      </c>
      <c r="L36" s="90"/>
      <c r="M36" s="91" t="s">
        <v>2369</v>
      </c>
      <c r="N36" s="45" t="s">
        <v>2369</v>
      </c>
      <c r="O36" s="12" t="s">
        <v>1</v>
      </c>
      <c r="P36" s="38"/>
    </row>
    <row r="37">
      <c r="A37" s="37"/>
      <c r="B37" s="37"/>
      <c r="C37" s="37"/>
      <c r="D37" s="37"/>
      <c r="E37" s="37"/>
      <c r="F37" s="12" t="s">
        <v>2430</v>
      </c>
      <c r="G37" s="56"/>
      <c r="H37" s="93" t="s">
        <v>2377</v>
      </c>
      <c r="I37" s="63" t="s">
        <v>2333</v>
      </c>
      <c r="J37" s="43" t="s">
        <v>2408</v>
      </c>
      <c r="K37" s="89" t="str">
        <f>IFERROR(__xludf.DUMMYFUNCTION("IF(ISBLANK(J37), ""Input test step"", ARRAYFORMULA(TEXTJOIN(CHAR(10), TRUE, (""Step ""&amp; ROW(INDIRECT(""1:"" &amp; COUNTA(SPLIT(J37, CHAR(10))))) &amp; "": "" &amp; TRANSPOSE(SPLIT(J37, CHAR(10)))))))"),"Step 1: Đăng nhập vào tài khoản
Step 2: Chọn tab Cá nhân 
Step 3: Chọn Đơn hàng --&gt; xem tất cả 
Step 4: Chọn tab "" Chờ xác nhận "" 
Step 5: Kiểm tra thao tác khi loading  sản phẩm")</f>
        <v>Step 1: Đăng nhập vào tài khoản
Step 2: Chọn tab Cá nhân 
Step 3: Chọn Đơn hàng --&gt; xem tất cả 
Step 4: Chọn tab " Chờ xác nhận " 
Step 5: Kiểm tra thao tác khi loading  sản phẩm</v>
      </c>
      <c r="L37" s="14"/>
      <c r="M37" s="73" t="s">
        <v>2379</v>
      </c>
      <c r="N37" s="12"/>
      <c r="O37" s="12"/>
      <c r="P37" s="38"/>
    </row>
    <row r="38">
      <c r="A38" s="37"/>
      <c r="B38" s="37"/>
      <c r="C38" s="37"/>
      <c r="D38" s="37"/>
      <c r="E38" s="37"/>
      <c r="F38" s="12" t="s">
        <v>2431</v>
      </c>
      <c r="G38" s="56"/>
      <c r="H38" s="93" t="s">
        <v>2381</v>
      </c>
      <c r="I38" s="63" t="s">
        <v>2333</v>
      </c>
      <c r="J38" s="43" t="s">
        <v>2410</v>
      </c>
      <c r="K38" s="89" t="str">
        <f>IFERROR(__xludf.DUMMYFUNCTION("IF(ISBLANK(J38), ""Input test step"", ARRAYFORMULA(TEXTJOIN(CHAR(10), TRUE, (""Step ""&amp; ROW(INDIRECT(""1:"" &amp; COUNTA(SPLIT(J38, CHAR(10))))) &amp; "": "" &amp; TRANSPOSE(SPLIT(J38, CHAR(10)))))))"),"Step 1: Đăng nhập vào tài khoản
Step 2: Chọn tab Cá nhân 
Step 3: Chọn Đơn hàng --&gt; xem tất cả 
Step 4: Chọn tab "" Chờ xác nhận "" 
Step 5: Kiểm tra khoảng cách giữa các dòng với nhau")</f>
        <v>Step 1: Đăng nhập vào tài khoản
Step 2: Chọn tab Cá nhân 
Step 3: Chọn Đơn hàng --&gt; xem tất cả 
Step 4: Chọn tab " Chờ xác nhận " 
Step 5: Kiểm tra khoảng cách giữa các dòng với nhau</v>
      </c>
      <c r="L38" s="14" t="s">
        <v>2383</v>
      </c>
      <c r="M38" s="73" t="s">
        <v>2384</v>
      </c>
      <c r="N38" s="73" t="s">
        <v>2385</v>
      </c>
      <c r="O38" s="12" t="s">
        <v>2</v>
      </c>
      <c r="P38" s="38"/>
    </row>
    <row r="39">
      <c r="A39" s="37"/>
      <c r="B39" s="37"/>
      <c r="C39" s="37"/>
      <c r="D39" s="37"/>
      <c r="E39" s="37"/>
      <c r="F39" s="12" t="s">
        <v>2432</v>
      </c>
      <c r="G39" s="56"/>
      <c r="H39" s="96" t="s">
        <v>2433</v>
      </c>
      <c r="I39" s="12" t="s">
        <v>2333</v>
      </c>
      <c r="J39" s="12" t="s">
        <v>2434</v>
      </c>
      <c r="K39" s="13" t="str">
        <f>IFERROR(__xludf.DUMMYFUNCTION("IF(ISBLANK(J39), ""Input test step"", ARRAYFORMULA(TEXTJOIN(CHAR(10), TRUE, (""Step ""&amp; ROW(INDIRECT(""1:"" &amp; COUNTA(SPLIT(J39, CHAR(10))))) &amp; "": "" &amp; TRANSPOSE(SPLIT(J39, CHAR(10)))))))"),"Step 1: Đăng nhập vào tài khoản
Step 2: Chọn tab Cá nhân 
Step 3: Chọn Đơn hàng --&gt; xem tất cả 
Step 4: Chọn tab "" Đang giao """)</f>
        <v>Step 1: Đăng nhập vào tài khoản
Step 2: Chọn tab Cá nhân 
Step 3: Chọn Đơn hàng --&gt; xem tất cả 
Step 4: Chọn tab " Đang giao "</v>
      </c>
      <c r="L39" s="14"/>
      <c r="M39" s="52" t="s">
        <v>2389</v>
      </c>
      <c r="N39" s="73" t="s">
        <v>2389</v>
      </c>
      <c r="O39" s="12" t="s">
        <v>1</v>
      </c>
      <c r="P39" s="38"/>
    </row>
    <row r="40">
      <c r="A40" s="37"/>
      <c r="B40" s="37"/>
      <c r="C40" s="37"/>
      <c r="D40" s="37"/>
      <c r="E40" s="37"/>
      <c r="F40" s="12" t="s">
        <v>2435</v>
      </c>
      <c r="G40" s="56"/>
      <c r="H40" s="12" t="s">
        <v>2337</v>
      </c>
      <c r="I40" s="12" t="s">
        <v>2333</v>
      </c>
      <c r="J40" s="12" t="s">
        <v>2436</v>
      </c>
      <c r="K40" s="13" t="str">
        <f>IFERROR(__xludf.DUMMYFUNCTION("IF(ISBLANK(J40), ""Input test step"", ARRAYFORMULA(TEXTJOIN(CHAR(10), TRUE, (""Step ""&amp; ROW(INDIRECT(""1:"" &amp; COUNTA(SPLIT(J40, CHAR(10))))) &amp; "": "" &amp; TRANSPOSE(SPLIT(J40, CHAR(10)))))))"),"Step 1: Đăng nhập vào tài khoản
Step 2: Chọn tab Cá nhân 
Step 3: Chọn Đơn hàng --&gt; xem tất cả 
Step 4: Chọn tab "" Đang giao "" 
Step 5: Kiểm tra mã đơn hàng")</f>
        <v>Step 1: Đăng nhập vào tài khoản
Step 2: Chọn tab Cá nhân 
Step 3: Chọn Đơn hàng --&gt; xem tất cả 
Step 4: Chọn tab " Đang giao " 
Step 5: Kiểm tra mã đơn hàng</v>
      </c>
      <c r="L40" s="14"/>
      <c r="M40" s="12" t="s">
        <v>2339</v>
      </c>
      <c r="N40" s="12" t="s">
        <v>2339</v>
      </c>
      <c r="O40" s="12" t="s">
        <v>1</v>
      </c>
      <c r="P40" s="38"/>
    </row>
    <row r="41">
      <c r="A41" s="37"/>
      <c r="B41" s="37"/>
      <c r="C41" s="37"/>
      <c r="D41" s="37"/>
      <c r="E41" s="37"/>
      <c r="F41" s="12" t="s">
        <v>2437</v>
      </c>
      <c r="G41" s="56"/>
      <c r="H41" s="12" t="s">
        <v>2342</v>
      </c>
      <c r="I41" s="12" t="s">
        <v>2333</v>
      </c>
      <c r="J41" s="12" t="s">
        <v>2438</v>
      </c>
      <c r="K41" s="13" t="str">
        <f>IFERROR(__xludf.DUMMYFUNCTION("IF(ISBLANK(J41), ""Input test step"", ARRAYFORMULA(TEXTJOIN(CHAR(10), TRUE, (""Step ""&amp; ROW(INDIRECT(""1:"" &amp; COUNTA(SPLIT(J41, CHAR(10))))) &amp; "": "" &amp; TRANSPOSE(SPLIT(J41, CHAR(10)))))))"),"Step 1: Đăng nhập vào tài khoản
Step 2: Chọn tab Cá nhân 
Step 3: Chọn Đơn hàng --&gt; xem tất cả 
Step 4: Chọn tab "" Đang giao "" 
Step 5: Kiểm tra thời gian đặt hàng")</f>
        <v>Step 1: Đăng nhập vào tài khoản
Step 2: Chọn tab Cá nhân 
Step 3: Chọn Đơn hàng --&gt; xem tất cả 
Step 4: Chọn tab " Đang giao " 
Step 5: Kiểm tra thời gian đặt hàng</v>
      </c>
      <c r="L41" s="14"/>
      <c r="M41" s="12" t="s">
        <v>2344</v>
      </c>
      <c r="N41" s="12" t="s">
        <v>2344</v>
      </c>
      <c r="O41" s="12" t="s">
        <v>1</v>
      </c>
      <c r="P41" s="38"/>
    </row>
    <row r="42">
      <c r="A42" s="37"/>
      <c r="B42" s="37"/>
      <c r="C42" s="37"/>
      <c r="D42" s="37"/>
      <c r="E42" s="37"/>
      <c r="F42" s="12" t="s">
        <v>2439</v>
      </c>
      <c r="G42" s="56"/>
      <c r="H42" s="12" t="s">
        <v>2346</v>
      </c>
      <c r="I42" s="12" t="s">
        <v>2333</v>
      </c>
      <c r="J42" s="12" t="s">
        <v>2440</v>
      </c>
      <c r="K42" s="13" t="str">
        <f>IFERROR(__xludf.DUMMYFUNCTION("IF(ISBLANK(J42), ""Input test step"", ARRAYFORMULA(TEXTJOIN(CHAR(10), TRUE, (""Step ""&amp; ROW(INDIRECT(""1:"" &amp; COUNTA(SPLIT(J42, CHAR(10))))) &amp; "": "" &amp; TRANSPOSE(SPLIT(J42, CHAR(10)))))))"),"Step 1: Đăng nhập vào tài khoản
Step 2: Chọn tab Cá nhân 
Step 3: Chọn Đơn hàng --&gt; xem tất cả 
Step 4: Chọn tab "" Đang giao "" 
Step 5: Kiểm tra tên sản phẩm")</f>
        <v>Step 1: Đăng nhập vào tài khoản
Step 2: Chọn tab Cá nhân 
Step 3: Chọn Đơn hàng --&gt; xem tất cả 
Step 4: Chọn tab " Đang giao " 
Step 5: Kiểm tra tên sản phẩm</v>
      </c>
      <c r="L42" s="14"/>
      <c r="M42" s="12" t="s">
        <v>2348</v>
      </c>
      <c r="N42" s="12" t="s">
        <v>2348</v>
      </c>
      <c r="O42" s="12" t="s">
        <v>1</v>
      </c>
      <c r="P42" s="38"/>
    </row>
    <row r="43">
      <c r="A43" s="37"/>
      <c r="B43" s="37"/>
      <c r="C43" s="37"/>
      <c r="D43" s="37"/>
      <c r="E43" s="37"/>
      <c r="F43" s="12" t="s">
        <v>2441</v>
      </c>
      <c r="G43" s="56"/>
      <c r="H43" s="12" t="s">
        <v>2350</v>
      </c>
      <c r="I43" s="12" t="s">
        <v>2333</v>
      </c>
      <c r="J43" s="12" t="s">
        <v>2442</v>
      </c>
      <c r="K43" s="13" t="str">
        <f>IFERROR(__xludf.DUMMYFUNCTION("IF(ISBLANK(J43), ""Input test step"", ARRAYFORMULA(TEXTJOIN(CHAR(10), TRUE, (""Step ""&amp; ROW(INDIRECT(""1:"" &amp; COUNTA(SPLIT(J43, CHAR(10))))) &amp; "": "" &amp; TRANSPOSE(SPLIT(J43, CHAR(10)))))))"),"Step 1: Đăng nhập vào tài khoản
Step 2: Chọn tab Cá nhân 
Step 3: Chọn Đơn hàng --&gt; xem tất cả 
Step 4: Chọn tab "" Đang giao "" 
Step 5: Kiểm tra số lượng")</f>
        <v>Step 1: Đăng nhập vào tài khoản
Step 2: Chọn tab Cá nhân 
Step 3: Chọn Đơn hàng --&gt; xem tất cả 
Step 4: Chọn tab " Đang giao " 
Step 5: Kiểm tra số lượng</v>
      </c>
      <c r="L43" s="14"/>
      <c r="M43" s="12" t="s">
        <v>2352</v>
      </c>
      <c r="N43" s="12" t="s">
        <v>2352</v>
      </c>
      <c r="O43" s="12" t="s">
        <v>1</v>
      </c>
      <c r="P43" s="38"/>
    </row>
    <row r="44">
      <c r="A44" s="37"/>
      <c r="B44" s="37"/>
      <c r="C44" s="37"/>
      <c r="D44" s="37"/>
      <c r="E44" s="37"/>
      <c r="F44" s="12" t="s">
        <v>2443</v>
      </c>
      <c r="G44" s="56"/>
      <c r="H44" s="12" t="s">
        <v>2354</v>
      </c>
      <c r="I44" s="12" t="s">
        <v>2333</v>
      </c>
      <c r="J44" s="12" t="s">
        <v>2444</v>
      </c>
      <c r="K44" s="13" t="str">
        <f>IFERROR(__xludf.DUMMYFUNCTION("IF(ISBLANK(J44), ""Input test step"", ARRAYFORMULA(TEXTJOIN(CHAR(10), TRUE, (""Step ""&amp; ROW(INDIRECT(""1:"" &amp; COUNTA(SPLIT(J44, CHAR(10))))) &amp; "": "" &amp; TRANSPOSE(SPLIT(J44, CHAR(10)))))))"),"Step 1: Đăng nhập vào tài khoản
Step 2: Chọn tab Cá nhân 
Step 3: Chọn Đơn hàng --&gt; xem tất cả 
Step 4: Chọn tab "" Đang giao"" 
Step 5: Kiểm tra giá gốc ")</f>
        <v>Step 1: Đăng nhập vào tài khoản
Step 2: Chọn tab Cá nhân 
Step 3: Chọn Đơn hàng --&gt; xem tất cả 
Step 4: Chọn tab " Đang giao" 
Step 5: Kiểm tra giá gốc </v>
      </c>
      <c r="L44" s="14"/>
      <c r="M44" s="12" t="s">
        <v>2356</v>
      </c>
      <c r="N44" s="12" t="s">
        <v>2356</v>
      </c>
      <c r="O44" s="12" t="s">
        <v>1</v>
      </c>
      <c r="P44" s="38"/>
    </row>
    <row r="45">
      <c r="A45" s="37"/>
      <c r="B45" s="37"/>
      <c r="C45" s="37"/>
      <c r="D45" s="37"/>
      <c r="E45" s="37"/>
      <c r="F45" s="12" t="s">
        <v>2445</v>
      </c>
      <c r="G45" s="56"/>
      <c r="H45" s="12" t="s">
        <v>2358</v>
      </c>
      <c r="I45" s="12" t="s">
        <v>2333</v>
      </c>
      <c r="J45" s="12" t="s">
        <v>2446</v>
      </c>
      <c r="K45" s="13" t="str">
        <f>IFERROR(__xludf.DUMMYFUNCTION("IF(ISBLANK(J45), ""Input test step"", ARRAYFORMULA(TEXTJOIN(CHAR(10), TRUE, (""Step ""&amp; ROW(INDIRECT(""1:"" &amp; COUNTA(SPLIT(J45, CHAR(10))))) &amp; "": "" &amp; TRANSPOSE(SPLIT(J45, CHAR(10)))))))"),"Step 1: Đăng nhập vào tài khoản
Step 2: Chọn tab Cá nhân 
Step 3: Chọn Đơn hàng --&gt; xem tất cả 
Step 4: Chọn tab "" Đang giao "" 
Step 5: Kiểm tra giá sau giảm")</f>
        <v>Step 1: Đăng nhập vào tài khoản
Step 2: Chọn tab Cá nhân 
Step 3: Chọn Đơn hàng --&gt; xem tất cả 
Step 4: Chọn tab " Đang giao " 
Step 5: Kiểm tra giá sau giảm</v>
      </c>
      <c r="L45" s="14"/>
      <c r="M45" s="12" t="s">
        <v>2402</v>
      </c>
      <c r="N45" s="38"/>
      <c r="O45" s="12" t="s">
        <v>2</v>
      </c>
      <c r="P45" s="38"/>
    </row>
    <row r="46">
      <c r="A46" s="37"/>
      <c r="B46" s="37"/>
      <c r="C46" s="37"/>
      <c r="D46" s="37"/>
      <c r="E46" s="37"/>
      <c r="F46" s="12" t="s">
        <v>2447</v>
      </c>
      <c r="G46" s="56"/>
      <c r="H46" s="12" t="s">
        <v>2106</v>
      </c>
      <c r="I46" s="12" t="s">
        <v>2333</v>
      </c>
      <c r="J46" s="12" t="s">
        <v>2448</v>
      </c>
      <c r="K46" s="13" t="str">
        <f>IFERROR(__xludf.DUMMYFUNCTION("IF(ISBLANK(J46), ""Input test step"", ARRAYFORMULA(TEXTJOIN(CHAR(10), TRUE, (""Step ""&amp; ROW(INDIRECT(""1:"" &amp; COUNTA(SPLIT(J46, CHAR(10))))) &amp; "": "" &amp; TRANSPOSE(SPLIT(J46, CHAR(10)))))))"),"Step 1: Đăng nhập vào tài khoản
Step 2: Chọn tab Cá nhân 
Step 3: Chọn Đơn hàng --&gt; xem tất cả 
Step 4: Chọn tab "" Đang giao"" 
Step 5: Kiểm tra hình ảnh sản phẩm")</f>
        <v>Step 1: Đăng nhập vào tài khoản
Step 2: Chọn tab Cá nhân 
Step 3: Chọn Đơn hàng --&gt; xem tất cả 
Step 4: Chọn tab " Đang giao" 
Step 5: Kiểm tra hình ảnh sản phẩm</v>
      </c>
      <c r="L46" s="14"/>
      <c r="M46" s="12" t="s">
        <v>2364</v>
      </c>
      <c r="N46" s="12" t="s">
        <v>2364</v>
      </c>
      <c r="O46" s="12" t="s">
        <v>1</v>
      </c>
      <c r="P46" s="38"/>
    </row>
    <row r="47">
      <c r="A47" s="37"/>
      <c r="B47" s="37"/>
      <c r="C47" s="37"/>
      <c r="D47" s="37"/>
      <c r="E47" s="37"/>
      <c r="F47" s="12" t="s">
        <v>2449</v>
      </c>
      <c r="G47" s="56"/>
      <c r="H47" s="45" t="s">
        <v>2367</v>
      </c>
      <c r="I47" s="12" t="s">
        <v>2333</v>
      </c>
      <c r="J47" s="12" t="s">
        <v>2450</v>
      </c>
      <c r="K47" s="13" t="str">
        <f>IFERROR(__xludf.DUMMYFUNCTION("IF(ISBLANK(J47), ""Input test step"", ARRAYFORMULA(TEXTJOIN(CHAR(10), TRUE, (""Step ""&amp; ROW(INDIRECT(""1:"" &amp; COUNTA(SPLIT(J47, CHAR(10))))) &amp; "": "" &amp; TRANSPOSE(SPLIT(J47, CHAR(10)))))))"),"Step 1: Đăng nhập vào tài khoản
Step 2: Chọn tab Cá nhân 
Step 3: Chọn Đơn hàng --&gt; xem tất cả 
Step 4: Chọn tab "" Đang giao "" 
Step 5: Kiểm tra ghi chú ")</f>
        <v>Step 1: Đăng nhập vào tài khoản
Step 2: Chọn tab Cá nhân 
Step 3: Chọn Đơn hàng --&gt; xem tất cả 
Step 4: Chọn tab " Đang giao " 
Step 5: Kiểm tra ghi chú </v>
      </c>
      <c r="L47" s="38"/>
      <c r="M47" s="45" t="s">
        <v>2369</v>
      </c>
      <c r="N47" s="45" t="s">
        <v>2369</v>
      </c>
      <c r="O47" s="12" t="s">
        <v>1</v>
      </c>
      <c r="P47" s="38"/>
    </row>
    <row r="48">
      <c r="A48" s="37"/>
      <c r="B48" s="37"/>
      <c r="C48" s="37"/>
      <c r="D48" s="37"/>
      <c r="E48" s="37"/>
      <c r="F48" s="12" t="s">
        <v>2451</v>
      </c>
      <c r="G48" s="56"/>
      <c r="H48" s="93" t="s">
        <v>2377</v>
      </c>
      <c r="I48" s="63" t="s">
        <v>2333</v>
      </c>
      <c r="J48" s="43" t="s">
        <v>2408</v>
      </c>
      <c r="K48" s="89" t="str">
        <f>IFERROR(__xludf.DUMMYFUNCTION("IF(ISBLANK(J48), ""Input test step"", ARRAYFORMULA(TEXTJOIN(CHAR(10), TRUE, (""Step ""&amp; ROW(INDIRECT(""1:"" &amp; COUNTA(SPLIT(J48, CHAR(10))))) &amp; "": "" &amp; TRANSPOSE(SPLIT(J48, CHAR(10)))))))"),"Step 1: Đăng nhập vào tài khoản
Step 2: Chọn tab Cá nhân 
Step 3: Chọn Đơn hàng --&gt; xem tất cả 
Step 4: Chọn tab "" Chờ xác nhận "" 
Step 5: Kiểm tra thao tác khi loading  sản phẩm")</f>
        <v>Step 1: Đăng nhập vào tài khoản
Step 2: Chọn tab Cá nhân 
Step 3: Chọn Đơn hàng --&gt; xem tất cả 
Step 4: Chọn tab " Chờ xác nhận " 
Step 5: Kiểm tra thao tác khi loading  sản phẩm</v>
      </c>
      <c r="L48" s="14"/>
      <c r="M48" s="73" t="s">
        <v>2379</v>
      </c>
      <c r="N48" s="12"/>
      <c r="O48" s="12"/>
      <c r="P48" s="38"/>
    </row>
    <row r="49">
      <c r="A49" s="37"/>
      <c r="B49" s="37"/>
      <c r="C49" s="37"/>
      <c r="D49" s="37"/>
      <c r="E49" s="37"/>
      <c r="F49" s="12" t="s">
        <v>2452</v>
      </c>
      <c r="G49" s="56"/>
      <c r="H49" s="93" t="s">
        <v>2381</v>
      </c>
      <c r="I49" s="63" t="s">
        <v>2333</v>
      </c>
      <c r="J49" s="43" t="s">
        <v>2410</v>
      </c>
      <c r="K49" s="89" t="str">
        <f>IFERROR(__xludf.DUMMYFUNCTION("IF(ISBLANK(J49), ""Input test step"", ARRAYFORMULA(TEXTJOIN(CHAR(10), TRUE, (""Step ""&amp; ROW(INDIRECT(""1:"" &amp; COUNTA(SPLIT(J49, CHAR(10))))) &amp; "": "" &amp; TRANSPOSE(SPLIT(J49, CHAR(10)))))))"),"Step 1: Đăng nhập vào tài khoản
Step 2: Chọn tab Cá nhân 
Step 3: Chọn Đơn hàng --&gt; xem tất cả 
Step 4: Chọn tab "" Chờ xác nhận "" 
Step 5: Kiểm tra khoảng cách giữa các dòng với nhau")</f>
        <v>Step 1: Đăng nhập vào tài khoản
Step 2: Chọn tab Cá nhân 
Step 3: Chọn Đơn hàng --&gt; xem tất cả 
Step 4: Chọn tab " Chờ xác nhận " 
Step 5: Kiểm tra khoảng cách giữa các dòng với nhau</v>
      </c>
      <c r="L49" s="14" t="s">
        <v>2383</v>
      </c>
      <c r="M49" s="73" t="s">
        <v>2384</v>
      </c>
      <c r="N49" s="73" t="s">
        <v>2385</v>
      </c>
      <c r="O49" s="12" t="s">
        <v>2</v>
      </c>
      <c r="P49" s="38"/>
    </row>
    <row r="50">
      <c r="A50" s="37"/>
      <c r="B50" s="37"/>
      <c r="C50" s="37"/>
      <c r="D50" s="37"/>
      <c r="E50" s="37"/>
      <c r="F50" s="12" t="s">
        <v>2453</v>
      </c>
      <c r="G50" s="56"/>
      <c r="H50" s="97" t="s">
        <v>2454</v>
      </c>
      <c r="I50" s="12" t="s">
        <v>2333</v>
      </c>
      <c r="J50" s="12" t="s">
        <v>2455</v>
      </c>
      <c r="K50" s="13" t="str">
        <f>IFERROR(__xludf.DUMMYFUNCTION("IF(ISBLANK(J50), ""Input test step"", ARRAYFORMULA(TEXTJOIN(CHAR(10), TRUE, (""Step ""&amp; ROW(INDIRECT(""1:"" &amp; COUNTA(SPLIT(J50, CHAR(10))))) &amp; "": "" &amp; TRANSPOSE(SPLIT(J50, CHAR(10)))))))"),"Step 1: Đăng nhập vào tài khoản
Step 2: Chọn tab Cá nhân 
Step 3: Chọn Đơn hàng --&gt; xem tất cả 
Step 4: Chọn tab "" Đã giao """)</f>
        <v>Step 1: Đăng nhập vào tài khoản
Step 2: Chọn tab Cá nhân 
Step 3: Chọn Đơn hàng --&gt; xem tất cả 
Step 4: Chọn tab " Đã giao "</v>
      </c>
      <c r="L50" s="14"/>
      <c r="M50" s="52" t="s">
        <v>2389</v>
      </c>
      <c r="N50" s="38"/>
      <c r="O50" s="12"/>
      <c r="P50" s="38"/>
    </row>
    <row r="51">
      <c r="A51" s="37"/>
      <c r="B51" s="37"/>
      <c r="C51" s="37"/>
      <c r="D51" s="37"/>
      <c r="E51" s="37"/>
      <c r="F51" s="12" t="s">
        <v>2456</v>
      </c>
      <c r="G51" s="56"/>
      <c r="H51" s="12" t="s">
        <v>2337</v>
      </c>
      <c r="I51" s="12" t="s">
        <v>2333</v>
      </c>
      <c r="J51" s="12" t="s">
        <v>2457</v>
      </c>
      <c r="K51" s="13" t="str">
        <f>IFERROR(__xludf.DUMMYFUNCTION("IF(ISBLANK(J51), ""Input test step"", ARRAYFORMULA(TEXTJOIN(CHAR(10), TRUE, (""Step ""&amp; ROW(INDIRECT(""1:"" &amp; COUNTA(SPLIT(J51, CHAR(10))))) &amp; "": "" &amp; TRANSPOSE(SPLIT(J51, CHAR(10)))))))"),"Step 1: Đăng nhập vào tài khoản
Step 2: Chọn tab Cá nhân 
Step 3: Chọn Đơn hàng --&gt; xem tất cả 
Step 4: Chọn tab "" Đã giao "" 
Step 5: Kiểm tra mã đơn hàng")</f>
        <v>Step 1: Đăng nhập vào tài khoản
Step 2: Chọn tab Cá nhân 
Step 3: Chọn Đơn hàng --&gt; xem tất cả 
Step 4: Chọn tab " Đã giao " 
Step 5: Kiểm tra mã đơn hàng</v>
      </c>
      <c r="L51" s="14"/>
      <c r="M51" s="12" t="s">
        <v>2339</v>
      </c>
      <c r="N51" s="38"/>
      <c r="O51" s="12"/>
      <c r="P51" s="38"/>
    </row>
    <row r="52">
      <c r="A52" s="37"/>
      <c r="B52" s="37"/>
      <c r="C52" s="37"/>
      <c r="D52" s="37"/>
      <c r="E52" s="37"/>
      <c r="F52" s="12" t="s">
        <v>2458</v>
      </c>
      <c r="G52" s="56"/>
      <c r="H52" s="12" t="s">
        <v>2342</v>
      </c>
      <c r="I52" s="12" t="s">
        <v>2333</v>
      </c>
      <c r="J52" s="12" t="s">
        <v>2459</v>
      </c>
      <c r="K52" s="13" t="str">
        <f>IFERROR(__xludf.DUMMYFUNCTION("IF(ISBLANK(J52), ""Input test step"", ARRAYFORMULA(TEXTJOIN(CHAR(10), TRUE, (""Step ""&amp; ROW(INDIRECT(""1:"" &amp; COUNTA(SPLIT(J52, CHAR(10))))) &amp; "": "" &amp; TRANSPOSE(SPLIT(J52, CHAR(10)))))))"),"Step 1: Đăng nhập vào tài khoản
Step 2: Chọn tab Cá nhân 
Step 3: Chọn Đơn hàng --&gt; xem tất cả 
Step 4: Chọn tab "" Đã giao "" 
Step 5: Kiểm tra thời gian đặt hàng")</f>
        <v>Step 1: Đăng nhập vào tài khoản
Step 2: Chọn tab Cá nhân 
Step 3: Chọn Đơn hàng --&gt; xem tất cả 
Step 4: Chọn tab " Đã giao " 
Step 5: Kiểm tra thời gian đặt hàng</v>
      </c>
      <c r="L52" s="14"/>
      <c r="M52" s="12" t="s">
        <v>2344</v>
      </c>
      <c r="N52" s="38"/>
      <c r="O52" s="12"/>
      <c r="P52" s="38"/>
    </row>
    <row r="53">
      <c r="A53" s="37"/>
      <c r="B53" s="37"/>
      <c r="C53" s="37"/>
      <c r="D53" s="37"/>
      <c r="E53" s="37"/>
      <c r="F53" s="12" t="s">
        <v>2460</v>
      </c>
      <c r="G53" s="56"/>
      <c r="H53" s="12" t="s">
        <v>2346</v>
      </c>
      <c r="I53" s="12" t="s">
        <v>2333</v>
      </c>
      <c r="J53" s="12" t="s">
        <v>2461</v>
      </c>
      <c r="K53" s="13" t="str">
        <f>IFERROR(__xludf.DUMMYFUNCTION("IF(ISBLANK(J53), ""Input test step"", ARRAYFORMULA(TEXTJOIN(CHAR(10), TRUE, (""Step ""&amp; ROW(INDIRECT(""1:"" &amp; COUNTA(SPLIT(J53, CHAR(10))))) &amp; "": "" &amp; TRANSPOSE(SPLIT(J53, CHAR(10)))))))"),"Step 1: Đăng nhập vào tài khoản
Step 2: Chọn tab Cá nhân 
Step 3: Chọn Đơn hàng --&gt; xem tất cả 
Step 4: Chọn tab "" Đã giao "" 
Step 5: Kiểm tra tên sản phẩm")</f>
        <v>Step 1: Đăng nhập vào tài khoản
Step 2: Chọn tab Cá nhân 
Step 3: Chọn Đơn hàng --&gt; xem tất cả 
Step 4: Chọn tab " Đã giao " 
Step 5: Kiểm tra tên sản phẩm</v>
      </c>
      <c r="L53" s="14"/>
      <c r="M53" s="12" t="s">
        <v>2348</v>
      </c>
      <c r="N53" s="38"/>
      <c r="O53" s="12"/>
      <c r="P53" s="38"/>
    </row>
    <row r="54">
      <c r="A54" s="37"/>
      <c r="B54" s="37"/>
      <c r="C54" s="37"/>
      <c r="D54" s="37"/>
      <c r="E54" s="37"/>
      <c r="F54" s="12" t="s">
        <v>2462</v>
      </c>
      <c r="G54" s="56"/>
      <c r="H54" s="12" t="s">
        <v>2350</v>
      </c>
      <c r="I54" s="12" t="s">
        <v>2333</v>
      </c>
      <c r="J54" s="12" t="s">
        <v>2463</v>
      </c>
      <c r="K54" s="13" t="str">
        <f>IFERROR(__xludf.DUMMYFUNCTION("IF(ISBLANK(J54), ""Input test step"", ARRAYFORMULA(TEXTJOIN(CHAR(10), TRUE, (""Step ""&amp; ROW(INDIRECT(""1:"" &amp; COUNTA(SPLIT(J54, CHAR(10))))) &amp; "": "" &amp; TRANSPOSE(SPLIT(J54, CHAR(10)))))))"),"Step 1: Đăng nhập vào tài khoản
Step 2: Chọn tab Cá nhân 
Step 3: Chọn Đơn hàng --&gt; xem tất cả 
Step 4: Chọn tab "" Đã giao "" 
Step 5: Kiểm tra số lượng")</f>
        <v>Step 1: Đăng nhập vào tài khoản
Step 2: Chọn tab Cá nhân 
Step 3: Chọn Đơn hàng --&gt; xem tất cả 
Step 4: Chọn tab " Đã giao " 
Step 5: Kiểm tra số lượng</v>
      </c>
      <c r="L54" s="14"/>
      <c r="M54" s="12" t="s">
        <v>2352</v>
      </c>
      <c r="N54" s="38"/>
      <c r="O54" s="12"/>
      <c r="P54" s="38"/>
    </row>
    <row r="55">
      <c r="A55" s="37"/>
      <c r="B55" s="37"/>
      <c r="C55" s="37"/>
      <c r="D55" s="37"/>
      <c r="E55" s="37"/>
      <c r="F55" s="12" t="s">
        <v>2464</v>
      </c>
      <c r="G55" s="56"/>
      <c r="H55" s="12" t="s">
        <v>2354</v>
      </c>
      <c r="I55" s="12" t="s">
        <v>2333</v>
      </c>
      <c r="J55" s="12" t="s">
        <v>2444</v>
      </c>
      <c r="K55" s="13" t="str">
        <f>IFERROR(__xludf.DUMMYFUNCTION("IF(ISBLANK(J55), ""Input test step"", ARRAYFORMULA(TEXTJOIN(CHAR(10), TRUE, (""Step ""&amp; ROW(INDIRECT(""1:"" &amp; COUNTA(SPLIT(J55, CHAR(10))))) &amp; "": "" &amp; TRANSPOSE(SPLIT(J55, CHAR(10)))))))"),"Step 1: Đăng nhập vào tài khoản
Step 2: Chọn tab Cá nhân 
Step 3: Chọn Đơn hàng --&gt; xem tất cả 
Step 4: Chọn tab "" Đang giao"" 
Step 5: Kiểm tra giá gốc ")</f>
        <v>Step 1: Đăng nhập vào tài khoản
Step 2: Chọn tab Cá nhân 
Step 3: Chọn Đơn hàng --&gt; xem tất cả 
Step 4: Chọn tab " Đang giao" 
Step 5: Kiểm tra giá gốc </v>
      </c>
      <c r="L55" s="14"/>
      <c r="M55" s="12" t="s">
        <v>2356</v>
      </c>
      <c r="N55" s="38"/>
      <c r="O55" s="12"/>
      <c r="P55" s="38"/>
    </row>
    <row r="56">
      <c r="A56" s="37"/>
      <c r="B56" s="37"/>
      <c r="C56" s="37"/>
      <c r="D56" s="37"/>
      <c r="E56" s="37"/>
      <c r="F56" s="12" t="s">
        <v>2465</v>
      </c>
      <c r="G56" s="56"/>
      <c r="H56" s="12" t="s">
        <v>2358</v>
      </c>
      <c r="I56" s="12" t="s">
        <v>2333</v>
      </c>
      <c r="J56" s="12" t="s">
        <v>2466</v>
      </c>
      <c r="K56" s="13" t="str">
        <f>IFERROR(__xludf.DUMMYFUNCTION("IF(ISBLANK(J56), ""Input test step"", ARRAYFORMULA(TEXTJOIN(CHAR(10), TRUE, (""Step ""&amp; ROW(INDIRECT(""1:"" &amp; COUNTA(SPLIT(J56, CHAR(10))))) &amp; "": "" &amp; TRANSPOSE(SPLIT(J56, CHAR(10)))))))"),"Step 1: Đăng nhập vào tài khoản
Step 2: Chọn tab Cá nhân 
Step 3: Chọn Đơn hàng --&gt; xem tất cả 
Step 4: Chọn tab "" Đã giao "" 
Step 5: Kiểm tra giá sau giảm")</f>
        <v>Step 1: Đăng nhập vào tài khoản
Step 2: Chọn tab Cá nhân 
Step 3: Chọn Đơn hàng --&gt; xem tất cả 
Step 4: Chọn tab " Đã giao " 
Step 5: Kiểm tra giá sau giảm</v>
      </c>
      <c r="L56" s="14"/>
      <c r="M56" s="12" t="s">
        <v>2402</v>
      </c>
      <c r="N56" s="38"/>
      <c r="O56" s="12"/>
      <c r="P56" s="38"/>
    </row>
    <row r="57">
      <c r="A57" s="37"/>
      <c r="B57" s="37"/>
      <c r="C57" s="37"/>
      <c r="D57" s="37"/>
      <c r="E57" s="37"/>
      <c r="F57" s="12" t="s">
        <v>2467</v>
      </c>
      <c r="G57" s="56"/>
      <c r="H57" s="12" t="s">
        <v>2106</v>
      </c>
      <c r="I57" s="12" t="s">
        <v>2333</v>
      </c>
      <c r="J57" s="12" t="s">
        <v>2468</v>
      </c>
      <c r="K57" s="13" t="str">
        <f>IFERROR(__xludf.DUMMYFUNCTION("IF(ISBLANK(J57), ""Input test step"", ARRAYFORMULA(TEXTJOIN(CHAR(10), TRUE, (""Step ""&amp; ROW(INDIRECT(""1:"" &amp; COUNTA(SPLIT(J57, CHAR(10))))) &amp; "": "" &amp; TRANSPOSE(SPLIT(J57, CHAR(10)))))))"),"Step 1: Đăng nhập vào tài khoản
Step 2: Chọn tab Cá nhân 
Step 3: Chọn Đơn hàng --&gt; xem tất cả 
Step 4: Chọn tab "" Đã giao "" 
Step 5: Kiểm tra hình ảnh sản phẩm")</f>
        <v>Step 1: Đăng nhập vào tài khoản
Step 2: Chọn tab Cá nhân 
Step 3: Chọn Đơn hàng --&gt; xem tất cả 
Step 4: Chọn tab " Đã giao " 
Step 5: Kiểm tra hình ảnh sản phẩm</v>
      </c>
      <c r="L57" s="14"/>
      <c r="M57" s="12" t="s">
        <v>2364</v>
      </c>
      <c r="N57" s="38"/>
      <c r="O57" s="12"/>
      <c r="P57" s="38"/>
    </row>
    <row r="58">
      <c r="A58" s="37"/>
      <c r="B58" s="37"/>
      <c r="C58" s="37"/>
      <c r="D58" s="37"/>
      <c r="E58" s="37"/>
      <c r="F58" s="12" t="s">
        <v>2469</v>
      </c>
      <c r="G58" s="56"/>
      <c r="H58" s="45" t="s">
        <v>2367</v>
      </c>
      <c r="I58" s="12" t="s">
        <v>2333</v>
      </c>
      <c r="J58" s="12" t="s">
        <v>2470</v>
      </c>
      <c r="K58" s="13" t="str">
        <f>IFERROR(__xludf.DUMMYFUNCTION("IF(ISBLANK(J58), ""Input test step"", ARRAYFORMULA(TEXTJOIN(CHAR(10), TRUE, (""Step ""&amp; ROW(INDIRECT(""1:"" &amp; COUNTA(SPLIT(J58, CHAR(10))))) &amp; "": "" &amp; TRANSPOSE(SPLIT(J58, CHAR(10)))))))"),"Step 1: Đăng nhập vào tài khoản
Step 2: Chọn tab Cá nhân 
Step 3: Chọn Đơn hàng --&gt; xem tất cả 
Step 4: Chọn tab "" Đã giao "" 
Step 5: Kiểm tra ghi chú ")</f>
        <v>Step 1: Đăng nhập vào tài khoản
Step 2: Chọn tab Cá nhân 
Step 3: Chọn Đơn hàng --&gt; xem tất cả 
Step 4: Chọn tab " Đã giao " 
Step 5: Kiểm tra ghi chú </v>
      </c>
      <c r="L58" s="38"/>
      <c r="M58" s="45" t="s">
        <v>2369</v>
      </c>
      <c r="N58" s="38"/>
      <c r="O58" s="12"/>
      <c r="P58" s="38"/>
    </row>
    <row r="59">
      <c r="A59" s="37"/>
      <c r="B59" s="37"/>
      <c r="C59" s="37"/>
      <c r="D59" s="37"/>
      <c r="E59" s="37"/>
      <c r="F59" s="12" t="s">
        <v>2471</v>
      </c>
      <c r="G59" s="56"/>
      <c r="H59" s="98" t="s">
        <v>2472</v>
      </c>
      <c r="I59" s="12" t="s">
        <v>2333</v>
      </c>
      <c r="J59" s="12" t="s">
        <v>2473</v>
      </c>
      <c r="K59" s="13" t="str">
        <f>IFERROR(__xludf.DUMMYFUNCTION("IF(ISBLANK(J59), ""Input test step"", ARRAYFORMULA(TEXTJOIN(CHAR(10), TRUE, (""Step ""&amp; ROW(INDIRECT(""1:"" &amp; COUNTA(SPLIT(J59, CHAR(10))))) &amp; "": "" &amp; TRANSPOSE(SPLIT(J59, CHAR(10)))))))"),"Step 1: Đăng nhập vào tài khoản
Step 2: Chọn tab Cá nhân 
Step 3: Chọn Đơn hàng --&gt; xem tất cả 
Step 4: Chọn tab "" Đã huỷ """)</f>
        <v>Step 1: Đăng nhập vào tài khoản
Step 2: Chọn tab Cá nhân 
Step 3: Chọn Đơn hàng --&gt; xem tất cả 
Step 4: Chọn tab " Đã huỷ "</v>
      </c>
      <c r="L59" s="14"/>
      <c r="M59" s="52" t="s">
        <v>2389</v>
      </c>
      <c r="N59" s="38"/>
      <c r="O59" s="12"/>
      <c r="P59" s="38"/>
    </row>
    <row r="60">
      <c r="A60" s="37"/>
      <c r="B60" s="37"/>
      <c r="C60" s="37"/>
      <c r="D60" s="37"/>
      <c r="E60" s="37"/>
      <c r="F60" s="12" t="s">
        <v>2474</v>
      </c>
      <c r="G60" s="56"/>
      <c r="H60" s="12" t="s">
        <v>2337</v>
      </c>
      <c r="I60" s="12" t="s">
        <v>2333</v>
      </c>
      <c r="J60" s="12" t="s">
        <v>2475</v>
      </c>
      <c r="K60" s="13" t="str">
        <f>IFERROR(__xludf.DUMMYFUNCTION("IF(ISBLANK(J60), ""Input test step"", ARRAYFORMULA(TEXTJOIN(CHAR(10), TRUE, (""Step ""&amp; ROW(INDIRECT(""1:"" &amp; COUNTA(SPLIT(J60, CHAR(10))))) &amp; "": "" &amp; TRANSPOSE(SPLIT(J60, CHAR(10)))))))"),"Step 1: Đăng nhập vào tài khoản
Step 2: Chọn tab Cá nhân 
Step 3: Chọn Đơn hàng --&gt; xem tất cả 
Step 4: Chọn tab "" Đã huỷ "" 
Step 5: Kiểm tra mã đơn hàng")</f>
        <v>Step 1: Đăng nhập vào tài khoản
Step 2: Chọn tab Cá nhân 
Step 3: Chọn Đơn hàng --&gt; xem tất cả 
Step 4: Chọn tab " Đã huỷ " 
Step 5: Kiểm tra mã đơn hàng</v>
      </c>
      <c r="L60" s="14"/>
      <c r="M60" s="12" t="s">
        <v>2339</v>
      </c>
      <c r="N60" s="38"/>
      <c r="O60" s="12"/>
      <c r="P60" s="38"/>
    </row>
    <row r="61">
      <c r="A61" s="37"/>
      <c r="B61" s="37"/>
      <c r="C61" s="37"/>
      <c r="D61" s="37"/>
      <c r="E61" s="37"/>
      <c r="F61" s="12" t="s">
        <v>2476</v>
      </c>
      <c r="G61" s="56"/>
      <c r="H61" s="12" t="s">
        <v>2342</v>
      </c>
      <c r="I61" s="12" t="s">
        <v>2333</v>
      </c>
      <c r="J61" s="12" t="s">
        <v>2477</v>
      </c>
      <c r="K61" s="13" t="str">
        <f>IFERROR(__xludf.DUMMYFUNCTION("IF(ISBLANK(J61), ""Input test step"", ARRAYFORMULA(TEXTJOIN(CHAR(10), TRUE, (""Step ""&amp; ROW(INDIRECT(""1:"" &amp; COUNTA(SPLIT(J61, CHAR(10))))) &amp; "": "" &amp; TRANSPOSE(SPLIT(J61, CHAR(10)))))))"),"Step 1: Đăng nhập vào tài khoản
Step 2: Chọn tab Cá nhân 
Step 3: Chọn Đơn hàng --&gt; xem tất cả 
Step 4: Chọn tab "" Đã huỷ "" 
Step 5: Kiểm tra thời gian đặt hàng")</f>
        <v>Step 1: Đăng nhập vào tài khoản
Step 2: Chọn tab Cá nhân 
Step 3: Chọn Đơn hàng --&gt; xem tất cả 
Step 4: Chọn tab " Đã huỷ " 
Step 5: Kiểm tra thời gian đặt hàng</v>
      </c>
      <c r="L61" s="14"/>
      <c r="M61" s="12" t="s">
        <v>2344</v>
      </c>
      <c r="N61" s="38"/>
      <c r="O61" s="12"/>
      <c r="P61" s="38"/>
    </row>
    <row r="62">
      <c r="A62" s="37"/>
      <c r="B62" s="37"/>
      <c r="C62" s="37"/>
      <c r="D62" s="37"/>
      <c r="E62" s="37"/>
      <c r="F62" s="12" t="s">
        <v>2478</v>
      </c>
      <c r="G62" s="56"/>
      <c r="H62" s="12" t="s">
        <v>2346</v>
      </c>
      <c r="I62" s="12" t="s">
        <v>2333</v>
      </c>
      <c r="J62" s="12" t="s">
        <v>2479</v>
      </c>
      <c r="K62" s="13" t="str">
        <f>IFERROR(__xludf.DUMMYFUNCTION("IF(ISBLANK(J62), ""Input test step"", ARRAYFORMULA(TEXTJOIN(CHAR(10), TRUE, (""Step ""&amp; ROW(INDIRECT(""1:"" &amp; COUNTA(SPLIT(J62, CHAR(10))))) &amp; "": "" &amp; TRANSPOSE(SPLIT(J62, CHAR(10)))))))"),"Step 1: Đăng nhập vào tài khoản
Step 2: Chọn tab Cá nhân 
Step 3: Chọn Đơn hàng --&gt; xem tất cả 
Step 4: Chọn tab "" Đã huỷ "" 
Step 5: Kiểm tra tên sản phẩm")</f>
        <v>Step 1: Đăng nhập vào tài khoản
Step 2: Chọn tab Cá nhân 
Step 3: Chọn Đơn hàng --&gt; xem tất cả 
Step 4: Chọn tab " Đã huỷ " 
Step 5: Kiểm tra tên sản phẩm</v>
      </c>
      <c r="L62" s="14"/>
      <c r="M62" s="12" t="s">
        <v>2348</v>
      </c>
      <c r="N62" s="38"/>
      <c r="O62" s="12"/>
      <c r="P62" s="38"/>
    </row>
    <row r="63">
      <c r="A63" s="37"/>
      <c r="B63" s="37"/>
      <c r="C63" s="37"/>
      <c r="D63" s="37"/>
      <c r="E63" s="37"/>
      <c r="F63" s="12" t="s">
        <v>2480</v>
      </c>
      <c r="G63" s="56"/>
      <c r="H63" s="12" t="s">
        <v>2350</v>
      </c>
      <c r="I63" s="12" t="s">
        <v>2333</v>
      </c>
      <c r="J63" s="12" t="s">
        <v>2481</v>
      </c>
      <c r="K63" s="13" t="str">
        <f>IFERROR(__xludf.DUMMYFUNCTION("IF(ISBLANK(J63), ""Input test step"", ARRAYFORMULA(TEXTJOIN(CHAR(10), TRUE, (""Step ""&amp; ROW(INDIRECT(""1:"" &amp; COUNTA(SPLIT(J63, CHAR(10))))) &amp; "": "" &amp; TRANSPOSE(SPLIT(J63, CHAR(10)))))))"),"Step 1: Đăng nhập vào tài khoản
Step 2: Chọn tab Cá nhân 
Step 3: Chọn Đơn hàng --&gt; xem tất cả 
Step 4: Chọn tab "" Đã huỷ "" 
Step 5: Kiểm tra số lượng")</f>
        <v>Step 1: Đăng nhập vào tài khoản
Step 2: Chọn tab Cá nhân 
Step 3: Chọn Đơn hàng --&gt; xem tất cả 
Step 4: Chọn tab " Đã huỷ " 
Step 5: Kiểm tra số lượng</v>
      </c>
      <c r="L63" s="14"/>
      <c r="M63" s="12" t="s">
        <v>2352</v>
      </c>
      <c r="N63" s="38"/>
      <c r="O63" s="12"/>
      <c r="P63" s="38"/>
    </row>
    <row r="64">
      <c r="A64" s="37"/>
      <c r="B64" s="37"/>
      <c r="C64" s="37"/>
      <c r="D64" s="37"/>
      <c r="E64" s="37"/>
      <c r="F64" s="12" t="s">
        <v>2482</v>
      </c>
      <c r="G64" s="56"/>
      <c r="H64" s="12" t="s">
        <v>2354</v>
      </c>
      <c r="I64" s="12" t="s">
        <v>2333</v>
      </c>
      <c r="J64" s="12" t="s">
        <v>2483</v>
      </c>
      <c r="K64" s="13" t="str">
        <f>IFERROR(__xludf.DUMMYFUNCTION("IF(ISBLANK(J64), ""Input test step"", ARRAYFORMULA(TEXTJOIN(CHAR(10), TRUE, (""Step ""&amp; ROW(INDIRECT(""1:"" &amp; COUNTA(SPLIT(J64, CHAR(10))))) &amp; "": "" &amp; TRANSPOSE(SPLIT(J64, CHAR(10)))))))"),"Step 1: Đăng nhập vào tài khoản
Step 2: Chọn tab Cá nhân 
Step 3: Chọn Đơn hàng --&gt; xem tất cả 
Step 4: Chọn tab "" Đã huỷ "" 
Step 5: Kiểm tra giá gốc ")</f>
        <v>Step 1: Đăng nhập vào tài khoản
Step 2: Chọn tab Cá nhân 
Step 3: Chọn Đơn hàng --&gt; xem tất cả 
Step 4: Chọn tab " Đã huỷ " 
Step 5: Kiểm tra giá gốc </v>
      </c>
      <c r="L64" s="14"/>
      <c r="M64" s="12" t="s">
        <v>2356</v>
      </c>
      <c r="N64" s="38"/>
      <c r="O64" s="12"/>
      <c r="P64" s="38"/>
    </row>
    <row r="65">
      <c r="A65" s="37"/>
      <c r="B65" s="37"/>
      <c r="C65" s="37"/>
      <c r="D65" s="37"/>
      <c r="E65" s="37"/>
      <c r="F65" s="12" t="s">
        <v>2484</v>
      </c>
      <c r="G65" s="56"/>
      <c r="H65" s="12" t="s">
        <v>2358</v>
      </c>
      <c r="I65" s="12" t="s">
        <v>2333</v>
      </c>
      <c r="J65" s="12" t="s">
        <v>2485</v>
      </c>
      <c r="K65" s="13" t="str">
        <f>IFERROR(__xludf.DUMMYFUNCTION("IF(ISBLANK(J65), ""Input test step"", ARRAYFORMULA(TEXTJOIN(CHAR(10), TRUE, (""Step ""&amp; ROW(INDIRECT(""1:"" &amp; COUNTA(SPLIT(J65, CHAR(10))))) &amp; "": "" &amp; TRANSPOSE(SPLIT(J65, CHAR(10)))))))"),"Step 1: Đăng nhập vào tài khoản
Step 2: Chọn tab Cá nhân 
Step 3: Chọn Đơn hàng --&gt; xem tất cả 
Step 4: Chọn tab "" Đã huỷ "" 
Step 5: Kiểm tra giá sau giảm")</f>
        <v>Step 1: Đăng nhập vào tài khoản
Step 2: Chọn tab Cá nhân 
Step 3: Chọn Đơn hàng --&gt; xem tất cả 
Step 4: Chọn tab " Đã huỷ " 
Step 5: Kiểm tra giá sau giảm</v>
      </c>
      <c r="L65" s="14"/>
      <c r="M65" s="12" t="s">
        <v>2402</v>
      </c>
      <c r="N65" s="38"/>
      <c r="O65" s="12"/>
      <c r="P65" s="38"/>
    </row>
    <row r="66">
      <c r="A66" s="37"/>
      <c r="B66" s="37"/>
      <c r="C66" s="37"/>
      <c r="D66" s="37"/>
      <c r="E66" s="37"/>
      <c r="F66" s="12" t="s">
        <v>2486</v>
      </c>
      <c r="G66" s="56"/>
      <c r="H66" s="12" t="s">
        <v>2106</v>
      </c>
      <c r="I66" s="12" t="s">
        <v>2333</v>
      </c>
      <c r="J66" s="12" t="s">
        <v>2487</v>
      </c>
      <c r="K66" s="13" t="str">
        <f>IFERROR(__xludf.DUMMYFUNCTION("IF(ISBLANK(J66), ""Input test step"", ARRAYFORMULA(TEXTJOIN(CHAR(10), TRUE, (""Step ""&amp; ROW(INDIRECT(""1:"" &amp; COUNTA(SPLIT(J66, CHAR(10))))) &amp; "": "" &amp; TRANSPOSE(SPLIT(J66, CHAR(10)))))))"),"Step 1: Đăng nhập vào tài khoản
Step 2: Chọn tab Cá nhân 
Step 3: Chọn Đơn hàng --&gt; xem tất cả 
Step 4: Chọn tab "" Đã huỷ "" 
Step 5: Kiểm tra hình ảnh sản phẩm")</f>
        <v>Step 1: Đăng nhập vào tài khoản
Step 2: Chọn tab Cá nhân 
Step 3: Chọn Đơn hàng --&gt; xem tất cả 
Step 4: Chọn tab " Đã huỷ " 
Step 5: Kiểm tra hình ảnh sản phẩm</v>
      </c>
      <c r="L66" s="14"/>
      <c r="M66" s="12" t="s">
        <v>2364</v>
      </c>
      <c r="N66" s="38"/>
      <c r="O66" s="12"/>
      <c r="P66" s="38"/>
    </row>
    <row r="67">
      <c r="A67" s="37"/>
      <c r="B67" s="37"/>
      <c r="C67" s="37"/>
      <c r="D67" s="37"/>
      <c r="E67" s="37"/>
      <c r="F67" s="12" t="s">
        <v>2488</v>
      </c>
      <c r="G67" s="56"/>
      <c r="H67" s="45" t="s">
        <v>2367</v>
      </c>
      <c r="I67" s="12" t="s">
        <v>2333</v>
      </c>
      <c r="J67" s="12" t="s">
        <v>2489</v>
      </c>
      <c r="K67" s="13" t="str">
        <f>IFERROR(__xludf.DUMMYFUNCTION("IF(ISBLANK(J67), ""Input test step"", ARRAYFORMULA(TEXTJOIN(CHAR(10), TRUE, (""Step ""&amp; ROW(INDIRECT(""1:"" &amp; COUNTA(SPLIT(J67, CHAR(10))))) &amp; "": "" &amp; TRANSPOSE(SPLIT(J67, CHAR(10)))))))"),"Step 1: Đăng nhập vào tài khoản
Step 2: Chọn tab Cá nhân 
Step 3: Chọn Đơn hàng --&gt; xem tất cả 
Step 4: Chọn tab "" Đã huỷ "" 
Step 5: Kiểm tra ghi chú ")</f>
        <v>Step 1: Đăng nhập vào tài khoản
Step 2: Chọn tab Cá nhân 
Step 3: Chọn Đơn hàng --&gt; xem tất cả 
Step 4: Chọn tab " Đã huỷ " 
Step 5: Kiểm tra ghi chú </v>
      </c>
      <c r="L67" s="38"/>
      <c r="M67" s="45" t="s">
        <v>2369</v>
      </c>
      <c r="N67" s="38"/>
      <c r="O67" s="12"/>
      <c r="P67" s="38"/>
    </row>
    <row r="68">
      <c r="A68" s="37"/>
      <c r="B68" s="37"/>
      <c r="C68" s="37"/>
      <c r="D68" s="37"/>
      <c r="E68" s="37"/>
      <c r="F68" s="12" t="s">
        <v>2490</v>
      </c>
      <c r="G68" s="56"/>
      <c r="H68" s="73" t="s">
        <v>2491</v>
      </c>
      <c r="I68" s="12" t="s">
        <v>2333</v>
      </c>
      <c r="J68" s="12" t="s">
        <v>2492</v>
      </c>
      <c r="K68" s="13" t="str">
        <f>IFERROR(__xludf.DUMMYFUNCTION("IF(ISBLANK(J68), ""Input test step"", ARRAYFORMULA(TEXTJOIN(CHAR(10), TRUE, (""Step ""&amp; ROW(INDIRECT(""1:"" &amp; COUNTA(SPLIT(J68, CHAR(10))))) &amp; "": "" &amp; TRANSPOSE(SPLIT(J68, CHAR(10)))))))"),"Step 1: Đăng nhập vào tài khoản
Step 2: Chọn tab Cá nhân 
Step 3: Chọn Đơn hàng --&gt; xem tất cả 
Step 4: Chọn tab "" Đã huỷ "" 
Step 5: Kiểm tra Tổng số tiền và tổng số lượng hiển thị của đơn hàng đã hủy ( kiểm tra kích thước, cỡ chữ , màu sắc )")</f>
        <v>Step 1: Đăng nhập vào tài khoản
Step 2: Chọn tab Cá nhân 
Step 3: Chọn Đơn hàng --&gt; xem tất cả 
Step 4: Chọn tab " Đã huỷ " 
Step 5: Kiểm tra Tổng số tiền và tổng số lượng hiển thị của đơn hàng đã hủy ( kiểm tra kích thước, cỡ chữ , màu sắc )</v>
      </c>
      <c r="L68" s="38"/>
      <c r="M68" s="22" t="s">
        <v>2493</v>
      </c>
      <c r="N68" s="38"/>
      <c r="O68" s="12"/>
      <c r="P68" s="38"/>
    </row>
    <row r="69">
      <c r="A69" s="37"/>
      <c r="B69" s="37"/>
      <c r="C69" s="37"/>
      <c r="D69" s="37"/>
      <c r="E69" s="37"/>
      <c r="F69" s="12" t="s">
        <v>2494</v>
      </c>
      <c r="G69" s="57"/>
      <c r="H69" s="45" t="s">
        <v>2495</v>
      </c>
      <c r="I69" s="12" t="s">
        <v>2333</v>
      </c>
      <c r="J69" s="12" t="s">
        <v>2496</v>
      </c>
      <c r="K69" s="13" t="str">
        <f>IFERROR(__xludf.DUMMYFUNCTION("IF(ISBLANK(J69), ""Input test step"", ARRAYFORMULA(TEXTJOIN(CHAR(10), TRUE, (""Step ""&amp; ROW(INDIRECT(""1:"" &amp; COUNTA(SPLIT(J69, CHAR(10))))) &amp; "": "" &amp; TRANSPOSE(SPLIT(J69, CHAR(10)))))))"),"Step 1: Đăng nhập vào tài khoản
Step 2: Chọn tab Cá nhân 
Step 3: Chọn Đơn hàng --&gt; xem tất cả 
Step 4: Chọn tab "" Đã huỷ "" 
Step 5: Kiểm tra chức năng nút Mua lại , kiểm tra màu sắc, kích thước, cỡ chữ")</f>
        <v>Step 1: Đăng nhập vào tài khoản
Step 2: Chọn tab Cá nhân 
Step 3: Chọn Đơn hàng --&gt; xem tất cả 
Step 4: Chọn tab " Đã huỷ " 
Step 5: Kiểm tra chức năng nút Mua lại , kiểm tra màu sắc, kích thước, cỡ chữ</v>
      </c>
      <c r="L69" s="38"/>
      <c r="M69" s="22" t="s">
        <v>2497</v>
      </c>
      <c r="N69" s="38"/>
      <c r="O69" s="12"/>
      <c r="P69" s="38"/>
    </row>
    <row r="70">
      <c r="A70" s="37"/>
      <c r="B70" s="37"/>
      <c r="C70" s="37"/>
      <c r="D70" s="37"/>
      <c r="E70" s="37"/>
      <c r="F70" s="12" t="s">
        <v>2498</v>
      </c>
      <c r="G70" s="99" t="s">
        <v>2499</v>
      </c>
      <c r="H70" s="73" t="s">
        <v>2500</v>
      </c>
      <c r="I70" s="12" t="s">
        <v>2333</v>
      </c>
      <c r="J70" s="12" t="s">
        <v>2501</v>
      </c>
      <c r="K70" s="13" t="str">
        <f>IFERROR(__xludf.DUMMYFUNCTION("IF(ISBLANK(J70), ""Input test step"", ARRAYFORMULA(TEXTJOIN(CHAR(10), TRUE, (""Step ""&amp; ROW(INDIRECT(""1:"" &amp; COUNTA(SPLIT(J70, CHAR(10))))) &amp; "": "" &amp; TRANSPOSE(SPLIT(J70, CHAR(10)))))))"),"Step 1: Đăng nhập vào tài khoản
Step 2: Chọn tab Cá nhân 
Step 3: Chọn Đơn hàng --&gt; xem tất cả 
Step 4: Chọn tab "" Đã huỷ "" 
Step 5: Kiểm tra chức năng nút Mua lại , khi nhấn vào sẽ hiển thị ra màn hình "" GIỎ HÀNG CỦA TÔI "" hoặc hiển thị "" SẢN PHẨM Đ"&amp;"Ã HẾT """)</f>
        <v>Step 1: Đăng nhập vào tài khoản
Step 2: Chọn tab Cá nhân 
Step 3: Chọn Đơn hàng --&gt; xem tất cả 
Step 4: Chọn tab " Đã huỷ " 
Step 5: Kiểm tra chức năng nút Mua lại , khi nhấn vào sẽ hiển thị ra màn hình " GIỎ HÀNG CỦA TÔI " hoặc hiển thị " SẢN PHẨM ĐÃ HẾT "</v>
      </c>
      <c r="L70" s="38"/>
      <c r="M70" s="21" t="s">
        <v>1619</v>
      </c>
      <c r="N70" s="38"/>
      <c r="O70" s="12"/>
      <c r="P70" s="38"/>
    </row>
    <row r="71">
      <c r="A71" s="37"/>
      <c r="B71" s="37"/>
      <c r="C71" s="37"/>
      <c r="D71" s="37"/>
      <c r="E71" s="37"/>
      <c r="F71" s="12" t="s">
        <v>2502</v>
      </c>
      <c r="G71" s="55" t="s">
        <v>2503</v>
      </c>
      <c r="H71" s="12" t="s">
        <v>2504</v>
      </c>
      <c r="I71" s="12" t="s">
        <v>2505</v>
      </c>
      <c r="J71" s="12" t="s">
        <v>2506</v>
      </c>
      <c r="K71" s="13" t="str">
        <f>IFERROR(__xludf.DUMMYFUNCTION("IF(ISBLANK(J71), ""Input test step"", ARRAYFORMULA(TEXTJOIN(CHAR(10), TRUE, (""Step ""&amp; ROW(INDIRECT(""1:"" &amp; COUNTA(SPLIT(J71, CHAR(10))))) &amp; "": "" &amp; TRANSPOSE(SPLIT(J71, CHAR(10)))))))"),"Step 1: Điều hướng tới trang ""Giỏ hàng của tôi""
Step 2: Kiểm tra hiển thị chính xác kich thước, vị trí và màu chữ của heading ")</f>
        <v>Step 1: Điều hướng tới trang "Giỏ hàng của tôi"
Step 2: Kiểm tra hiển thị chính xác kich thước, vị trí và màu chữ của heading </v>
      </c>
      <c r="L71" s="14"/>
      <c r="M71" s="12" t="s">
        <v>2507</v>
      </c>
      <c r="N71" s="38"/>
      <c r="O71" s="12"/>
      <c r="P71" s="38"/>
    </row>
    <row r="72">
      <c r="A72" s="37"/>
      <c r="B72" s="37"/>
      <c r="C72" s="37"/>
      <c r="D72" s="37"/>
      <c r="E72" s="37"/>
      <c r="F72" s="12" t="s">
        <v>2508</v>
      </c>
      <c r="G72" s="56"/>
      <c r="H72" s="12" t="s">
        <v>2509</v>
      </c>
      <c r="I72" s="12" t="s">
        <v>2510</v>
      </c>
      <c r="J72" s="12" t="s">
        <v>2511</v>
      </c>
      <c r="K72" s="13" t="str">
        <f>IFERROR(__xludf.DUMMYFUNCTION("IF(ISBLANK(J72), ""Input test step"", ARRAYFORMULA(TEXTJOIN(CHAR(10), TRUE, (""Step ""&amp; ROW(INDIRECT(""1:"" &amp; COUNTA(SPLIT(J72, CHAR(10))))) &amp; "": "" &amp; TRANSPOSE(SPLIT(J72, CHAR(10)))))))"),"Step 1: Điều hướng tới trang ""Giỏ hàng của tôi""
Step 2: Chọn vào icon &gt; bên phải của vùng hiển thị số tiền giảm giá
Step 3: Nhấn button close trên trang
Step 4: Kiểm tra và xác nhận hệ thống đóng trang ""Chọn voucher""")</f>
        <v>Step 1: Điều hướng tới trang "Giỏ hàng của tôi"
Step 2: Chọn vào icon &gt; bên phải của vùng hiển thị số tiền giảm giá
Step 3: Nhấn button close trên trang
Step 4: Kiểm tra và xác nhận hệ thống đóng trang "Chọn voucher"</v>
      </c>
      <c r="L72" s="14"/>
      <c r="M72" s="12" t="s">
        <v>2512</v>
      </c>
      <c r="N72" s="38"/>
      <c r="O72" s="12"/>
      <c r="P72" s="38"/>
    </row>
    <row r="73">
      <c r="A73" s="37"/>
      <c r="B73" s="37"/>
      <c r="C73" s="37"/>
      <c r="D73" s="37"/>
      <c r="E73" s="37"/>
      <c r="F73" s="12" t="s">
        <v>2513</v>
      </c>
      <c r="G73" s="56"/>
      <c r="H73" s="12" t="s">
        <v>2514</v>
      </c>
      <c r="I73" s="12" t="s">
        <v>2515</v>
      </c>
      <c r="J73" s="12" t="s">
        <v>2516</v>
      </c>
      <c r="K73" s="13" t="str">
        <f>IFERROR(__xludf.DUMMYFUNCTION("IF(ISBLANK(J73), ""Input test step"", ARRAYFORMULA(TEXTJOIN(CHAR(10), TRUE, (""Step ""&amp; ROW(INDIRECT(""1:"" &amp; COUNTA(SPLIT(J73, CHAR(10))))) &amp; "": "" &amp; TRANSPOSE(SPLIT(J73, CHAR(10)))))))"),"Step 1: Điều hướng tới trang ""Giỏ hàng của tôi""
Step 2: Kiểm tra hiển thị chính xác kich thước, vị trí của button ""Back""")</f>
        <v>Step 1: Điều hướng tới trang "Giỏ hàng của tôi"
Step 2: Kiểm tra hiển thị chính xác kich thước, vị trí của button "Back"</v>
      </c>
      <c r="L73" s="14"/>
      <c r="M73" s="12" t="s">
        <v>2517</v>
      </c>
      <c r="N73" s="38"/>
      <c r="O73" s="12"/>
      <c r="P73" s="38"/>
    </row>
    <row r="74">
      <c r="A74" s="37"/>
      <c r="B74" s="37"/>
      <c r="C74" s="37"/>
      <c r="D74" s="37"/>
      <c r="E74" s="37"/>
      <c r="F74" s="12" t="s">
        <v>2518</v>
      </c>
      <c r="G74" s="56"/>
      <c r="H74" s="12" t="s">
        <v>2519</v>
      </c>
      <c r="I74" s="12" t="s">
        <v>2515</v>
      </c>
      <c r="J74" s="12" t="s">
        <v>2520</v>
      </c>
      <c r="K74" s="13" t="str">
        <f>IFERROR(__xludf.DUMMYFUNCTION("IF(ISBLANK(J74), ""Input test step"", ARRAYFORMULA(TEXTJOIN(CHAR(10), TRUE, (""Step ""&amp; ROW(INDIRECT(""1:"" &amp; COUNTA(SPLIT(J74, CHAR(10))))) &amp; "": "" &amp; TRANSPOSE(SPLIT(J74, CHAR(10)))))))"),"Step 1: Điều hướng tới trang ""Giỏ hàng của tôi""
Step 2: Kiểm tra hiển thị chính xác kich thước, vị trí của hộp tìm kiếm")</f>
        <v>Step 1: Điều hướng tới trang "Giỏ hàng của tôi"
Step 2: Kiểm tra hiển thị chính xác kich thước, vị trí của hộp tìm kiếm</v>
      </c>
      <c r="L74" s="14"/>
      <c r="M74" s="22" t="s">
        <v>2521</v>
      </c>
      <c r="N74" s="38"/>
      <c r="O74" s="12"/>
      <c r="P74" s="38"/>
    </row>
    <row r="75">
      <c r="A75" s="37"/>
      <c r="B75" s="37"/>
      <c r="C75" s="37"/>
      <c r="D75" s="37"/>
      <c r="E75" s="37"/>
      <c r="F75" s="12" t="s">
        <v>2522</v>
      </c>
      <c r="G75" s="56"/>
      <c r="H75" s="12" t="s">
        <v>2523</v>
      </c>
      <c r="I75" s="12" t="s">
        <v>2515</v>
      </c>
      <c r="J75" s="12" t="s">
        <v>2524</v>
      </c>
      <c r="K75" s="13" t="str">
        <f>IFERROR(__xludf.DUMMYFUNCTION("IF(ISBLANK(J75), ""Input test step"", ARRAYFORMULA(TEXTJOIN(CHAR(10), TRUE, (""Step ""&amp; ROW(INDIRECT(""1:"" &amp; COUNTA(SPLIT(J75, CHAR(10))))) &amp; "": "" &amp; TRANSPOSE(SPLIT(J75, CHAR(10)))))))"),"Step 1: Điều hướng tới trang ""Giỏ hàng của tôi""
Step 2: Kiểm tra hiển thị chính xác kich thước, vị trí và màu chữ của plahoder trong hộp thoại tìm kiếm ")</f>
        <v>Step 1: Điều hướng tới trang "Giỏ hàng của tôi"
Step 2: Kiểm tra hiển thị chính xác kich thước, vị trí và màu chữ của plahoder trong hộp thoại tìm kiếm </v>
      </c>
      <c r="L75" s="14"/>
      <c r="M75" s="12" t="s">
        <v>2525</v>
      </c>
      <c r="N75" s="38"/>
      <c r="O75" s="12"/>
      <c r="P75" s="38"/>
    </row>
    <row r="76">
      <c r="A76" s="37"/>
      <c r="B76" s="37"/>
      <c r="C76" s="37"/>
      <c r="D76" s="37"/>
      <c r="E76" s="37"/>
      <c r="F76" s="12" t="s">
        <v>2526</v>
      </c>
      <c r="G76" s="56"/>
      <c r="H76" s="12" t="s">
        <v>2527</v>
      </c>
      <c r="I76" s="12" t="s">
        <v>2510</v>
      </c>
      <c r="J76" s="12" t="s">
        <v>2528</v>
      </c>
      <c r="K76" s="13" t="str">
        <f>IFERROR(__xludf.DUMMYFUNCTION("IF(ISBLANK(J76), ""Input test step"", ARRAYFORMULA(TEXTJOIN(CHAR(10), TRUE, (""Step ""&amp; ROW(INDIRECT(""1:"" &amp; COUNTA(SPLIT(J76, CHAR(10))))) &amp; "": "" &amp; TRANSPOSE(SPLIT(J76, CHAR(10)))))))"),"Step 1: Điều hướng tới trang ""Giỏ hàng của tôi""
Step 2: Kiểm tra hiển thị đúng kích thước của hộp tìm kiếm khi button ""Xoá"" hiển thị và khi button ""Xoá"" bị ẩn ")</f>
        <v>Step 1: Điều hướng tới trang "Giỏ hàng của tôi"
Step 2: Kiểm tra hiển thị đúng kích thước của hộp tìm kiếm khi button "Xoá" hiển thị và khi button "Xoá" bị ẩn </v>
      </c>
      <c r="L76" s="14"/>
      <c r="M76" s="12" t="s">
        <v>2529</v>
      </c>
      <c r="N76" s="38"/>
      <c r="O76" s="12"/>
      <c r="P76" s="38"/>
    </row>
    <row r="77">
      <c r="A77" s="37"/>
      <c r="B77" s="37"/>
      <c r="C77" s="37"/>
      <c r="D77" s="37"/>
      <c r="E77" s="37"/>
      <c r="F77" s="12" t="s">
        <v>2530</v>
      </c>
      <c r="G77" s="56"/>
      <c r="H77" s="12" t="s">
        <v>2531</v>
      </c>
      <c r="I77" s="12" t="s">
        <v>2510</v>
      </c>
      <c r="J77" s="12" t="s">
        <v>2532</v>
      </c>
      <c r="K77" s="13" t="str">
        <f>IFERROR(__xludf.DUMMYFUNCTION("IF(ISBLANK(J77), ""Input test step"", ARRAYFORMULA(TEXTJOIN(CHAR(10), TRUE, (""Step ""&amp; ROW(INDIRECT(""1:"" &amp; COUNTA(SPLIT(J77, CHAR(10))))) &amp; "": "" &amp; TRANSPOSE(SPLIT(J77, CHAR(10)))))))"),"Step 1: Điều hướng tới trang ""Giỏ hàng của tôi""
Step 2: Kiểm tra hiển thị chính xác kich thước, vị trí, màu sắc, màu nền, button ""Xoá"" ")</f>
        <v>Step 1: Điều hướng tới trang "Giỏ hàng của tôi"
Step 2: Kiểm tra hiển thị chính xác kich thước, vị trí, màu sắc, màu nền, button "Xoá" </v>
      </c>
      <c r="L77" s="14"/>
      <c r="M77" s="12" t="s">
        <v>2533</v>
      </c>
      <c r="N77" s="38"/>
      <c r="O77" s="12"/>
      <c r="P77" s="38"/>
    </row>
    <row r="78">
      <c r="A78" s="37"/>
      <c r="B78" s="37"/>
      <c r="C78" s="37"/>
      <c r="D78" s="37"/>
      <c r="E78" s="37"/>
      <c r="F78" s="12" t="s">
        <v>2534</v>
      </c>
      <c r="G78" s="56"/>
      <c r="H78" s="12" t="s">
        <v>2535</v>
      </c>
      <c r="I78" s="12" t="s">
        <v>2536</v>
      </c>
      <c r="J78" s="12" t="s">
        <v>2537</v>
      </c>
      <c r="K78" s="13" t="str">
        <f>IFERROR(__xludf.DUMMYFUNCTION("IF(ISBLANK(J78), ""Input test step"", ARRAYFORMULA(TEXTJOIN(CHAR(10), TRUE, (""Step ""&amp; ROW(INDIRECT(""1:"" &amp; COUNTA(SPLIT(J78, CHAR(10))))) &amp; "": "" &amp; TRANSPOSE(SPLIT(J78, CHAR(10)))))))"),"Step 1: Điều hướng tới trang ""Giỏ hàng của tôi""
Step 2: Kiểm tra hiển thị chính xác vị trí của danh sách sản phẩm ")</f>
        <v>Step 1: Điều hướng tới trang "Giỏ hàng của tôi"
Step 2: Kiểm tra hiển thị chính xác vị trí của danh sách sản phẩm </v>
      </c>
      <c r="L78" s="14"/>
      <c r="M78" s="12" t="s">
        <v>2538</v>
      </c>
      <c r="N78" s="38"/>
      <c r="O78" s="12"/>
      <c r="P78" s="38"/>
    </row>
    <row r="79">
      <c r="A79" s="37"/>
      <c r="B79" s="37"/>
      <c r="C79" s="37"/>
      <c r="D79" s="37"/>
      <c r="E79" s="37"/>
      <c r="F79" s="12" t="s">
        <v>2539</v>
      </c>
      <c r="G79" s="56"/>
      <c r="H79" s="12" t="s">
        <v>2540</v>
      </c>
      <c r="I79" s="12" t="s">
        <v>2536</v>
      </c>
      <c r="J79" s="12" t="s">
        <v>2541</v>
      </c>
      <c r="K79" s="13" t="str">
        <f>IFERROR(__xludf.DUMMYFUNCTION("IF(ISBLANK(J79), ""Input test step"", ARRAYFORMULA(TEXTJOIN(CHAR(10), TRUE, (""Step ""&amp; ROW(INDIRECT(""1:"" &amp; COUNTA(SPLIT(J79, CHAR(10))))) &amp; "": "" &amp; TRANSPOSE(SPLIT(J79, CHAR(10)))))))"),"Step 1: Điều hướng tới trang ""Giỏ hàng của tôi""
Step 2: Kiểm tra khả năng cuộn mượt mà của danh sách")</f>
        <v>Step 1: Điều hướng tới trang "Giỏ hàng của tôi"
Step 2: Kiểm tra khả năng cuộn mượt mà của danh sách</v>
      </c>
      <c r="L79" s="14"/>
      <c r="M79" s="12" t="s">
        <v>2542</v>
      </c>
      <c r="N79" s="38"/>
      <c r="O79" s="12"/>
      <c r="P79" s="38"/>
    </row>
    <row r="80">
      <c r="A80" s="37"/>
      <c r="B80" s="37"/>
      <c r="C80" s="37"/>
      <c r="D80" s="37"/>
      <c r="E80" s="37"/>
      <c r="F80" s="12" t="s">
        <v>2543</v>
      </c>
      <c r="G80" s="56"/>
      <c r="H80" s="12" t="s">
        <v>2544</v>
      </c>
      <c r="I80" s="12" t="s">
        <v>2536</v>
      </c>
      <c r="J80" s="12" t="s">
        <v>2545</v>
      </c>
      <c r="K80" s="13" t="str">
        <f>IFERROR(__xludf.DUMMYFUNCTION("IF(ISBLANK(J80), ""Input test step"", ARRAYFORMULA(TEXTJOIN(CHAR(10), TRUE, (""Step ""&amp; ROW(INDIRECT(""1:"" &amp; COUNTA(SPLIT(J80, CHAR(10))))) &amp; "": "" &amp; TRANSPOSE(SPLIT(J80, CHAR(10)))))))"),"Step 1: Điều hướng tới trang ""Giỏ hàng của tôi""
Step 2: Kiểm tra hiển thị chính xác khoảng cách giữa các mục sản phẩm trong giỏ hàng ")</f>
        <v>Step 1: Điều hướng tới trang "Giỏ hàng của tôi"
Step 2: Kiểm tra hiển thị chính xác khoảng cách giữa các mục sản phẩm trong giỏ hàng </v>
      </c>
      <c r="L80" s="14"/>
      <c r="M80" s="12" t="s">
        <v>2546</v>
      </c>
      <c r="N80" s="38"/>
      <c r="O80" s="12"/>
      <c r="P80" s="38"/>
    </row>
    <row r="81">
      <c r="A81" s="37"/>
      <c r="B81" s="37"/>
      <c r="C81" s="37"/>
      <c r="D81" s="37"/>
      <c r="E81" s="37"/>
      <c r="F81" s="12" t="s">
        <v>2547</v>
      </c>
      <c r="G81" s="56"/>
      <c r="H81" s="12" t="s">
        <v>2548</v>
      </c>
      <c r="I81" s="12" t="s">
        <v>2536</v>
      </c>
      <c r="J81" s="12" t="s">
        <v>2549</v>
      </c>
      <c r="K81" s="13" t="str">
        <f>IFERROR(__xludf.DUMMYFUNCTION("IF(ISBLANK(J81), ""Input test step"", ARRAYFORMULA(TEXTJOIN(CHAR(10), TRUE, (""Step ""&amp; ROW(INDIRECT(""1:"" &amp; COUNTA(SPLIT(J81, CHAR(10))))) &amp; "": "" &amp; TRANSPOSE(SPLIT(J81, CHAR(10)))))))"),"Step 1: Điều hướng tới trang ""Giỏ hàng của tôi""
Step 2: Kiểm tra hiển thị chính xác kich thước, vị trí của check box trong 1 mục sản phẩm ")</f>
        <v>Step 1: Điều hướng tới trang "Giỏ hàng của tôi"
Step 2: Kiểm tra hiển thị chính xác kich thước, vị trí của check box trong 1 mục sản phẩm </v>
      </c>
      <c r="L81" s="14"/>
      <c r="M81" s="12" t="s">
        <v>2550</v>
      </c>
      <c r="N81" s="38"/>
      <c r="O81" s="12"/>
      <c r="P81" s="38"/>
    </row>
    <row r="82">
      <c r="A82" s="37"/>
      <c r="B82" s="37"/>
      <c r="C82" s="37"/>
      <c r="D82" s="37"/>
      <c r="E82" s="37"/>
      <c r="F82" s="12" t="s">
        <v>2551</v>
      </c>
      <c r="G82" s="56"/>
      <c r="H82" s="12" t="s">
        <v>2552</v>
      </c>
      <c r="I82" s="12" t="s">
        <v>2536</v>
      </c>
      <c r="J82" s="12" t="s">
        <v>2553</v>
      </c>
      <c r="K82" s="13" t="str">
        <f>IFERROR(__xludf.DUMMYFUNCTION("IF(ISBLANK(J82), ""Input test step"", ARRAYFORMULA(TEXTJOIN(CHAR(10), TRUE, (""Step ""&amp; ROW(INDIRECT(""1:"" &amp; COUNTA(SPLIT(J82, CHAR(10))))) &amp; "": "" &amp; TRANSPOSE(SPLIT(J82, CHAR(10)))))))"),"Step 1: Điều hướng tới trang ""Giỏ hàng của tôi""
Step 2: Kiểm tra hiển thị chính xác kich thước, vị trí của hình ảnh sản phẩm trong 1 mục sản phẩm")</f>
        <v>Step 1: Điều hướng tới trang "Giỏ hàng của tôi"
Step 2: Kiểm tra hiển thị chính xác kich thước, vị trí của hình ảnh sản phẩm trong 1 mục sản phẩm</v>
      </c>
      <c r="L82" s="14"/>
      <c r="M82" s="12" t="s">
        <v>2554</v>
      </c>
      <c r="N82" s="38"/>
      <c r="O82" s="12"/>
      <c r="P82" s="38"/>
    </row>
    <row r="83">
      <c r="A83" s="37"/>
      <c r="B83" s="37"/>
      <c r="C83" s="37"/>
      <c r="D83" s="37"/>
      <c r="E83" s="37"/>
      <c r="F83" s="12" t="s">
        <v>2555</v>
      </c>
      <c r="G83" s="56"/>
      <c r="H83" s="12" t="s">
        <v>2556</v>
      </c>
      <c r="I83" s="12" t="s">
        <v>2536</v>
      </c>
      <c r="J83" s="12" t="s">
        <v>2557</v>
      </c>
      <c r="K83" s="13" t="str">
        <f>IFERROR(__xludf.DUMMYFUNCTION("IF(ISBLANK(J83), ""Input test step"", ARRAYFORMULA(TEXTJOIN(CHAR(10), TRUE, (""Step ""&amp; ROW(INDIRECT(""1:"" &amp; COUNTA(SPLIT(J83, CHAR(10))))) &amp; "": "" &amp; TRANSPOSE(SPLIT(J83, CHAR(10)))))))"),"Step 1: Điều hướng tới trang ""Giỏ hàng của tôi""
Step 2: Kiểm tra hiển thị chính xác kich thước, vị trí và màu chữ tên sản phẩm")</f>
        <v>Step 1: Điều hướng tới trang "Giỏ hàng của tôi"
Step 2: Kiểm tra hiển thị chính xác kich thước, vị trí và màu chữ tên sản phẩm</v>
      </c>
      <c r="L83" s="14"/>
      <c r="M83" s="12" t="s">
        <v>2558</v>
      </c>
      <c r="N83" s="38"/>
      <c r="O83" s="12"/>
      <c r="P83" s="38"/>
    </row>
    <row r="84">
      <c r="A84" s="37"/>
      <c r="B84" s="37"/>
      <c r="C84" s="37"/>
      <c r="D84" s="37"/>
      <c r="E84" s="37"/>
      <c r="F84" s="12" t="s">
        <v>2559</v>
      </c>
      <c r="G84" s="56"/>
      <c r="H84" s="12" t="s">
        <v>2560</v>
      </c>
      <c r="I84" s="12" t="s">
        <v>2536</v>
      </c>
      <c r="J84" s="12" t="s">
        <v>2561</v>
      </c>
      <c r="K84" s="13" t="str">
        <f>IFERROR(__xludf.DUMMYFUNCTION("IF(ISBLANK(J84), ""Input test step"", ARRAYFORMULA(TEXTJOIN(CHAR(10), TRUE, (""Step ""&amp; ROW(INDIRECT(""1:"" &amp; COUNTA(SPLIT(J84, CHAR(10))))) &amp; "": "" &amp; TRANSPOSE(SPLIT(J84, CHAR(10)))))))"),"Step 1: Điều hướng tới trang ""Giỏ hàng của tôi""
Step 2: Kiểm tra hiển thị chính xác kich thước, vị trí và màu chữ của giá sản phẩm")</f>
        <v>Step 1: Điều hướng tới trang "Giỏ hàng của tôi"
Step 2: Kiểm tra hiển thị chính xác kich thước, vị trí và màu chữ của giá sản phẩm</v>
      </c>
      <c r="L84" s="14"/>
      <c r="M84" s="12" t="s">
        <v>2562</v>
      </c>
      <c r="N84" s="38"/>
      <c r="O84" s="12"/>
      <c r="P84" s="38"/>
    </row>
    <row r="85">
      <c r="A85" s="37"/>
      <c r="B85" s="37"/>
      <c r="C85" s="37"/>
      <c r="D85" s="37"/>
      <c r="E85" s="37"/>
      <c r="F85" s="12" t="s">
        <v>2563</v>
      </c>
      <c r="G85" s="56"/>
      <c r="H85" s="12" t="s">
        <v>2564</v>
      </c>
      <c r="I85" s="12" t="s">
        <v>2536</v>
      </c>
      <c r="J85" s="12" t="s">
        <v>2565</v>
      </c>
      <c r="K85" s="13" t="str">
        <f>IFERROR(__xludf.DUMMYFUNCTION("IF(ISBLANK(J85), ""Input test step"", ARRAYFORMULA(TEXTJOIN(CHAR(10), TRUE, (""Step ""&amp; ROW(INDIRECT(""1:"" &amp; COUNTA(SPLIT(J85, CHAR(10))))) &amp; "": "" &amp; TRANSPOSE(SPLIT(J85, CHAR(10)))))))"),"Step 1: Điều hướng tới trang ""Giỏ hàng của tôi""
Step 2: Kiểm tra hiển thị chính xác kich thước, vị trí của dấu ba chấm")</f>
        <v>Step 1: Điều hướng tới trang "Giỏ hàng của tôi"
Step 2: Kiểm tra hiển thị chính xác kich thước, vị trí của dấu ba chấm</v>
      </c>
      <c r="L85" s="14"/>
      <c r="M85" s="12" t="s">
        <v>2566</v>
      </c>
      <c r="N85" s="38"/>
      <c r="O85" s="12"/>
      <c r="P85" s="38"/>
    </row>
    <row r="86">
      <c r="A86" s="37"/>
      <c r="B86" s="37"/>
      <c r="C86" s="37"/>
      <c r="D86" s="37"/>
      <c r="E86" s="37"/>
      <c r="F86" s="12" t="s">
        <v>2567</v>
      </c>
      <c r="G86" s="56"/>
      <c r="H86" s="12" t="s">
        <v>2568</v>
      </c>
      <c r="I86" s="12" t="s">
        <v>2536</v>
      </c>
      <c r="J86" s="12" t="s">
        <v>2569</v>
      </c>
      <c r="K86" s="13" t="str">
        <f>IFERROR(__xludf.DUMMYFUNCTION("IF(ISBLANK(J86), ""Input test step"", ARRAYFORMULA(TEXTJOIN(CHAR(10), TRUE, (""Step ""&amp; ROW(INDIRECT(""1:"" &amp; COUNTA(SPLIT(J86, CHAR(10))))) &amp; "": "" &amp; TRANSPOSE(SPLIT(J86, CHAR(10)))))))"),"Step 1: Điều hướng tới trang ""Giỏ hàng của tôi""
Step 2: Kiểm tra hiển thị chính xác kich thước, vị trí của button (-) trong 1 mục sản phẩm")</f>
        <v>Step 1: Điều hướng tới trang "Giỏ hàng của tôi"
Step 2: Kiểm tra hiển thị chính xác kich thước, vị trí của button (-) trong 1 mục sản phẩm</v>
      </c>
      <c r="L86" s="14"/>
      <c r="M86" s="12" t="s">
        <v>2570</v>
      </c>
      <c r="N86" s="38"/>
      <c r="O86" s="12"/>
      <c r="P86" s="38"/>
    </row>
    <row r="87">
      <c r="A87" s="37"/>
      <c r="B87" s="37"/>
      <c r="C87" s="37"/>
      <c r="D87" s="37"/>
      <c r="E87" s="37"/>
      <c r="F87" s="12" t="s">
        <v>2571</v>
      </c>
      <c r="G87" s="56"/>
      <c r="H87" s="12" t="s">
        <v>2572</v>
      </c>
      <c r="I87" s="12" t="s">
        <v>2536</v>
      </c>
      <c r="J87" s="12" t="s">
        <v>2573</v>
      </c>
      <c r="K87" s="13" t="str">
        <f>IFERROR(__xludf.DUMMYFUNCTION("IF(ISBLANK(J87), ""Input test step"", ARRAYFORMULA(TEXTJOIN(CHAR(10), TRUE, (""Step ""&amp; ROW(INDIRECT(""1:"" &amp; COUNTA(SPLIT(J87, CHAR(10))))) &amp; "": "" &amp; TRANSPOSE(SPLIT(J87, CHAR(10)))))))"),"Step 1: Điều hướng tới trang ""Giỏ hàng của tôi""
Step 2: Kiểm tra hiển thị chính xác kich thước, vị trí của button (+) trong 1 mục sản phẩm")</f>
        <v>Step 1: Điều hướng tới trang "Giỏ hàng của tôi"
Step 2: Kiểm tra hiển thị chính xác kich thước, vị trí của button (+) trong 1 mục sản phẩm</v>
      </c>
      <c r="L87" s="14"/>
      <c r="M87" s="12" t="s">
        <v>2574</v>
      </c>
      <c r="N87" s="38"/>
      <c r="O87" s="12"/>
      <c r="P87" s="38"/>
    </row>
    <row r="88">
      <c r="A88" s="37"/>
      <c r="B88" s="37"/>
      <c r="C88" s="37"/>
      <c r="D88" s="37"/>
      <c r="E88" s="37"/>
      <c r="F88" s="12" t="s">
        <v>2575</v>
      </c>
      <c r="G88" s="56"/>
      <c r="H88" s="12" t="s">
        <v>2576</v>
      </c>
      <c r="I88" s="12" t="s">
        <v>2536</v>
      </c>
      <c r="J88" s="12" t="s">
        <v>2577</v>
      </c>
      <c r="K88" s="13" t="str">
        <f>IFERROR(__xludf.DUMMYFUNCTION("IF(ISBLANK(J88), ""Input test step"", ARRAYFORMULA(TEXTJOIN(CHAR(10), TRUE, (""Step ""&amp; ROW(INDIRECT(""1:"" &amp; COUNTA(SPLIT(J88, CHAR(10))))) &amp; "": "" &amp; TRANSPOSE(SPLIT(J88, CHAR(10)))))))"),"Step 1: Điều hướng tới trang ""Giỏ hàng của tôi""
Step 2: Kiểm tra hiển thị chính xác kich thước, vị trí của vùng hiển thị số lượng sản phẩm trong 1 mục sản phẩm ")</f>
        <v>Step 1: Điều hướng tới trang "Giỏ hàng của tôi"
Step 2: Kiểm tra hiển thị chính xác kich thước, vị trí của vùng hiển thị số lượng sản phẩm trong 1 mục sản phẩm </v>
      </c>
      <c r="L88" s="14"/>
      <c r="M88" s="12" t="s">
        <v>2578</v>
      </c>
      <c r="N88" s="38"/>
      <c r="O88" s="12"/>
      <c r="P88" s="38"/>
    </row>
    <row r="89">
      <c r="A89" s="37"/>
      <c r="B89" s="37"/>
      <c r="C89" s="37"/>
      <c r="D89" s="37"/>
      <c r="E89" s="37"/>
      <c r="F89" s="12" t="s">
        <v>2579</v>
      </c>
      <c r="G89" s="56"/>
      <c r="H89" s="12" t="s">
        <v>2580</v>
      </c>
      <c r="I89" s="12" t="s">
        <v>2536</v>
      </c>
      <c r="J89" s="12" t="s">
        <v>2581</v>
      </c>
      <c r="K89" s="13" t="str">
        <f>IFERROR(__xludf.DUMMYFUNCTION("IF(ISBLANK(J89), ""Input test step"", ARRAYFORMULA(TEXTJOIN(CHAR(10), TRUE, (""Step ""&amp; ROW(INDIRECT(""1:"" &amp; COUNTA(SPLIT(J89, CHAR(10))))) &amp; "": "" &amp; TRANSPOSE(SPLIT(J89, CHAR(10)))))))"),"Step 1: Điều hướng tới trang ""Giỏ hàng của tôi""
Step 2: Kiểm tra hiển thị chính xác kich thước, vị trí và màu chữ của của vùng hiển thị số tiền giảm giá theo mã giảm giá")</f>
        <v>Step 1: Điều hướng tới trang "Giỏ hàng của tôi"
Step 2: Kiểm tra hiển thị chính xác kich thước, vị trí và màu chữ của của vùng hiển thị số tiền giảm giá theo mã giảm giá</v>
      </c>
      <c r="L89" s="14"/>
      <c r="M89" s="12" t="s">
        <v>2582</v>
      </c>
      <c r="N89" s="38"/>
      <c r="O89" s="12"/>
      <c r="P89" s="38"/>
    </row>
    <row r="90">
      <c r="A90" s="37"/>
      <c r="B90" s="37"/>
      <c r="C90" s="37"/>
      <c r="D90" s="37"/>
      <c r="E90" s="37"/>
      <c r="F90" s="12" t="s">
        <v>2583</v>
      </c>
      <c r="G90" s="56"/>
      <c r="H90" s="12" t="s">
        <v>2584</v>
      </c>
      <c r="I90" s="12" t="s">
        <v>2536</v>
      </c>
      <c r="J90" s="12" t="s">
        <v>2585</v>
      </c>
      <c r="K90" s="13" t="str">
        <f>IFERROR(__xludf.DUMMYFUNCTION("IF(ISBLANK(J90), ""Input test step"", ARRAYFORMULA(TEXTJOIN(CHAR(10), TRUE, (""Step ""&amp; ROW(INDIRECT(""1:"" &amp; COUNTA(SPLIT(J90, CHAR(10))))) &amp; "": "" &amp; TRANSPOSE(SPLIT(J90, CHAR(10)))))))"),"Step 1: Điều hướng tới trang ""Giỏ hàng của tôi""
Step 2: Kiểm tra hiển thị chính xác kich thước, vị trí và màu chữ của của vùng hiển thị số tiền giảm giá theo mã vận chuyển")</f>
        <v>Step 1: Điều hướng tới trang "Giỏ hàng của tôi"
Step 2: Kiểm tra hiển thị chính xác kich thước, vị trí và màu chữ của của vùng hiển thị số tiền giảm giá theo mã vận chuyển</v>
      </c>
      <c r="L90" s="14"/>
      <c r="M90" s="12" t="s">
        <v>2586</v>
      </c>
      <c r="N90" s="38"/>
      <c r="O90" s="12"/>
      <c r="P90" s="38"/>
    </row>
    <row r="91">
      <c r="A91" s="37"/>
      <c r="B91" s="37"/>
      <c r="C91" s="37"/>
      <c r="D91" s="37"/>
      <c r="E91" s="37"/>
      <c r="F91" s="12" t="s">
        <v>2587</v>
      </c>
      <c r="G91" s="56"/>
      <c r="H91" s="12" t="s">
        <v>2588</v>
      </c>
      <c r="I91" s="12" t="s">
        <v>2536</v>
      </c>
      <c r="J91" s="12" t="s">
        <v>2589</v>
      </c>
      <c r="K91" s="13" t="str">
        <f>IFERROR(__xludf.DUMMYFUNCTION("IF(ISBLANK(J91), ""Input test step"", ARRAYFORMULA(TEXTJOIN(CHAR(10), TRUE, (""Step ""&amp; ROW(INDIRECT(""1:"" &amp; COUNTA(SPLIT(J91, CHAR(10))))) &amp; "": "" &amp; TRANSPOSE(SPLIT(J91, CHAR(10)))))))"),"Step 1: Điều hướng tới trang ""Giỏ hàng của tôi""
Step 2: Kiểm tra hiển thị chính xác kich thước, vị trí của button icon (&lt;) bên phải vùng hiển thị giảm giá")</f>
        <v>Step 1: Điều hướng tới trang "Giỏ hàng của tôi"
Step 2: Kiểm tra hiển thị chính xác kich thước, vị trí của button icon (&lt;) bên phải vùng hiển thị giảm giá</v>
      </c>
      <c r="L91" s="14"/>
      <c r="M91" s="12" t="s">
        <v>2590</v>
      </c>
      <c r="N91" s="38"/>
      <c r="O91" s="12"/>
      <c r="P91" s="38"/>
    </row>
    <row r="92">
      <c r="A92" s="37"/>
      <c r="B92" s="37"/>
      <c r="C92" s="37"/>
      <c r="D92" s="37"/>
      <c r="E92" s="37"/>
      <c r="F92" s="12" t="s">
        <v>2591</v>
      </c>
      <c r="G92" s="56"/>
      <c r="H92" s="12" t="s">
        <v>2592</v>
      </c>
      <c r="I92" s="12" t="s">
        <v>2536</v>
      </c>
      <c r="J92" s="12" t="s">
        <v>2593</v>
      </c>
      <c r="K92" s="13" t="str">
        <f>IFERROR(__xludf.DUMMYFUNCTION("IF(ISBLANK(J92), ""Input test step"", ARRAYFORMULA(TEXTJOIN(CHAR(10), TRUE, (""Step ""&amp; ROW(INDIRECT(""1:"" &amp; COUNTA(SPLIT(J92, CHAR(10))))) &amp; "": "" &amp; TRANSPOSE(SPLIT(J92, CHAR(10)))))))"),"Step 1: Điều hướng tới trang ""Giỏ hàng của tôi""
Step 2: Kiểm tra hiển thị chính xác kich thước, vị trí của ô checkbox tất cả")</f>
        <v>Step 1: Điều hướng tới trang "Giỏ hàng của tôi"
Step 2: Kiểm tra hiển thị chính xác kich thước, vị trí của ô checkbox tất cả</v>
      </c>
      <c r="L92" s="14"/>
      <c r="M92" s="12" t="s">
        <v>2594</v>
      </c>
      <c r="N92" s="38"/>
      <c r="O92" s="12"/>
      <c r="P92" s="38"/>
    </row>
    <row r="93">
      <c r="A93" s="37"/>
      <c r="B93" s="37"/>
      <c r="C93" s="37"/>
      <c r="D93" s="37"/>
      <c r="E93" s="37"/>
      <c r="F93" s="12" t="s">
        <v>2595</v>
      </c>
      <c r="G93" s="56"/>
      <c r="H93" s="12" t="s">
        <v>2596</v>
      </c>
      <c r="I93" s="12" t="s">
        <v>2536</v>
      </c>
      <c r="J93" s="12" t="s">
        <v>2597</v>
      </c>
      <c r="K93" s="13" t="str">
        <f>IFERROR(__xludf.DUMMYFUNCTION("IF(ISBLANK(J93), ""Input test step"", ARRAYFORMULA(TEXTJOIN(CHAR(10), TRUE, (""Step ""&amp; ROW(INDIRECT(""1:"" &amp; COUNTA(SPLIT(J93, CHAR(10))))) &amp; "": "" &amp; TRANSPOSE(SPLIT(J93, CHAR(10)))))))"),"Step 1: Điều hướng tới trang ""Giỏ hàng của tôi""
Step 2: Kiểm tra hiển thị chính xác kich thước, vị trí và màu chữ của vùng hiển thị tổng tiền")</f>
        <v>Step 1: Điều hướng tới trang "Giỏ hàng của tôi"
Step 2: Kiểm tra hiển thị chính xác kich thước, vị trí và màu chữ của vùng hiển thị tổng tiền</v>
      </c>
      <c r="L93" s="14"/>
      <c r="M93" s="12" t="s">
        <v>2598</v>
      </c>
      <c r="N93" s="38"/>
      <c r="O93" s="12"/>
      <c r="P93" s="38"/>
    </row>
    <row r="94">
      <c r="A94" s="37"/>
      <c r="B94" s="37"/>
      <c r="C94" s="37"/>
      <c r="D94" s="37"/>
      <c r="E94" s="37"/>
      <c r="F94" s="12" t="s">
        <v>2599</v>
      </c>
      <c r="G94" s="56"/>
      <c r="H94" s="12" t="s">
        <v>2600</v>
      </c>
      <c r="I94" s="12" t="s">
        <v>2536</v>
      </c>
      <c r="J94" s="12" t="s">
        <v>2601</v>
      </c>
      <c r="K94" s="13" t="str">
        <f>IFERROR(__xludf.DUMMYFUNCTION("IF(ISBLANK(J94), ""Input test step"", ARRAYFORMULA(TEXTJOIN(CHAR(10), TRUE, (""Step ""&amp; ROW(INDIRECT(""1:"" &amp; COUNTA(SPLIT(J94, CHAR(10))))) &amp; "": "" &amp; TRANSPOSE(SPLIT(J94, CHAR(10)))))))"),"Step 1: Điều hướng tới trang ""Giỏ hàng của tôi""
Step 2: Kiểm tra hiển thị chính xác kich thước, vị trí và màu chữ tổng giảm giá")</f>
        <v>Step 1: Điều hướng tới trang "Giỏ hàng của tôi"
Step 2: Kiểm tra hiển thị chính xác kich thước, vị trí và màu chữ tổng giảm giá</v>
      </c>
      <c r="L94" s="14"/>
      <c r="M94" s="12" t="s">
        <v>2602</v>
      </c>
      <c r="N94" s="38"/>
      <c r="O94" s="12"/>
      <c r="P94" s="38"/>
    </row>
    <row r="95">
      <c r="A95" s="37"/>
      <c r="B95" s="37"/>
      <c r="C95" s="37"/>
      <c r="D95" s="37"/>
      <c r="E95" s="37"/>
      <c r="F95" s="12" t="s">
        <v>2603</v>
      </c>
      <c r="G95" s="56"/>
      <c r="H95" s="12" t="s">
        <v>2604</v>
      </c>
      <c r="I95" s="12" t="s">
        <v>2536</v>
      </c>
      <c r="J95" s="12" t="s">
        <v>2605</v>
      </c>
      <c r="K95" s="13" t="str">
        <f>IFERROR(__xludf.DUMMYFUNCTION("IF(ISBLANK(J95), ""Input test step"", ARRAYFORMULA(TEXTJOIN(CHAR(10), TRUE, (""Step ""&amp; ROW(INDIRECT(""1:"" &amp; COUNTA(SPLIT(J95, CHAR(10))))) &amp; "": "" &amp; TRANSPOSE(SPLIT(J95, CHAR(10)))))))"),"Step 1: Điều hướng tới trang ""Giỏ hàng của tôi""
Step 2: Kiểm tra hiển thị chính xác kich thước, vị trí và màu nền của button ""Thanh toán""")</f>
        <v>Step 1: Điều hướng tới trang "Giỏ hàng của tôi"
Step 2: Kiểm tra hiển thị chính xác kich thước, vị trí và màu nền của button "Thanh toán"</v>
      </c>
      <c r="L95" s="14"/>
      <c r="M95" s="12" t="s">
        <v>2606</v>
      </c>
      <c r="N95" s="38"/>
      <c r="O95" s="12"/>
      <c r="P95" s="38"/>
    </row>
    <row r="96">
      <c r="A96" s="37"/>
      <c r="B96" s="37"/>
      <c r="C96" s="37"/>
      <c r="D96" s="37"/>
      <c r="E96" s="37"/>
      <c r="F96" s="12" t="s">
        <v>2607</v>
      </c>
      <c r="G96" s="56"/>
      <c r="H96" s="12" t="s">
        <v>2608</v>
      </c>
      <c r="I96" s="12" t="s">
        <v>2536</v>
      </c>
      <c r="J96" s="12" t="s">
        <v>2609</v>
      </c>
      <c r="K96" s="13" t="str">
        <f>IFERROR(__xludf.DUMMYFUNCTION("IF(ISBLANK(J96), ""Input test step"", ARRAYFORMULA(TEXTJOIN(CHAR(10), TRUE, (""Step ""&amp; ROW(INDIRECT(""1:"" &amp; COUNTA(SPLIT(J96, CHAR(10))))) &amp; "": "" &amp; TRANSPOSE(SPLIT(J96, CHAR(10)))))))"),"Step 1: Điều hướng tới trang ""Giỏ hàng của tôi""
Step 2: Kiểm tra hiển thị chính xác kich thước, vị trí của hộp thoại ""Xoá tất cả""")</f>
        <v>Step 1: Điều hướng tới trang "Giỏ hàng của tôi"
Step 2: Kiểm tra hiển thị chính xác kich thước, vị trí của hộp thoại "Xoá tất cả"</v>
      </c>
      <c r="L96" s="14"/>
      <c r="M96" s="12" t="s">
        <v>2610</v>
      </c>
      <c r="N96" s="38"/>
      <c r="O96" s="12"/>
      <c r="P96" s="38"/>
    </row>
    <row r="97">
      <c r="A97" s="37"/>
      <c r="B97" s="37"/>
      <c r="C97" s="37"/>
      <c r="D97" s="37"/>
      <c r="E97" s="37"/>
      <c r="F97" s="12" t="s">
        <v>2611</v>
      </c>
      <c r="G97" s="56"/>
      <c r="H97" s="12" t="s">
        <v>2612</v>
      </c>
      <c r="I97" s="12" t="s">
        <v>2536</v>
      </c>
      <c r="J97" s="12" t="s">
        <v>2613</v>
      </c>
      <c r="K97" s="13" t="str">
        <f>IFERROR(__xludf.DUMMYFUNCTION("IF(ISBLANK(J97), ""Input test step"", ARRAYFORMULA(TEXTJOIN(CHAR(10), TRUE, (""Step ""&amp; ROW(INDIRECT(""1:"" &amp; COUNTA(SPLIT(J97, CHAR(10))))) &amp; "": "" &amp; TRANSPOSE(SPLIT(J97, CHAR(10)))))))"),"Step 1: Điều hướng tới trang ""Giỏ hàng của tôi""
Step 2: Kiểm tra hiển thị đúng thông báo ""Bạn có chắc muốn xoá x sản phẩm này")</f>
        <v>Step 1: Điều hướng tới trang "Giỏ hàng của tôi"
Step 2: Kiểm tra hiển thị đúng thông báo "Bạn có chắc muốn xoá x sản phẩm này</v>
      </c>
      <c r="L97" s="14"/>
      <c r="M97" s="12" t="s">
        <v>2614</v>
      </c>
      <c r="N97" s="38"/>
      <c r="O97" s="12"/>
      <c r="P97" s="38"/>
    </row>
    <row r="98">
      <c r="A98" s="37"/>
      <c r="B98" s="37"/>
      <c r="C98" s="37"/>
      <c r="D98" s="37"/>
      <c r="E98" s="37"/>
      <c r="F98" s="12" t="s">
        <v>2615</v>
      </c>
      <c r="G98" s="56"/>
      <c r="H98" s="12" t="s">
        <v>2616</v>
      </c>
      <c r="I98" s="12" t="s">
        <v>2536</v>
      </c>
      <c r="J98" s="12" t="s">
        <v>2617</v>
      </c>
      <c r="K98" s="13" t="str">
        <f>IFERROR(__xludf.DUMMYFUNCTION("IF(ISBLANK(J98), ""Input test step"", ARRAYFORMULA(TEXTJOIN(CHAR(10), TRUE, (""Step ""&amp; ROW(INDIRECT(""1:"" &amp; COUNTA(SPLIT(J98, CHAR(10))))) &amp; "": "" &amp; TRANSPOSE(SPLIT(J98, CHAR(10)))))))"),"Step 1: Điều hướng tới trang ""Giỏ hàng của tôi""
Step 2: Kiểm tra hiển thị chính xác kich thước, vị trí, màu nền và màu viền của button ""Đồng ý"" trong hộp thoại ""Xoá tất cả""")</f>
        <v>Step 1: Điều hướng tới trang "Giỏ hàng của tôi"
Step 2: Kiểm tra hiển thị chính xác kich thước, vị trí, màu nền và màu viền của button "Đồng ý" trong hộp thoại "Xoá tất cả"</v>
      </c>
      <c r="L98" s="14"/>
      <c r="M98" s="12" t="s">
        <v>2618</v>
      </c>
      <c r="N98" s="38"/>
      <c r="O98" s="12"/>
      <c r="P98" s="38"/>
    </row>
    <row r="99">
      <c r="A99" s="37"/>
      <c r="B99" s="37"/>
      <c r="C99" s="37"/>
      <c r="D99" s="37"/>
      <c r="E99" s="37"/>
      <c r="F99" s="12" t="s">
        <v>2619</v>
      </c>
      <c r="G99" s="56"/>
      <c r="H99" s="12" t="s">
        <v>2620</v>
      </c>
      <c r="I99" s="12" t="s">
        <v>2536</v>
      </c>
      <c r="J99" s="12" t="s">
        <v>2621</v>
      </c>
      <c r="K99" s="13" t="str">
        <f>IFERROR(__xludf.DUMMYFUNCTION("IF(ISBLANK(J99), ""Input test step"", ARRAYFORMULA(TEXTJOIN(CHAR(10), TRUE, (""Step ""&amp; ROW(INDIRECT(""1:"" &amp; COUNTA(SPLIT(J99, CHAR(10))))) &amp; "": "" &amp; TRANSPOSE(SPLIT(J99, CHAR(10)))))))"),"Step 1: Điều hướng tới trang ""Giỏ hàng của tôi""
Step 2: Kiểm tra hiển thị chính xác kich thước, vị trí, màu nền và màu viền của button ""Không"" trong hộp thoại ""Xoá tất cả""")</f>
        <v>Step 1: Điều hướng tới trang "Giỏ hàng của tôi"
Step 2: Kiểm tra hiển thị chính xác kich thước, vị trí, màu nền và màu viền của button "Không" trong hộp thoại "Xoá tất cả"</v>
      </c>
      <c r="L99" s="14"/>
      <c r="M99" s="12" t="s">
        <v>2622</v>
      </c>
      <c r="N99" s="38"/>
      <c r="O99" s="12"/>
      <c r="P99" s="38"/>
    </row>
    <row r="100">
      <c r="A100" s="37"/>
      <c r="B100" s="37"/>
      <c r="C100" s="37"/>
      <c r="D100" s="37"/>
      <c r="E100" s="37"/>
      <c r="F100" s="12" t="s">
        <v>2623</v>
      </c>
      <c r="G100" s="56"/>
      <c r="H100" s="12" t="s">
        <v>2624</v>
      </c>
      <c r="I100" s="12" t="s">
        <v>2536</v>
      </c>
      <c r="J100" s="12" t="s">
        <v>2625</v>
      </c>
      <c r="K100" s="13" t="str">
        <f>IFERROR(__xludf.DUMMYFUNCTION("IF(ISBLANK(J100), ""Input test step"", ARRAYFORMULA(TEXTJOIN(CHAR(10), TRUE, (""Step ""&amp; ROW(INDIRECT(""1:"" &amp; COUNTA(SPLIT(J100, CHAR(10))))) &amp; "": "" &amp; TRANSPOSE(SPLIT(J100, CHAR(10)))))))"),"Step 1: Điều hướng tới trang ""Giỏ hàng của tôi""
Step 2: Kiểm tra hiển thị đúng vị trí, kích thước, màu chữ của các options khi nhấn vào nút ba chấm trong mỗi sản phẩm ")</f>
        <v>Step 1: Điều hướng tới trang "Giỏ hàng của tôi"
Step 2: Kiểm tra hiển thị đúng vị trí, kích thước, màu chữ của các options khi nhấn vào nút ba chấm trong mỗi sản phẩm </v>
      </c>
      <c r="L100" s="14"/>
      <c r="M100" s="12" t="s">
        <v>2626</v>
      </c>
      <c r="N100" s="38"/>
      <c r="O100" s="12"/>
      <c r="P100" s="38"/>
    </row>
    <row r="101">
      <c r="A101" s="37"/>
      <c r="B101" s="37"/>
      <c r="C101" s="37"/>
      <c r="D101" s="37"/>
      <c r="E101" s="37"/>
      <c r="F101" s="12" t="s">
        <v>2627</v>
      </c>
      <c r="G101" s="57"/>
      <c r="H101" s="12" t="s">
        <v>2628</v>
      </c>
      <c r="I101" s="12" t="s">
        <v>2536</v>
      </c>
      <c r="J101" s="12" t="s">
        <v>2629</v>
      </c>
      <c r="K101" s="13" t="str">
        <f>IFERROR(__xludf.DUMMYFUNCTION("IF(ISBLANK(J101), ""Input test step"", ARRAYFORMULA(TEXTJOIN(CHAR(10), TRUE, (""Step ""&amp; ROW(INDIRECT(""1:"" &amp; COUNTA(SPLIT(J101, CHAR(10))))) &amp; "": "" &amp; TRANSPOSE(SPLIT(J101, CHAR(10)))))))"),"Step 1: Điều hướng tới trang ""Giỏ hàng của tôi""
Step 2: Kiểm tra hiển thị chính xác kich thước, vị trí và màu chữ của thông báo ""Đã thêm vào yêu thích""")</f>
        <v>Step 1: Điều hướng tới trang "Giỏ hàng của tôi"
Step 2: Kiểm tra hiển thị chính xác kich thước, vị trí và màu chữ của thông báo "Đã thêm vào yêu thích"</v>
      </c>
      <c r="L101" s="14"/>
      <c r="M101" s="12" t="s">
        <v>2630</v>
      </c>
      <c r="N101" s="38"/>
      <c r="O101" s="12"/>
      <c r="P101" s="38"/>
    </row>
    <row r="102">
      <c r="A102" s="37"/>
      <c r="B102" s="37"/>
      <c r="C102" s="37"/>
      <c r="D102" s="37"/>
      <c r="E102" s="37"/>
      <c r="F102" s="12" t="s">
        <v>2631</v>
      </c>
      <c r="G102" s="55" t="s">
        <v>2632</v>
      </c>
      <c r="H102" s="12" t="s">
        <v>2633</v>
      </c>
      <c r="I102" s="12" t="s">
        <v>2634</v>
      </c>
      <c r="J102" s="12" t="s">
        <v>2635</v>
      </c>
      <c r="K102" s="13" t="str">
        <f>IFERROR(__xludf.DUMMYFUNCTION("IF(ISBLANK(J102), ""Input test step"", ARRAYFORMULA(TEXTJOIN(CHAR(10), TRUE, (""Step ""&amp; ROW(INDIRECT(""1:"" &amp; COUNTA(SPLIT(J102, CHAR(10))))) &amp; "": "" &amp; TRANSPOSE(SPLIT(J102, CHAR(10)))))))"),"Step 1: Đăng nhập vào tài khoản 
Step 2: Chọn mục cá nhân 
Step 3: Chọn đơn hàng --&gt; Lịch sử đơn hàng ( tab đã hủy )
Step 4: Nhấn Mua lại --&gt; hiển thị thông báo sản phẩm đã hết ( kiểm tra icon, màu sắc, kích thước, cỡ chữ )")</f>
        <v>Step 1: Đăng nhập vào tài khoản 
Step 2: Chọn mục cá nhân 
Step 3: Chọn đơn hàng --&gt; Lịch sử đơn hàng ( tab đã hủy )
Step 4: Nhấn Mua lại --&gt; hiển thị thông báo sản phẩm đã hết ( kiểm tra icon, màu sắc, kích thước, cỡ chữ )</v>
      </c>
      <c r="L102" s="14"/>
      <c r="M102" s="12" t="s">
        <v>2636</v>
      </c>
      <c r="N102" s="38"/>
      <c r="O102" s="12"/>
      <c r="P102" s="38"/>
    </row>
    <row r="103">
      <c r="A103" s="37"/>
      <c r="B103" s="37"/>
      <c r="C103" s="37"/>
      <c r="D103" s="37"/>
      <c r="E103" s="37"/>
      <c r="F103" s="12" t="s">
        <v>2637</v>
      </c>
      <c r="G103" s="56"/>
      <c r="H103" s="12" t="s">
        <v>2638</v>
      </c>
      <c r="I103" s="12" t="s">
        <v>2634</v>
      </c>
      <c r="J103" s="12" t="s">
        <v>2639</v>
      </c>
      <c r="K103" s="13" t="str">
        <f>IFERROR(__xludf.DUMMYFUNCTION("IF(ISBLANK(J103), ""Input test step"", ARRAYFORMULA(TEXTJOIN(CHAR(10), TRUE, (""Step ""&amp; ROW(INDIRECT(""1:"" &amp; COUNTA(SPLIT(J103, CHAR(10))))) &amp; "": "" &amp; TRANSPOSE(SPLIT(J103, CHAR(10)))))))"),"Step 1: Đăng nhập vào tài khoản 
Step 2: Chọn mục cá nhân 
Step 3: Chọn đơn hàng --&gt; Lịch sử đơn hàng ( tab đã hủy )
Step 4: Nhấn Mua lại --&gt; hiển thị dòng text ( kiểm tra icon, màu sắc, kích thước, cỡ chữ )")</f>
        <v>Step 1: Đăng nhập vào tài khoản 
Step 2: Chọn mục cá nhân 
Step 3: Chọn đơn hàng --&gt; Lịch sử đơn hàng ( tab đã hủy )
Step 4: Nhấn Mua lại --&gt; hiển thị dòng text ( kiểm tra icon, màu sắc, kích thước, cỡ chữ )</v>
      </c>
      <c r="L103" s="14"/>
      <c r="M103" s="12" t="s">
        <v>2636</v>
      </c>
      <c r="N103" s="38"/>
      <c r="O103" s="12"/>
      <c r="P103" s="38"/>
    </row>
    <row r="104">
      <c r="A104" s="37"/>
      <c r="B104" s="37"/>
      <c r="C104" s="37"/>
      <c r="D104" s="37"/>
      <c r="E104" s="37"/>
      <c r="F104" s="12" t="s">
        <v>2640</v>
      </c>
      <c r="G104" s="56"/>
      <c r="H104" s="12" t="s">
        <v>2641</v>
      </c>
      <c r="I104" s="12" t="s">
        <v>2634</v>
      </c>
      <c r="J104" s="12" t="s">
        <v>2642</v>
      </c>
      <c r="K104" s="13" t="str">
        <f>IFERROR(__xludf.DUMMYFUNCTION("IF(ISBLANK(J104), ""Input test step"", ARRAYFORMULA(TEXTJOIN(CHAR(10), TRUE, (""Step ""&amp; ROW(INDIRECT(""1:"" &amp; COUNTA(SPLIT(J104, CHAR(10))))) &amp; "": "" &amp; TRANSPOSE(SPLIT(J104, CHAR(10)))))))"),"Step 1: Đăng nhập vào tài khoản 
Step 2: Chọn mục cá nhân 
Step 3: Chọn đơn hàng --&gt; Lịch sử đơn hàng ( tab đã hủy )
Step 4: Nhấn Mua lại --&gt; hiển thị button Đồng ý ( kiểm tra icon, màu sắc, kích thước, cỡ chữ )")</f>
        <v>Step 1: Đăng nhập vào tài khoản 
Step 2: Chọn mục cá nhân 
Step 3: Chọn đơn hàng --&gt; Lịch sử đơn hàng ( tab đã hủy )
Step 4: Nhấn Mua lại --&gt; hiển thị button Đồng ý ( kiểm tra icon, màu sắc, kích thước, cỡ chữ )</v>
      </c>
      <c r="L104" s="14"/>
      <c r="M104" s="12" t="s">
        <v>2636</v>
      </c>
      <c r="N104" s="38"/>
      <c r="O104" s="12"/>
      <c r="P104" s="38"/>
    </row>
    <row r="105">
      <c r="A105" s="37"/>
      <c r="B105" s="37"/>
      <c r="C105" s="37"/>
      <c r="D105" s="37"/>
      <c r="E105" s="37"/>
      <c r="F105" s="12" t="s">
        <v>2643</v>
      </c>
      <c r="G105" s="57"/>
      <c r="H105" s="12" t="s">
        <v>2644</v>
      </c>
      <c r="I105" s="12" t="s">
        <v>2634</v>
      </c>
      <c r="J105" s="12" t="s">
        <v>2645</v>
      </c>
      <c r="K105" s="13" t="str">
        <f>IFERROR(__xludf.DUMMYFUNCTION("IF(ISBLANK(J105), ""Input test step"", ARRAYFORMULA(TEXTJOIN(CHAR(10), TRUE, (""Step ""&amp; ROW(INDIRECT(""1:"" &amp; COUNTA(SPLIT(J105, CHAR(10))))) &amp; "": "" &amp; TRANSPOSE(SPLIT(J105, CHAR(10)))))))"),"Step 1: Đăng nhập vào tài khoản 
Step 2: Chọn mục cá nhân 
Step 3: Chọn đơn hàng --&gt; Lịch sử đơn hàng ( tab đã hủy )
Step 4: Nhấn Mua lại --&gt; hiển thị khi nhấn Đồng ý --&gt; sẽ tắt thông báo "" Sản phẩm đã hết "" và hiển thị màn hình cũ")</f>
        <v>Step 1: Đăng nhập vào tài khoản 
Step 2: Chọn mục cá nhân 
Step 3: Chọn đơn hàng --&gt; Lịch sử đơn hàng ( tab đã hủy )
Step 4: Nhấn Mua lại --&gt; hiển thị khi nhấn Đồng ý --&gt; sẽ tắt thông báo " Sản phẩm đã hết " và hiển thị màn hình cũ</v>
      </c>
      <c r="L105" s="14"/>
      <c r="M105" s="12" t="s">
        <v>2646</v>
      </c>
      <c r="N105" s="38"/>
      <c r="O105" s="12"/>
      <c r="P105" s="38"/>
    </row>
    <row r="106">
      <c r="A106" s="37"/>
      <c r="B106" s="37"/>
      <c r="C106" s="37"/>
      <c r="D106" s="37"/>
      <c r="E106" s="37"/>
      <c r="F106" s="12" t="s">
        <v>2647</v>
      </c>
      <c r="G106" s="55" t="s">
        <v>699</v>
      </c>
      <c r="H106" s="12" t="s">
        <v>2648</v>
      </c>
      <c r="I106" s="12" t="s">
        <v>2536</v>
      </c>
      <c r="J106" s="12" t="s">
        <v>2649</v>
      </c>
      <c r="K106" s="13" t="str">
        <f>IFERROR(__xludf.DUMMYFUNCTION("IF(ISBLANK(J106), ""Input test step"", ARRAYFORMULA(TEXTJOIN(CHAR(10), TRUE, (""Step ""&amp; ROW(INDIRECT(""1:"" &amp; COUNTA(SPLIT(J106, CHAR(10))))) &amp; "": "" &amp; TRANSPOSE(SPLIT(J106, CHAR(10)))))))"),"Step 1: Điều hướng tới trang ""Giỏ hàng của tôi""
Step 2: Chọn &gt; bên phải vùng hiển thị giảm gía
Step 3: Kiểm tra hiển thị chính xác kich thước, vị trí và màu chữ của heading ""Chọn voucher""")</f>
        <v>Step 1: Điều hướng tới trang "Giỏ hàng của tôi"
Step 2: Chọn &gt; bên phải vùng hiển thị giảm gía
Step 3: Kiểm tra hiển thị chính xác kich thước, vị trí và màu chữ của heading "Chọn voucher"</v>
      </c>
      <c r="L106" s="14"/>
      <c r="M106" s="12" t="s">
        <v>2650</v>
      </c>
      <c r="N106" s="38"/>
      <c r="O106" s="12"/>
      <c r="P106" s="38"/>
    </row>
    <row r="107">
      <c r="A107" s="37"/>
      <c r="B107" s="37"/>
      <c r="C107" s="37"/>
      <c r="D107" s="37"/>
      <c r="E107" s="37"/>
      <c r="F107" s="12" t="s">
        <v>2651</v>
      </c>
      <c r="G107" s="56"/>
      <c r="H107" s="12" t="s">
        <v>2519</v>
      </c>
      <c r="I107" s="12" t="s">
        <v>2536</v>
      </c>
      <c r="J107" s="12" t="s">
        <v>2652</v>
      </c>
      <c r="K107" s="13" t="str">
        <f>IFERROR(__xludf.DUMMYFUNCTION("IF(ISBLANK(J107), ""Input test step"", ARRAYFORMULA(TEXTJOIN(CHAR(10), TRUE, (""Step ""&amp; ROW(INDIRECT(""1:"" &amp; COUNTA(SPLIT(J107, CHAR(10))))) &amp; "": "" &amp; TRANSPOSE(SPLIT(J107, CHAR(10)))))))"),"Step 1: Điều hướng tới trang ""Giỏ hàng của tôi""
Step 2: Chọn (&gt;) bên phải vùng hiển thị giảm gía
Step 3: Kiểm tra hiển thị chính xác kich thước, vị trí của hộp tìm kiếm")</f>
        <v>Step 1: Điều hướng tới trang "Giỏ hàng của tôi"
Step 2: Chọn (&gt;) bên phải vùng hiển thị giảm gía
Step 3: Kiểm tra hiển thị chính xác kich thước, vị trí của hộp tìm kiếm</v>
      </c>
      <c r="L107" s="14"/>
      <c r="M107" s="12" t="s">
        <v>2521</v>
      </c>
      <c r="N107" s="38"/>
      <c r="O107" s="12"/>
      <c r="P107" s="38"/>
    </row>
    <row r="108">
      <c r="A108" s="37"/>
      <c r="B108" s="37"/>
      <c r="C108" s="37"/>
      <c r="D108" s="37"/>
      <c r="E108" s="37"/>
      <c r="F108" s="12" t="s">
        <v>2653</v>
      </c>
      <c r="G108" s="56"/>
      <c r="H108" s="12" t="s">
        <v>2654</v>
      </c>
      <c r="I108" s="12" t="s">
        <v>2536</v>
      </c>
      <c r="J108" s="12" t="s">
        <v>2655</v>
      </c>
      <c r="K108" s="13" t="str">
        <f>IFERROR(__xludf.DUMMYFUNCTION("IF(ISBLANK(J108), ""Input test step"", ARRAYFORMULA(TEXTJOIN(CHAR(10), TRUE, (""Step ""&amp; ROW(INDIRECT(""1:"" &amp; COUNTA(SPLIT(J108, CHAR(10))))) &amp; "": "" &amp; TRANSPOSE(SPLIT(J108, CHAR(10)))))))"),"Step 1: Điều hướng tới trang ""Giỏ hàng của tôi""
Step 2: Chọn (&gt;) bên phải vùng hiển thị giảm gía
Step 3: Kiểm tra hiển thị chính xác kich thước, vị trí của plahoder của hộp thoại tìm kiếm")</f>
        <v>Step 1: Điều hướng tới trang "Giỏ hàng của tôi"
Step 2: Chọn (&gt;) bên phải vùng hiển thị giảm gía
Step 3: Kiểm tra hiển thị chính xác kich thước, vị trí của plahoder của hộp thoại tìm kiếm</v>
      </c>
      <c r="L108" s="14"/>
      <c r="M108" s="12" t="s">
        <v>2656</v>
      </c>
      <c r="N108" s="38"/>
      <c r="O108" s="12"/>
      <c r="P108" s="38"/>
    </row>
    <row r="109">
      <c r="A109" s="37"/>
      <c r="B109" s="37"/>
      <c r="C109" s="37"/>
      <c r="D109" s="37"/>
      <c r="E109" s="37"/>
      <c r="F109" s="12" t="s">
        <v>2657</v>
      </c>
      <c r="G109" s="56"/>
      <c r="H109" s="12" t="s">
        <v>2658</v>
      </c>
      <c r="I109" s="12" t="s">
        <v>2536</v>
      </c>
      <c r="J109" s="12" t="s">
        <v>2659</v>
      </c>
      <c r="K109" s="13" t="str">
        <f>IFERROR(__xludf.DUMMYFUNCTION("IF(ISBLANK(J109), ""Input test step"", ARRAYFORMULA(TEXTJOIN(CHAR(10), TRUE, (""Step ""&amp; ROW(INDIRECT(""1:"" &amp; COUNTA(SPLIT(J109, CHAR(10))))) &amp; "": "" &amp; TRANSPOSE(SPLIT(J109, CHAR(10)))))))"),"Step 1: Điều hướng tới trang ""Giỏ hàng của tôi""
Step 2: Chọn (&gt;) bên phải vùng hiển thị giảm gía
Step 3: Kiểm tra hiển thị chính xác kich thước, vị trí, màu chữ, màu nền của button Áp dụn")</f>
        <v>Step 1: Điều hướng tới trang "Giỏ hàng của tôi"
Step 2: Chọn (&gt;) bên phải vùng hiển thị giảm gía
Step 3: Kiểm tra hiển thị chính xác kich thước, vị trí, màu chữ, màu nền của button Áp dụn</v>
      </c>
      <c r="L109" s="14"/>
      <c r="M109" s="12" t="s">
        <v>2660</v>
      </c>
      <c r="N109" s="38"/>
      <c r="O109" s="12"/>
      <c r="P109" s="38"/>
    </row>
    <row r="110">
      <c r="A110" s="37"/>
      <c r="B110" s="37"/>
      <c r="C110" s="37"/>
      <c r="D110" s="37"/>
      <c r="E110" s="37"/>
      <c r="F110" s="12" t="s">
        <v>2661</v>
      </c>
      <c r="G110" s="56"/>
      <c r="H110" s="12" t="s">
        <v>2662</v>
      </c>
      <c r="I110" s="12" t="s">
        <v>2536</v>
      </c>
      <c r="J110" s="12" t="s">
        <v>2663</v>
      </c>
      <c r="K110" s="13" t="str">
        <f>IFERROR(__xludf.DUMMYFUNCTION("IF(ISBLANK(J110), ""Input test step"", ARRAYFORMULA(TEXTJOIN(CHAR(10), TRUE, (""Step ""&amp; ROW(INDIRECT(""1:"" &amp; COUNTA(SPLIT(J110, CHAR(10))))) &amp; "": "" &amp; TRANSPOSE(SPLIT(J110, CHAR(10)))))))"),"Step 1: Điều hướng tới trang ""Giỏ hàng của tôi""
Step 2: Chọn (&gt;) bên phải vùng hiển thị giảm gía
Step 3: Kiểm tra hiển thị chính xác kich thước, vị trí, màu chữ của text Ưu đãi phí vận chuyển")</f>
        <v>Step 1: Điều hướng tới trang "Giỏ hàng của tôi"
Step 2: Chọn (&gt;) bên phải vùng hiển thị giảm gía
Step 3: Kiểm tra hiển thị chính xác kich thước, vị trí, màu chữ của text Ưu đãi phí vận chuyển</v>
      </c>
      <c r="L110" s="14"/>
      <c r="M110" s="12" t="s">
        <v>2664</v>
      </c>
      <c r="N110" s="38"/>
      <c r="O110" s="12"/>
      <c r="P110" s="38"/>
    </row>
    <row r="111">
      <c r="A111" s="37"/>
      <c r="B111" s="37"/>
      <c r="C111" s="37"/>
      <c r="D111" s="37"/>
      <c r="E111" s="37"/>
      <c r="F111" s="12" t="s">
        <v>2665</v>
      </c>
      <c r="G111" s="56"/>
      <c r="H111" s="12" t="s">
        <v>719</v>
      </c>
      <c r="I111" s="12" t="s">
        <v>2536</v>
      </c>
      <c r="J111" s="12" t="s">
        <v>2666</v>
      </c>
      <c r="K111" s="13" t="str">
        <f>IFERROR(__xludf.DUMMYFUNCTION("IF(ISBLANK(J111), ""Input test step"", ARRAYFORMULA(TEXTJOIN(CHAR(10), TRUE, (""Step ""&amp; ROW(INDIRECT(""1:"" &amp; COUNTA(SPLIT(J111, CHAR(10))))) &amp; "": "" &amp; TRANSPOSE(SPLIT(J111, CHAR(10)))))))"),"Step 1: Điều hướng tới trang ""Giỏ hàng của tôi""
Step 2: Chọn (&gt;) bên phải vùng hiển thị giảm gía
Step 3: Kiểm tra hiển thị chính xác kich thước, vị trí và màu chữ của text  chỉ chọn được 1 voucher")</f>
        <v>Step 1: Điều hướng tới trang "Giỏ hàng của tôi"
Step 2: Chọn (&gt;) bên phải vùng hiển thị giảm gía
Step 3: Kiểm tra hiển thị chính xác kich thước, vị trí và màu chữ của text  chỉ chọn được 1 voucher</v>
      </c>
      <c r="L111" s="14"/>
      <c r="M111" s="12" t="s">
        <v>2667</v>
      </c>
      <c r="N111" s="38"/>
      <c r="O111" s="12"/>
      <c r="P111" s="38"/>
    </row>
    <row r="112">
      <c r="A112" s="37"/>
      <c r="B112" s="37"/>
      <c r="C112" s="37"/>
      <c r="D112" s="37"/>
      <c r="E112" s="37"/>
      <c r="F112" s="12" t="s">
        <v>2668</v>
      </c>
      <c r="G112" s="56"/>
      <c r="H112" s="12" t="s">
        <v>2669</v>
      </c>
      <c r="I112" s="12" t="s">
        <v>2536</v>
      </c>
      <c r="J112" s="12" t="s">
        <v>2670</v>
      </c>
      <c r="K112" s="13" t="str">
        <f>IFERROR(__xludf.DUMMYFUNCTION("IF(ISBLANK(J112), ""Input test step"", ARRAYFORMULA(TEXTJOIN(CHAR(10), TRUE, (""Step ""&amp; ROW(INDIRECT(""1:"" &amp; COUNTA(SPLIT(J112, CHAR(10))))) &amp; "": "" &amp; TRANSPOSE(SPLIT(J112, CHAR(10)))))))"),"Step 1: Điều hướng tới trang ""Giỏ hàng của tôi""
Step 2: Chọn (&gt;) bên phải vùng hiển thị giảm gía
Step 3: Kiểm tra hiển thị chính xác kich thước, vị trí của danh sách voucher")</f>
        <v>Step 1: Điều hướng tới trang "Giỏ hàng của tôi"
Step 2: Chọn (&gt;) bên phải vùng hiển thị giảm gía
Step 3: Kiểm tra hiển thị chính xác kich thước, vị trí của danh sách voucher</v>
      </c>
      <c r="L112" s="14"/>
      <c r="M112" s="12" t="s">
        <v>2671</v>
      </c>
      <c r="N112" s="38"/>
      <c r="O112" s="12"/>
      <c r="P112" s="38"/>
    </row>
    <row r="113">
      <c r="A113" s="37"/>
      <c r="B113" s="37"/>
      <c r="C113" s="37"/>
      <c r="D113" s="37"/>
      <c r="E113" s="37"/>
      <c r="F113" s="12" t="s">
        <v>2672</v>
      </c>
      <c r="G113" s="56"/>
      <c r="H113" s="12" t="s">
        <v>2673</v>
      </c>
      <c r="I113" s="12" t="s">
        <v>2536</v>
      </c>
      <c r="J113" s="12" t="s">
        <v>2674</v>
      </c>
      <c r="K113" s="13" t="str">
        <f>IFERROR(__xludf.DUMMYFUNCTION("IF(ISBLANK(J113), ""Input test step"", ARRAYFORMULA(TEXTJOIN(CHAR(10), TRUE, (""Step ""&amp; ROW(INDIRECT(""1:"" &amp; COUNTA(SPLIT(J113, CHAR(10))))) &amp; "": "" &amp; TRANSPOSE(SPLIT(J113, CHAR(10)))))))"),"Step 1: Điều hướng tới trang ""Giỏ hàng của tôi""
Step 2: Chọn (&gt;) bên phải vùng hiển thị giảm gía
Step 3: Kiểm tra hiển thị chính xác khoảng cách giữa các mục voucher")</f>
        <v>Step 1: Điều hướng tới trang "Giỏ hàng của tôi"
Step 2: Chọn (&gt;) bên phải vùng hiển thị giảm gía
Step 3: Kiểm tra hiển thị chính xác khoảng cách giữa các mục voucher</v>
      </c>
      <c r="L113" s="14"/>
      <c r="M113" s="12" t="s">
        <v>2675</v>
      </c>
      <c r="N113" s="38"/>
      <c r="O113" s="12"/>
      <c r="P113" s="38"/>
    </row>
    <row r="114">
      <c r="A114" s="37"/>
      <c r="B114" s="37"/>
      <c r="C114" s="37"/>
      <c r="D114" s="37"/>
      <c r="E114" s="37"/>
      <c r="F114" s="12" t="s">
        <v>2676</v>
      </c>
      <c r="G114" s="56"/>
      <c r="H114" s="12" t="s">
        <v>2677</v>
      </c>
      <c r="I114" s="12" t="s">
        <v>2536</v>
      </c>
      <c r="J114" s="12" t="s">
        <v>2678</v>
      </c>
      <c r="K114" s="13" t="str">
        <f>IFERROR(__xludf.DUMMYFUNCTION("IF(ISBLANK(J114), ""Input test step"", ARRAYFORMULA(TEXTJOIN(CHAR(10), TRUE, (""Step ""&amp; ROW(INDIRECT(""1:"" &amp; COUNTA(SPLIT(J114, CHAR(10))))) &amp; "": "" &amp; TRANSPOSE(SPLIT(J114, CHAR(10)))))))"),"Step 1: Điều hướng tới trang ""Giỏ hàng của tôi""
Step 2: Chọn (&gt;) bên phải vùng hiển thị giảm gía
Step 3: Kiểm tra hiển thị đầy đủ nội dung trong 1 voucher, bao gồm các nội dung như  số phần trăm giảm,tên voucher, điều kiện giảm và hạn sử dụng")</f>
        <v>Step 1: Điều hướng tới trang "Giỏ hàng của tôi"
Step 2: Chọn (&gt;) bên phải vùng hiển thị giảm gía
Step 3: Kiểm tra hiển thị đầy đủ nội dung trong 1 voucher, bao gồm các nội dung như  số phần trăm giảm,tên voucher, điều kiện giảm và hạn sử dụng</v>
      </c>
      <c r="L114" s="14"/>
      <c r="M114" s="12" t="s">
        <v>2679</v>
      </c>
      <c r="N114" s="38"/>
      <c r="O114" s="12"/>
      <c r="P114" s="38"/>
    </row>
    <row r="115">
      <c r="A115" s="37"/>
      <c r="B115" s="37"/>
      <c r="C115" s="37"/>
      <c r="D115" s="37"/>
      <c r="E115" s="37"/>
      <c r="F115" s="12" t="s">
        <v>2680</v>
      </c>
      <c r="G115" s="56"/>
      <c r="H115" s="12" t="s">
        <v>2681</v>
      </c>
      <c r="I115" s="12" t="s">
        <v>2536</v>
      </c>
      <c r="J115" s="12" t="s">
        <v>2682</v>
      </c>
      <c r="K115" s="13" t="str">
        <f>IFERROR(__xludf.DUMMYFUNCTION("IF(ISBLANK(J115), ""Input test step"", ARRAYFORMULA(TEXTJOIN(CHAR(10), TRUE, (""Step ""&amp; ROW(INDIRECT(""1:"" &amp; COUNTA(SPLIT(J115, CHAR(10))))) &amp; "": "" &amp; TRANSPOSE(SPLIT(J115, CHAR(10)))))))"),"Step 1: Điều hướng tới trang ""Giỏ hàng của tôi""
Step 2: Chọn (&gt;) bên phải vùng hiển thị giảm gía
Step 3: Kiểm tra hiển thị đúng màu nền của các vùng hiển thị, bên phải thẻ hiển thị màu trăng xám, bên trái thẻ hiển thị màu xanh lá cây")</f>
        <v>Step 1: Điều hướng tới trang "Giỏ hàng của tôi"
Step 2: Chọn (&gt;) bên phải vùng hiển thị giảm gía
Step 3: Kiểm tra hiển thị đúng màu nền của các vùng hiển thị, bên phải thẻ hiển thị màu trăng xám, bên trái thẻ hiển thị màu xanh lá cây</v>
      </c>
      <c r="L115" s="14"/>
      <c r="M115" s="12" t="s">
        <v>2683</v>
      </c>
      <c r="N115" s="38"/>
      <c r="O115" s="12"/>
      <c r="P115" s="38"/>
    </row>
    <row r="116">
      <c r="A116" s="37"/>
      <c r="B116" s="37"/>
      <c r="C116" s="37"/>
      <c r="D116" s="37"/>
      <c r="E116" s="37"/>
      <c r="F116" s="12" t="s">
        <v>2684</v>
      </c>
      <c r="G116" s="56"/>
      <c r="H116" s="12" t="s">
        <v>2685</v>
      </c>
      <c r="I116" s="12" t="s">
        <v>2536</v>
      </c>
      <c r="J116" s="12" t="s">
        <v>2686</v>
      </c>
      <c r="K116" s="13" t="str">
        <f>IFERROR(__xludf.DUMMYFUNCTION("IF(ISBLANK(J116), ""Input test step"", ARRAYFORMULA(TEXTJOIN(CHAR(10), TRUE, (""Step ""&amp; ROW(INDIRECT(""1:"" &amp; COUNTA(SPLIT(J116, CHAR(10))))) &amp; "": "" &amp; TRANSPOSE(SPLIT(J116, CHAR(10)))))))"),"Step 1: Điều hướng tới trang ""Giỏ hàng của tôi""
Step 2: Chọn (&gt;) bên phải vùng hiển thị giảm gía
Step 3: Kiểm tra hiển thị đúng kích thước và vị trí của ô radio trong 1 mục voucher")</f>
        <v>Step 1: Điều hướng tới trang "Giỏ hàng của tôi"
Step 2: Chọn (&gt;) bên phải vùng hiển thị giảm gía
Step 3: Kiểm tra hiển thị đúng kích thước và vị trí của ô radio trong 1 mục voucher</v>
      </c>
      <c r="L116" s="14"/>
      <c r="M116" s="12" t="s">
        <v>2687</v>
      </c>
      <c r="N116" s="38"/>
      <c r="O116" s="12"/>
      <c r="P116" s="38"/>
    </row>
    <row r="117">
      <c r="A117" s="37"/>
      <c r="B117" s="37"/>
      <c r="C117" s="37"/>
      <c r="D117" s="37"/>
      <c r="E117" s="37"/>
      <c r="F117" s="12" t="s">
        <v>2688</v>
      </c>
      <c r="G117" s="56"/>
      <c r="H117" s="12" t="s">
        <v>2689</v>
      </c>
      <c r="I117" s="12" t="s">
        <v>2536</v>
      </c>
      <c r="J117" s="12" t="s">
        <v>2690</v>
      </c>
      <c r="K117" s="13" t="str">
        <f>IFERROR(__xludf.DUMMYFUNCTION("IF(ISBLANK(J117), ""Input test step"", ARRAYFORMULA(TEXTJOIN(CHAR(10), TRUE, (""Step ""&amp; ROW(INDIRECT(""1:"" &amp; COUNTA(SPLIT(J117, CHAR(10))))) &amp; "": "" &amp; TRANSPOSE(SPLIT(J117, CHAR(10)))))))"),"Step 1: Điều hướng tới trang ""Giỏ hàng của tôi""
Step 2: Chọn (&gt;) bên phải vùng hiển thị giảm gía
Step 3: Nhấn vào 1 ô radio trên một mục voucher bất kì
Step 4: Kiểm tra khả năng có thể chọn trên mỗi mục voucher")</f>
        <v>Step 1: Điều hướng tới trang "Giỏ hàng của tôi"
Step 2: Chọn (&gt;) bên phải vùng hiển thị giảm gía
Step 3: Nhấn vào 1 ô radio trên một mục voucher bất kì
Step 4: Kiểm tra khả năng có thể chọn trên mỗi mục voucher</v>
      </c>
      <c r="L117" s="14"/>
      <c r="M117" s="12" t="s">
        <v>2691</v>
      </c>
      <c r="N117" s="38"/>
      <c r="O117" s="12"/>
      <c r="P117" s="38"/>
    </row>
    <row r="118">
      <c r="A118" s="37"/>
      <c r="B118" s="37"/>
      <c r="C118" s="37"/>
      <c r="D118" s="37"/>
      <c r="E118" s="37"/>
      <c r="F118" s="12" t="s">
        <v>2692</v>
      </c>
      <c r="G118" s="56"/>
      <c r="H118" s="12" t="s">
        <v>2693</v>
      </c>
      <c r="I118" s="12" t="s">
        <v>2536</v>
      </c>
      <c r="J118" s="12" t="s">
        <v>2694</v>
      </c>
      <c r="K118" s="13" t="str">
        <f>IFERROR(__xludf.DUMMYFUNCTION("IF(ISBLANK(J118), ""Input test step"", ARRAYFORMULA(TEXTJOIN(CHAR(10), TRUE, (""Step ""&amp; ROW(INDIRECT(""1:"" &amp; COUNTA(SPLIT(J118, CHAR(10))))) &amp; "": "" &amp; TRANSPOSE(SPLIT(J118, CHAR(10)))))))"),"Step 1: Điều hướng tới trang ""Giỏ hàng của tôi""
Step 2: Chọn (&gt;) bên phải vùng hiển thị giảm gía
Step 3: Nhấn vào 1 ô radio trên một mục voucher bất kì
Step 4: Tiếp tục nhấn vào 1 ô radio khác trên mục voucher khác
Step 5: Kiểm tra  khả năng chỉ chọn du"&amp;"y nhất 1 voucher trong danh sách voucher")</f>
        <v>Step 1: Điều hướng tới trang "Giỏ hàng của tôi"
Step 2: Chọn (&gt;) bên phải vùng hiển thị giảm gía
Step 3: Nhấn vào 1 ô radio trên một mục voucher bất kì
Step 4: Tiếp tục nhấn vào 1 ô radio khác trên mục voucher khác
Step 5: Kiểm tra  khả năng chỉ chọn duy nhất 1 voucher trong danh sách voucher</v>
      </c>
      <c r="L118" s="14"/>
      <c r="M118" s="12" t="s">
        <v>2695</v>
      </c>
      <c r="N118" s="38"/>
      <c r="O118" s="12"/>
      <c r="P118" s="38"/>
    </row>
    <row r="119">
      <c r="A119" s="37"/>
      <c r="B119" s="37"/>
      <c r="C119" s="37"/>
      <c r="D119" s="37"/>
      <c r="E119" s="37"/>
      <c r="F119" s="12" t="s">
        <v>2696</v>
      </c>
      <c r="G119" s="56"/>
      <c r="H119" s="12" t="s">
        <v>2697</v>
      </c>
      <c r="I119" s="12" t="s">
        <v>2536</v>
      </c>
      <c r="J119" s="12" t="s">
        <v>2698</v>
      </c>
      <c r="K119" s="13" t="str">
        <f>IFERROR(__xludf.DUMMYFUNCTION("IF(ISBLANK(J119), ""Input test step"", ARRAYFORMULA(TEXTJOIN(CHAR(10), TRUE, (""Step ""&amp; ROW(INDIRECT(""1:"" &amp; COUNTA(SPLIT(J119, CHAR(10))))) &amp; "": "" &amp; TRANSPOSE(SPLIT(J119, CHAR(10)))))))"),"Step 1: Điều hướng tới trang ""Giỏ hàng của tôi""
Step 2: Chọn (&gt;) bên phải vùng hiển thị giảm gía
Step 3: Kiểm tra hiển thị chính xác kich thước, vị trí và màu chữ của tên Voucher trên mỗi mục voucher")</f>
        <v>Step 1: Điều hướng tới trang "Giỏ hàng của tôi"
Step 2: Chọn (&gt;) bên phải vùng hiển thị giảm gía
Step 3: Kiểm tra hiển thị chính xác kich thước, vị trí và màu chữ của tên Voucher trên mỗi mục voucher</v>
      </c>
      <c r="L119" s="14"/>
      <c r="M119" s="12" t="s">
        <v>2699</v>
      </c>
      <c r="N119" s="38"/>
      <c r="O119" s="12"/>
      <c r="P119" s="38"/>
    </row>
    <row r="120">
      <c r="A120" s="37"/>
      <c r="B120" s="37"/>
      <c r="C120" s="37"/>
      <c r="D120" s="37"/>
      <c r="E120" s="37"/>
      <c r="F120" s="12" t="s">
        <v>2700</v>
      </c>
      <c r="G120" s="56"/>
      <c r="H120" s="12" t="s">
        <v>2701</v>
      </c>
      <c r="I120" s="12" t="s">
        <v>2536</v>
      </c>
      <c r="J120" s="12" t="s">
        <v>2702</v>
      </c>
      <c r="K120" s="13" t="str">
        <f>IFERROR(__xludf.DUMMYFUNCTION("IF(ISBLANK(J120), ""Input test step"", ARRAYFORMULA(TEXTJOIN(CHAR(10), TRUE, (""Step ""&amp; ROW(INDIRECT(""1:"" &amp; COUNTA(SPLIT(J120, CHAR(10))))) &amp; "": "" &amp; TRANSPOSE(SPLIT(J120, CHAR(10)))))))"),"Step 1: Điều hướng tới trang ""Giỏ hàng của tôi""
Step 2: Chọn (&gt;) bên phải vùng hiển thị giảm gía
Step 3: Kiểm tra hiển thị chính xác kich thước, vị trí và màu chữ của text phần trăm giảm trong 1 mục voucher")</f>
        <v>Step 1: Điều hướng tới trang "Giỏ hàng của tôi"
Step 2: Chọn (&gt;) bên phải vùng hiển thị giảm gía
Step 3: Kiểm tra hiển thị chính xác kich thước, vị trí và màu chữ của text phần trăm giảm trong 1 mục voucher</v>
      </c>
      <c r="L120" s="14"/>
      <c r="M120" s="12" t="s">
        <v>2703</v>
      </c>
      <c r="N120" s="38"/>
      <c r="O120" s="12"/>
      <c r="P120" s="38"/>
    </row>
    <row r="121">
      <c r="A121" s="37"/>
      <c r="B121" s="37"/>
      <c r="C121" s="37"/>
      <c r="D121" s="37"/>
      <c r="E121" s="37"/>
      <c r="F121" s="12" t="s">
        <v>2704</v>
      </c>
      <c r="G121" s="56"/>
      <c r="H121" s="12" t="s">
        <v>2705</v>
      </c>
      <c r="I121" s="12" t="s">
        <v>2536</v>
      </c>
      <c r="J121" s="12" t="s">
        <v>2706</v>
      </c>
      <c r="K121" s="13" t="str">
        <f>IFERROR(__xludf.DUMMYFUNCTION("IF(ISBLANK(J121), ""Input test step"", ARRAYFORMULA(TEXTJOIN(CHAR(10), TRUE, (""Step ""&amp; ROW(INDIRECT(""1:"" &amp; COUNTA(SPLIT(J121, CHAR(10))))) &amp; "": "" &amp; TRANSPOSE(SPLIT(J121, CHAR(10)))))))"),"Step 1: Điều hướng tới trang ""Giỏ hàng của tôi""
Step 2: Chọn (&gt;) bên phải vùng hiển thị giảm gía
Step 3: Kiểm tra hiển thị chính xác vị trí, kích thước, màu chữ của điều kiện voucher trong 1 mục voucher")</f>
        <v>Step 1: Điều hướng tới trang "Giỏ hàng của tôi"
Step 2: Chọn (&gt;) bên phải vùng hiển thị giảm gía
Step 3: Kiểm tra hiển thị chính xác vị trí, kích thước, màu chữ của điều kiện voucher trong 1 mục voucher</v>
      </c>
      <c r="L121" s="14"/>
      <c r="M121" s="12" t="s">
        <v>2707</v>
      </c>
      <c r="N121" s="38"/>
      <c r="O121" s="12"/>
      <c r="P121" s="38"/>
    </row>
    <row r="122">
      <c r="A122" s="37"/>
      <c r="B122" s="37"/>
      <c r="C122" s="37"/>
      <c r="D122" s="37"/>
      <c r="E122" s="37"/>
      <c r="F122" s="12" t="s">
        <v>2708</v>
      </c>
      <c r="G122" s="56"/>
      <c r="H122" s="12" t="s">
        <v>2709</v>
      </c>
      <c r="I122" s="12" t="s">
        <v>2536</v>
      </c>
      <c r="J122" s="12" t="s">
        <v>2710</v>
      </c>
      <c r="K122" s="13" t="str">
        <f>IFERROR(__xludf.DUMMYFUNCTION("IF(ISBLANK(J122), ""Input test step"", ARRAYFORMULA(TEXTJOIN(CHAR(10), TRUE, (""Step ""&amp; ROW(INDIRECT(""1:"" &amp; COUNTA(SPLIT(J122, CHAR(10))))) &amp; "": "" &amp; TRANSPOSE(SPLIT(J122, CHAR(10)))))))"),"Step 1: Điều hướng tới trang ""Giỏ hàng của tôi""
Step 2: Chọn (&gt;) bên phải vùng hiển thị giảm gía
Step 3: Kiểm tra hiển thị chính xác kich thước, vị trí và màu chữ hạn sử dụng trong 1 mục voucher")</f>
        <v>Step 1: Điều hướng tới trang "Giỏ hàng của tôi"
Step 2: Chọn (&gt;) bên phải vùng hiển thị giảm gía
Step 3: Kiểm tra hiển thị chính xác kich thước, vị trí và màu chữ hạn sử dụng trong 1 mục voucher</v>
      </c>
      <c r="L122" s="14"/>
      <c r="M122" s="12" t="s">
        <v>2711</v>
      </c>
      <c r="N122" s="38"/>
      <c r="O122" s="12"/>
      <c r="P122" s="38"/>
    </row>
    <row r="123">
      <c r="A123" s="37"/>
      <c r="B123" s="37"/>
      <c r="C123" s="37"/>
      <c r="D123" s="37"/>
      <c r="E123" s="37"/>
      <c r="F123" s="12" t="s">
        <v>2712</v>
      </c>
      <c r="G123" s="56"/>
      <c r="H123" s="12" t="s">
        <v>2713</v>
      </c>
      <c r="I123" s="12" t="s">
        <v>2536</v>
      </c>
      <c r="J123" s="12" t="s">
        <v>2714</v>
      </c>
      <c r="K123" s="13" t="str">
        <f>IFERROR(__xludf.DUMMYFUNCTION("IF(ISBLANK(J123), ""Input test step"", ARRAYFORMULA(TEXTJOIN(CHAR(10), TRUE, (""Step ""&amp; ROW(INDIRECT(""1:"" &amp; COUNTA(SPLIT(J123, CHAR(10))))) &amp; "": "" &amp; TRANSPOSE(SPLIT(J123, CHAR(10)))))))"),"Step 1: Điều hướng tới trang ""Giỏ hàng của tôi""
Step 2: Chọn (&gt;) bên phải vùng hiển thị giảm gía
Step 3: Kiểm tra hiển thị chính xác kich thước, vị trí và màu chữ của ""Xem thêm""")</f>
        <v>Step 1: Điều hướng tới trang "Giỏ hàng của tôi"
Step 2: Chọn (&gt;) bên phải vùng hiển thị giảm gía
Step 3: Kiểm tra hiển thị chính xác kich thước, vị trí và màu chữ của "Xem thêm"</v>
      </c>
      <c r="L123" s="14"/>
      <c r="M123" s="12" t="s">
        <v>2715</v>
      </c>
      <c r="N123" s="38"/>
      <c r="O123" s="12"/>
      <c r="P123" s="38"/>
    </row>
    <row r="124">
      <c r="A124" s="37"/>
      <c r="B124" s="37"/>
      <c r="C124" s="37"/>
      <c r="D124" s="37"/>
      <c r="E124" s="37"/>
      <c r="F124" s="12" t="s">
        <v>2716</v>
      </c>
      <c r="G124" s="56"/>
      <c r="H124" s="12" t="s">
        <v>2717</v>
      </c>
      <c r="I124" s="12" t="s">
        <v>2536</v>
      </c>
      <c r="J124" s="12" t="s">
        <v>2718</v>
      </c>
      <c r="K124" s="13" t="str">
        <f>IFERROR(__xludf.DUMMYFUNCTION("IF(ISBLANK(J124), ""Input test step"", ARRAYFORMULA(TEXTJOIN(CHAR(10), TRUE, (""Step ""&amp; ROW(INDIRECT(""1:"" &amp; COUNTA(SPLIT(J124, CHAR(10))))) &amp; "": "" &amp; TRANSPOSE(SPLIT(J124, CHAR(10)))))))"),"Step 1: Điều hướng tới trang ""Giỏ hàng của tôi""
Step 2: Chọn (&gt;) bên phải vùng hiển thị giảm gía
Step 3: Kiểm tra hiển thị chính xác kich thước, vị trí và màu chữ của ""Thu gọn""")</f>
        <v>Step 1: Điều hướng tới trang "Giỏ hàng của tôi"
Step 2: Chọn (&gt;) bên phải vùng hiển thị giảm gía
Step 3: Kiểm tra hiển thị chính xác kich thước, vị trí và màu chữ của "Thu gọn"</v>
      </c>
      <c r="L124" s="14"/>
      <c r="M124" s="12" t="s">
        <v>2719</v>
      </c>
      <c r="N124" s="38"/>
      <c r="O124" s="12"/>
      <c r="P124" s="38"/>
    </row>
    <row r="125">
      <c r="A125" s="37"/>
      <c r="B125" s="37"/>
      <c r="C125" s="37"/>
      <c r="D125" s="37"/>
      <c r="E125" s="37"/>
      <c r="F125" s="12" t="s">
        <v>2720</v>
      </c>
      <c r="G125" s="56"/>
      <c r="H125" s="12" t="s">
        <v>2721</v>
      </c>
      <c r="I125" s="12" t="s">
        <v>2536</v>
      </c>
      <c r="J125" s="12" t="s">
        <v>2722</v>
      </c>
      <c r="K125" s="13" t="str">
        <f>IFERROR(__xludf.DUMMYFUNCTION("IF(ISBLANK(J125), ""Input test step"", ARRAYFORMULA(TEXTJOIN(CHAR(10), TRUE, (""Step ""&amp; ROW(INDIRECT(""1:"" &amp; COUNTA(SPLIT(J125, CHAR(10))))) &amp; "": "" &amp; TRANSPOSE(SPLIT(J125, CHAR(10)))))))"),"Step 1: Điều hướng tới trang ""Giỏ hàng của tôi""
Step 2: Chọn (&gt;) bên phải vùng hiển thị giảm gía
Step 3: Kiểm tra hiển thị chính xác kich thước, vị trí và màu chữ của text ""Mã giảm giá sản phẩm""")</f>
        <v>Step 1: Điều hướng tới trang "Giỏ hàng của tôi"
Step 2: Chọn (&gt;) bên phải vùng hiển thị giảm gía
Step 3: Kiểm tra hiển thị chính xác kich thước, vị trí và màu chữ của text "Mã giảm giá sản phẩm"</v>
      </c>
      <c r="L125" s="14"/>
      <c r="M125" s="12" t="s">
        <v>2723</v>
      </c>
      <c r="N125" s="38"/>
      <c r="O125" s="12"/>
      <c r="P125" s="38"/>
    </row>
    <row r="126">
      <c r="A126" s="37"/>
      <c r="B126" s="37"/>
      <c r="C126" s="37"/>
      <c r="D126" s="37"/>
      <c r="E126" s="37"/>
      <c r="F126" s="12" t="s">
        <v>2724</v>
      </c>
      <c r="G126" s="56"/>
      <c r="H126" s="12" t="s">
        <v>2725</v>
      </c>
      <c r="I126" s="12" t="s">
        <v>2536</v>
      </c>
      <c r="J126" s="12" t="s">
        <v>2726</v>
      </c>
      <c r="K126" s="13" t="str">
        <f>IFERROR(__xludf.DUMMYFUNCTION("IF(ISBLANK(J126), ""Input test step"", ARRAYFORMULA(TEXTJOIN(CHAR(10), TRUE, (""Step ""&amp; ROW(INDIRECT(""1:"" &amp; COUNTA(SPLIT(J126, CHAR(10))))) &amp; "": "" &amp; TRANSPOSE(SPLIT(J126, CHAR(10)))))))"),"Step 1: Điều hướng tới trang ""Giỏ hàng của tôi""
Step 2: Chọn (&gt;) bên phải vùng hiển thị giảm gía
Step 3: Kiểm tra khả năng cuộn lên cuộn xuống danh sách mã giảm giá bằng cách cuộn lên danh sách hoặc cuộn xuống danh sách")</f>
        <v>Step 1: Điều hướng tới trang "Giỏ hàng của tôi"
Step 2: Chọn (&gt;) bên phải vùng hiển thị giảm gía
Step 3: Kiểm tra khả năng cuộn lên cuộn xuống danh sách mã giảm giá bằng cách cuộn lên danh sách hoặc cuộn xuống danh sách</v>
      </c>
      <c r="L126" s="14"/>
      <c r="M126" s="12" t="s">
        <v>2727</v>
      </c>
      <c r="N126" s="38"/>
      <c r="O126" s="12"/>
      <c r="P126" s="38"/>
    </row>
    <row r="127">
      <c r="A127" s="37"/>
      <c r="B127" s="37"/>
      <c r="C127" s="37"/>
      <c r="D127" s="37"/>
      <c r="E127" s="37"/>
      <c r="F127" s="12" t="s">
        <v>2728</v>
      </c>
      <c r="G127" s="56"/>
      <c r="H127" s="12" t="s">
        <v>2729</v>
      </c>
      <c r="I127" s="12" t="s">
        <v>2536</v>
      </c>
      <c r="J127" s="12" t="s">
        <v>2730</v>
      </c>
      <c r="K127" s="13" t="str">
        <f>IFERROR(__xludf.DUMMYFUNCTION("IF(ISBLANK(J127), ""Input test step"", ARRAYFORMULA(TEXTJOIN(CHAR(10), TRUE, (""Step ""&amp; ROW(INDIRECT(""1:"" &amp; COUNTA(SPLIT(J127, CHAR(10))))) &amp; "": "" &amp; TRANSPOSE(SPLIT(J127, CHAR(10)))))))"),"Step 1: Điều hướng tới trang ""Giỏ hàng của tôi""
Step 2: Chọn (&gt;) bên phải vùng hiển thị giảm gía
Step 3: Kiểm tra khoảng cách giữa các mục trong danh sách mã giảm giá")</f>
        <v>Step 1: Điều hướng tới trang "Giỏ hàng của tôi"
Step 2: Chọn (&gt;) bên phải vùng hiển thị giảm gía
Step 3: Kiểm tra khoảng cách giữa các mục trong danh sách mã giảm giá</v>
      </c>
      <c r="L127" s="14"/>
      <c r="M127" s="12" t="s">
        <v>2731</v>
      </c>
      <c r="N127" s="38"/>
      <c r="O127" s="12"/>
      <c r="P127" s="38"/>
    </row>
    <row r="128">
      <c r="A128" s="37"/>
      <c r="B128" s="37"/>
      <c r="C128" s="37"/>
      <c r="D128" s="37"/>
      <c r="E128" s="37"/>
      <c r="F128" s="12" t="s">
        <v>2732</v>
      </c>
      <c r="G128" s="56"/>
      <c r="H128" s="12" t="s">
        <v>2733</v>
      </c>
      <c r="I128" s="12" t="s">
        <v>2536</v>
      </c>
      <c r="J128" s="12" t="s">
        <v>2734</v>
      </c>
      <c r="K128" s="13" t="str">
        <f>IFERROR(__xludf.DUMMYFUNCTION("IF(ISBLANK(J128), ""Input test step"", ARRAYFORMULA(TEXTJOIN(CHAR(10), TRUE, (""Step ""&amp; ROW(INDIRECT(""1:"" &amp; COUNTA(SPLIT(J128, CHAR(10))))) &amp; "": "" &amp; TRANSPOSE(SPLIT(J128, CHAR(10)))))))"),"Step 1: Điều hướng tới trang ""Giỏ hàng của tôi""
Step 2: Chọn (&gt;) bên phải vùng hiển thị giảm gía
Step 3: Kiểm tra hiển thị đầy đủ nội dung trong 1 voucher theo mã giảm giá bao gồm, các nội dung như  số phần trăm giảm,tên voucher, điều kiện giảm và hạn s"&amp;"ử dụng")</f>
        <v>Step 1: Điều hướng tới trang "Giỏ hàng của tôi"
Step 2: Chọn (&gt;) bên phải vùng hiển thị giảm gía
Step 3: Kiểm tra hiển thị đầy đủ nội dung trong 1 voucher theo mã giảm giá bao gồm, các nội dung như  số phần trăm giảm,tên voucher, điều kiện giảm và hạn sử dụng</v>
      </c>
      <c r="L128" s="14"/>
      <c r="M128" s="12" t="s">
        <v>2735</v>
      </c>
      <c r="N128" s="38"/>
      <c r="O128" s="12"/>
      <c r="P128" s="38"/>
    </row>
    <row r="129">
      <c r="A129" s="37"/>
      <c r="B129" s="37"/>
      <c r="C129" s="37"/>
      <c r="D129" s="37"/>
      <c r="E129" s="37"/>
      <c r="F129" s="12" t="s">
        <v>2736</v>
      </c>
      <c r="G129" s="56"/>
      <c r="H129" s="12" t="s">
        <v>2737</v>
      </c>
      <c r="I129" s="12" t="s">
        <v>2536</v>
      </c>
      <c r="J129" s="12" t="s">
        <v>2738</v>
      </c>
      <c r="K129" s="13" t="str">
        <f>IFERROR(__xludf.DUMMYFUNCTION("IF(ISBLANK(J129), ""Input test step"", ARRAYFORMULA(TEXTJOIN(CHAR(10), TRUE, (""Step ""&amp; ROW(INDIRECT(""1:"" &amp; COUNTA(SPLIT(J129, CHAR(10))))) &amp; "": "" &amp; TRANSPOSE(SPLIT(J129, CHAR(10)))))))"),"Step 1: Điều hướng tới trang ""Giỏ hàng của tôi""
Step 2: Chọn (&gt;) bên phải vùng hiển thị giảm gía
Step 3: Kiểm tra hiển thị đúng kích thước, vị trí, màu chữ và màu nền của 1 button ""Sử dụng""")</f>
        <v>Step 1: Điều hướng tới trang "Giỏ hàng của tôi"
Step 2: Chọn (&gt;) bên phải vùng hiển thị giảm gía
Step 3: Kiểm tra hiển thị đúng kích thước, vị trí, màu chữ và màu nền của 1 button "Sử dụng"</v>
      </c>
      <c r="L129" s="14"/>
      <c r="M129" s="12" t="s">
        <v>2739</v>
      </c>
      <c r="N129" s="38"/>
      <c r="O129" s="12"/>
      <c r="P129" s="38"/>
    </row>
    <row r="130">
      <c r="A130" s="37"/>
      <c r="B130" s="37"/>
      <c r="C130" s="37"/>
      <c r="D130" s="37"/>
      <c r="E130" s="37"/>
      <c r="F130" s="12" t="s">
        <v>2740</v>
      </c>
      <c r="G130" s="57"/>
      <c r="H130" s="12" t="s">
        <v>2741</v>
      </c>
      <c r="I130" s="12" t="s">
        <v>2536</v>
      </c>
      <c r="J130" s="12" t="s">
        <v>2742</v>
      </c>
      <c r="K130" s="13" t="str">
        <f>IFERROR(__xludf.DUMMYFUNCTION("IF(ISBLANK(J130), ""Input test step"", ARRAYFORMULA(TEXTJOIN(CHAR(10), TRUE, (""Step ""&amp; ROW(INDIRECT(""1:"" &amp; COUNTA(SPLIT(J130, CHAR(10))))) &amp; "": "" &amp; TRANSPOSE(SPLIT(J130, CHAR(10)))))))"),"Step 1: Điều hướng tới trang ""Giỏ hàng của tôi""
Step 2: Chọn (&gt;) bên phải vùng hiển thị giảm gía
Step 3: Cuộn danh sách lên hoặc xuống
Step 4: Kiểm tra button ""Sử dụng"" được giữ nguyên khi người dùng cuộn lên và cuộn xuống danh sách")</f>
        <v>Step 1: Điều hướng tới trang "Giỏ hàng của tôi"
Step 2: Chọn (&gt;) bên phải vùng hiển thị giảm gía
Step 3: Cuộn danh sách lên hoặc xuống
Step 4: Kiểm tra button "Sử dụng" được giữ nguyên khi người dùng cuộn lên và cuộn xuống danh sách</v>
      </c>
      <c r="L130" s="14"/>
      <c r="M130" s="12" t="s">
        <v>2743</v>
      </c>
      <c r="N130" s="38"/>
      <c r="O130" s="12"/>
      <c r="P130" s="38"/>
    </row>
    <row r="131">
      <c r="A131" s="37"/>
      <c r="B131" s="37"/>
      <c r="C131" s="37"/>
      <c r="D131" s="37"/>
      <c r="E131" s="37"/>
      <c r="F131" s="12" t="s">
        <v>2744</v>
      </c>
      <c r="G131" s="12" t="s">
        <v>807</v>
      </c>
      <c r="H131" s="12" t="s">
        <v>2745</v>
      </c>
      <c r="I131" s="12" t="s">
        <v>2536</v>
      </c>
      <c r="J131" s="12" t="s">
        <v>2746</v>
      </c>
      <c r="K131" s="13" t="str">
        <f>IFERROR(__xludf.DUMMYFUNCTION("IF(ISBLANK(J131), ""Input test step"", ARRAYFORMULA(TEXTJOIN(CHAR(10), TRUE, (""Step ""&amp; ROW(INDIRECT(""1:"" &amp; COUNTA(SPLIT(J131, CHAR(10))))) &amp; "": "" &amp; TRANSPOSE(SPLIT(J131, CHAR(10)))))))"),"Step 1: Điều hướng tới trang ""Giỏ hàng của tôi""
Step 2: Đếm số sản phẩm có trong giỏ hàng
Step 3: Kiểm tra số lượng sản phẩm trên tiêu đề tương ứng với số sản phẩm có trong giỏ hàng")</f>
        <v>Step 1: Điều hướng tới trang "Giỏ hàng của tôi"
Step 2: Đếm số sản phẩm có trong giỏ hàng
Step 3: Kiểm tra số lượng sản phẩm trên tiêu đề tương ứng với số sản phẩm có trong giỏ hàng</v>
      </c>
      <c r="L131" s="14"/>
      <c r="M131" s="12" t="s">
        <v>2747</v>
      </c>
      <c r="N131" s="38"/>
      <c r="O131" s="12"/>
      <c r="P131" s="38"/>
    </row>
    <row r="132">
      <c r="A132" s="37"/>
      <c r="B132" s="37"/>
      <c r="C132" s="37"/>
      <c r="D132" s="37"/>
      <c r="E132" s="37"/>
      <c r="F132" s="12" t="s">
        <v>2748</v>
      </c>
      <c r="G132" s="12" t="s">
        <v>812</v>
      </c>
      <c r="H132" s="12" t="s">
        <v>2749</v>
      </c>
      <c r="I132" s="12" t="s">
        <v>2536</v>
      </c>
      <c r="J132" s="12" t="s">
        <v>2750</v>
      </c>
      <c r="K132" s="13" t="str">
        <f>IFERROR(__xludf.DUMMYFUNCTION("IF(ISBLANK(J132), ""Input test step"", ARRAYFORMULA(TEXTJOIN(CHAR(10), TRUE, (""Step ""&amp; ROW(INDIRECT(""1:"" &amp; COUNTA(SPLIT(J132, CHAR(10))))) &amp; "": "" &amp; TRANSPOSE(SPLIT(J132, CHAR(10)))))))"),"Step 1: Điều hướng tới trang ""Giỏ hàng của tôi""
Step 2: Nhấn button ""Back""
Step 3: Kiểm tra hệ thống trở lại màn hình cha trước đó khi ấn vào button ""Back""")</f>
        <v>Step 1: Điều hướng tới trang "Giỏ hàng của tôi"
Step 2: Nhấn button "Back"
Step 3: Kiểm tra hệ thống trở lại màn hình cha trước đó khi ấn vào button "Back"</v>
      </c>
      <c r="L132" s="14"/>
      <c r="M132" s="12" t="s">
        <v>2751</v>
      </c>
      <c r="N132" s="38"/>
      <c r="O132" s="12"/>
      <c r="P132" s="38"/>
    </row>
    <row r="133">
      <c r="A133" s="37"/>
      <c r="B133" s="37"/>
      <c r="C133" s="37"/>
      <c r="D133" s="37"/>
      <c r="E133" s="37"/>
      <c r="F133" s="12" t="s">
        <v>2752</v>
      </c>
      <c r="G133" s="55" t="s">
        <v>817</v>
      </c>
      <c r="H133" s="12" t="s">
        <v>2753</v>
      </c>
      <c r="I133" s="12" t="s">
        <v>2536</v>
      </c>
      <c r="J133" s="12" t="s">
        <v>2754</v>
      </c>
      <c r="K133" s="13" t="str">
        <f>IFERROR(__xludf.DUMMYFUNCTION("IF(ISBLANK(J133), ""Input test step"", ARRAYFORMULA(TEXTJOIN(CHAR(10), TRUE, (""Step ""&amp; ROW(INDIRECT(""1:"" &amp; COUNTA(SPLIT(J133, CHAR(10))))) &amp; "": "" &amp; TRANSPOSE(SPLIT(J133, CHAR(10)))))))"),"Step 1: Điều hướng tới trang ""Giỏ hàng của tôi""
Step 2: Nhập từ khoá tìm kiếm trên thanh tìm kiếm
Step 3: Kiểm tra Hiển thị danh sách sản phẩm trong giỏ hàng có chứa từ khoá tìm kiếm")</f>
        <v>Step 1: Điều hướng tới trang "Giỏ hàng của tôi"
Step 2: Nhập từ khoá tìm kiếm trên thanh tìm kiếm
Step 3: Kiểm tra Hiển thị danh sách sản phẩm trong giỏ hàng có chứa từ khoá tìm kiếm</v>
      </c>
      <c r="L133" s="14" t="s">
        <v>820</v>
      </c>
      <c r="M133" s="31" t="s">
        <v>2755</v>
      </c>
      <c r="N133" s="38"/>
      <c r="O133" s="12"/>
      <c r="P133" s="38"/>
    </row>
    <row r="134">
      <c r="A134" s="37"/>
      <c r="B134" s="37"/>
      <c r="C134" s="37"/>
      <c r="D134" s="37"/>
      <c r="E134" s="37"/>
      <c r="F134" s="12" t="s">
        <v>2756</v>
      </c>
      <c r="G134" s="56"/>
      <c r="H134" s="12" t="s">
        <v>2757</v>
      </c>
      <c r="I134" s="12" t="s">
        <v>2536</v>
      </c>
      <c r="J134" s="12" t="s">
        <v>2758</v>
      </c>
      <c r="K134" s="13" t="str">
        <f>IFERROR(__xludf.DUMMYFUNCTION("IF(ISBLANK(J134), ""Input test step"", ARRAYFORMULA(TEXTJOIN(CHAR(10), TRUE, (""Step ""&amp; ROW(INDIRECT(""1:"" &amp; COUNTA(SPLIT(J134, CHAR(10))))) &amp; "": "" &amp; TRANSPOSE(SPLIT(J134, CHAR(10)))))))"),"Step 1: Điều hướng tới trang ""Giỏ hàng của tôi""
Step 2: Nhập từ khoá tìm kiếm trên thanh tìm kiếm
Step 3: Kiểm tra Hiển thị thông báo ""Không tìm thấy kết quả"" khi nhập với từ khoá không tồn tại dữ liệu trên hệ thống")</f>
        <v>Step 1: Điều hướng tới trang "Giỏ hàng của tôi"
Step 2: Nhập từ khoá tìm kiếm trên thanh tìm kiếm
Step 3: Kiểm tra Hiển thị thông báo "Không tìm thấy kết quả" khi nhập với từ khoá không tồn tại dữ liệu trên hệ thống</v>
      </c>
      <c r="L134" s="61" t="s">
        <v>825</v>
      </c>
      <c r="M134" s="31" t="s">
        <v>2759</v>
      </c>
      <c r="N134" s="38"/>
      <c r="O134" s="12"/>
      <c r="P134" s="38"/>
    </row>
    <row r="135">
      <c r="A135" s="37"/>
      <c r="B135" s="37"/>
      <c r="C135" s="37"/>
      <c r="D135" s="37"/>
      <c r="E135" s="37"/>
      <c r="F135" s="12" t="s">
        <v>2760</v>
      </c>
      <c r="G135" s="56"/>
      <c r="H135" s="12" t="s">
        <v>2761</v>
      </c>
      <c r="I135" s="12" t="s">
        <v>2536</v>
      </c>
      <c r="J135" s="12" t="s">
        <v>2762</v>
      </c>
      <c r="K135" s="13" t="str">
        <f>IFERROR(__xludf.DUMMYFUNCTION("IF(ISBLANK(J135), ""Input test step"", ARRAYFORMULA(TEXTJOIN(CHAR(10), TRUE, (""Step ""&amp; ROW(INDIRECT(""1:"" &amp; COUNTA(SPLIT(J135, CHAR(10))))) &amp; "": "" &amp; TRANSPOSE(SPLIT(J135, CHAR(10)))))))"),"Step 1: Điều hướng tới trang ""Giỏ hàng của tôi""
Step 2: Nhập từ khoá tìm kiếm là các khoảng trắng
Step 3: Kiểm tra hệ thống giữ nguyên màn hình khi nhập từ khoá là các khoảng trống")</f>
        <v>Step 1: Điều hướng tới trang "Giỏ hàng của tôi"
Step 2: Nhập từ khoá tìm kiếm là các khoảng trắng
Step 3: Kiểm tra hệ thống giữ nguyên màn hình khi nhập từ khoá là các khoảng trống</v>
      </c>
      <c r="M135" s="31" t="s">
        <v>2763</v>
      </c>
      <c r="N135" s="38"/>
      <c r="O135" s="12"/>
      <c r="P135" s="38"/>
    </row>
    <row r="136">
      <c r="A136" s="37"/>
      <c r="B136" s="37"/>
      <c r="C136" s="37"/>
      <c r="D136" s="37"/>
      <c r="E136" s="37"/>
      <c r="F136" s="12" t="s">
        <v>2764</v>
      </c>
      <c r="G136" s="57"/>
      <c r="H136" s="12" t="s">
        <v>2765</v>
      </c>
      <c r="I136" s="12" t="s">
        <v>2536</v>
      </c>
      <c r="J136" s="12" t="s">
        <v>2766</v>
      </c>
      <c r="K136" s="13" t="str">
        <f>IFERROR(__xludf.DUMMYFUNCTION("IF(ISBLANK(J136), ""Input test step"", ARRAYFORMULA(TEXTJOIN(CHAR(10), TRUE, (""Step ""&amp; ROW(INDIRECT(""1:"" &amp; COUNTA(SPLIT(J136, CHAR(10))))) &amp; "": "" &amp; TRANSPOSE(SPLIT(J136, CHAR(10)))))))"),"Step 1: Điều hướng tới trang ""Giỏ hàng của tôi""
Step 2: Nhập từ khoá tìm kiếm là chữ viết hoa hoặc viết thường
Step 3: Kiểm tra hệ thống hiển thị danh sách sản phẩm tương ứng không kể chữ hoa hay chữ thường")</f>
        <v>Step 1: Điều hướng tới trang "Giỏ hàng của tôi"
Step 2: Nhập từ khoá tìm kiếm là chữ viết hoa hoặc viết thường
Step 3: Kiểm tra hệ thống hiển thị danh sách sản phẩm tương ứng không kể chữ hoa hay chữ thường</v>
      </c>
      <c r="L136" s="61" t="s">
        <v>834</v>
      </c>
      <c r="M136" s="31" t="s">
        <v>2767</v>
      </c>
      <c r="N136" s="38"/>
      <c r="O136" s="12"/>
      <c r="P136" s="38"/>
    </row>
    <row r="137">
      <c r="A137" s="37"/>
      <c r="B137" s="37"/>
      <c r="C137" s="37"/>
      <c r="D137" s="37"/>
      <c r="E137" s="37"/>
      <c r="F137" s="12" t="s">
        <v>2768</v>
      </c>
      <c r="G137" s="100" t="s">
        <v>837</v>
      </c>
      <c r="H137" s="12" t="s">
        <v>2769</v>
      </c>
      <c r="I137" s="12" t="s">
        <v>2536</v>
      </c>
      <c r="J137" s="12" t="s">
        <v>2770</v>
      </c>
      <c r="K137" s="13" t="str">
        <f>IFERROR(__xludf.DUMMYFUNCTION("IF(ISBLANK(J137), ""Input test step"", ARRAYFORMULA(TEXTJOIN(CHAR(10), TRUE, (""Step ""&amp; ROW(INDIRECT(""1:"" &amp; COUNTA(SPLIT(J137, CHAR(10))))) &amp; "": "" &amp; TRANSPOSE(SPLIT(J137, CHAR(10)))))))"),"Step 1: Điều hướng tới trang ""Giỏ hàng của tôi""
Step 2: Kiểm tra danh sách sản phẩm không bị trùng")</f>
        <v>Step 1: Điều hướng tới trang "Giỏ hàng của tôi"
Step 2: Kiểm tra danh sách sản phẩm không bị trùng</v>
      </c>
      <c r="L137" s="34"/>
      <c r="M137" s="31" t="s">
        <v>2771</v>
      </c>
      <c r="N137" s="38"/>
      <c r="O137" s="12"/>
      <c r="P137" s="38"/>
    </row>
    <row r="138">
      <c r="A138" s="37"/>
      <c r="B138" s="37"/>
      <c r="C138" s="37"/>
      <c r="D138" s="37"/>
      <c r="E138" s="37"/>
      <c r="F138" s="12" t="s">
        <v>2772</v>
      </c>
      <c r="G138" s="16"/>
      <c r="H138" s="12" t="s">
        <v>2773</v>
      </c>
      <c r="I138" s="12" t="s">
        <v>2536</v>
      </c>
      <c r="J138" s="12" t="s">
        <v>2774</v>
      </c>
      <c r="K138" s="13" t="str">
        <f>IFERROR(__xludf.DUMMYFUNCTION("IF(ISBLANK(J138), ""Input test step"", ARRAYFORMULA(TEXTJOIN(CHAR(10), TRUE, (""Step ""&amp; ROW(INDIRECT(""1:"" &amp; COUNTA(SPLIT(J138, CHAR(10))))) &amp; "": "" &amp; TRANSPOSE(SPLIT(J138, CHAR(10)))))))"),"Step 1: Điều hướng tới trang ""Giỏ hàng của tôi""
Step 2: Check vào ô checkbox của sản phẩm tương ứng bất kì
Step 3: Nhấn vào button ""Thanh toán""
Step 4: Nhấn vào button ""Đặt hàng""
Step 5: Nhấn vào Button chứa icon giỏ hàng
Step 6: Kiểm tra đơn hàng v"&amp;"ừa thanh toán có xuất hiện trong danh sách giỏ hàng hay không")</f>
        <v>Step 1: Điều hướng tới trang "Giỏ hàng của tôi"
Step 2: Check vào ô checkbox của sản phẩm tương ứng bất kì
Step 3: Nhấn vào button "Thanh toán"
Step 4: Nhấn vào button "Đặt hàng"
Step 5: Nhấn vào Button chứa icon giỏ hàng
Step 6: Kiểm tra đơn hàng vừa thanh toán có xuất hiện trong danh sách giỏ hàng hay không</v>
      </c>
      <c r="L138" s="34"/>
      <c r="M138" s="31" t="s">
        <v>2775</v>
      </c>
      <c r="N138" s="38"/>
      <c r="O138" s="12"/>
      <c r="P138" s="38"/>
    </row>
    <row r="139">
      <c r="A139" s="37"/>
      <c r="B139" s="37"/>
      <c r="C139" s="37"/>
      <c r="D139" s="37"/>
      <c r="E139" s="37"/>
      <c r="F139" s="12" t="s">
        <v>2776</v>
      </c>
      <c r="G139" s="55" t="s">
        <v>274</v>
      </c>
      <c r="H139" s="62" t="s">
        <v>2777</v>
      </c>
      <c r="I139" s="12" t="s">
        <v>2536</v>
      </c>
      <c r="J139" s="12" t="s">
        <v>2778</v>
      </c>
      <c r="K139" s="13" t="str">
        <f>IFERROR(__xludf.DUMMYFUNCTION("IF(ISBLANK(J139), ""Input test step"", ARRAYFORMULA(TEXTJOIN(CHAR(10), TRUE, (""Step ""&amp; ROW(INDIRECT(""1:"" &amp; COUNTA(SPLIT(J139, CHAR(10))))) &amp; "": "" &amp; TRANSPOSE(SPLIT(J139, CHAR(10)))))))"),"Step 1: Điều hướn tới trang chủ
Step 2: Nhấn vào icon cart trên 1 mục sản phẩm đã tồn tại trong giỏ hàng
Step 3: Nhấn vào button chứa icon cart dưới menu để điều hướng tới trang ""Giỏ hàng""
Step 4: Kiểm tra số lượng sản phẩm được cập nhật khi người dùng "&amp;"thêm mới 1 sản phẩm đã tồn tại trong giỏ hàng")</f>
        <v>Step 1: Điều hướn tới trang chủ
Step 2: Nhấn vào icon cart trên 1 mục sản phẩm đã tồn tại trong giỏ hàng
Step 3: Nhấn vào button chứa icon cart dưới menu để điều hướng tới trang "Giỏ hàng"
Step 4: Kiểm tra số lượng sản phẩm được cập nhật khi người dùng thêm mới 1 sản phẩm đã tồn tại trong giỏ hàng</v>
      </c>
      <c r="L139" s="34"/>
      <c r="M139" s="12" t="s">
        <v>2779</v>
      </c>
      <c r="N139" s="38"/>
      <c r="O139" s="12"/>
      <c r="P139" s="38"/>
    </row>
    <row r="140">
      <c r="A140" s="37"/>
      <c r="B140" s="37"/>
      <c r="C140" s="37"/>
      <c r="D140" s="37"/>
      <c r="E140" s="37"/>
      <c r="F140" s="12" t="s">
        <v>2780</v>
      </c>
      <c r="G140" s="56"/>
      <c r="H140" s="39" t="s">
        <v>2781</v>
      </c>
      <c r="I140" s="12" t="s">
        <v>2536</v>
      </c>
      <c r="J140" s="12" t="s">
        <v>2782</v>
      </c>
      <c r="K140" s="13" t="str">
        <f>IFERROR(__xludf.DUMMYFUNCTION("IF(ISBLANK(J140), ""Input test step"", ARRAYFORMULA(TEXTJOIN(CHAR(10), TRUE, (""Step ""&amp; ROW(INDIRECT(""1:"" &amp; COUNTA(SPLIT(J140, CHAR(10))))) &amp; "": "" &amp; TRANSPOSE(SPLIT(J140, CHAR(10)))))))"),"Step 1: Điều hướn tới trang chủ
Step 2: Nhấn vào icon cart trên 1 mục sản phẩm chưa tồn tại trong giỏ hàng
Step 3: Nhấn vào button chứa icon cart dưới menu để điều hướng tới trang ""Giỏ hàng""
Step 4: Kiểm tra số lượng sản phẩm được cập nhật khi người dùn"&amp;"g thêm mới 1 sản phẩm chưa tồn tại trong giỏ hàng")</f>
        <v>Step 1: Điều hướn tới trang chủ
Step 2: Nhấn vào icon cart trên 1 mục sản phẩm chưa tồn tại trong giỏ hàng
Step 3: Nhấn vào button chứa icon cart dưới menu để điều hướng tới trang "Giỏ hàng"
Step 4: Kiểm tra số lượng sản phẩm được cập nhật khi người dùng thêm mới 1 sản phẩm chưa tồn tại trong giỏ hàng</v>
      </c>
      <c r="L140" s="34"/>
      <c r="M140" s="12" t="s">
        <v>2783</v>
      </c>
      <c r="N140" s="38"/>
      <c r="O140" s="12"/>
      <c r="P140" s="38"/>
    </row>
    <row r="141">
      <c r="A141" s="37"/>
      <c r="B141" s="37"/>
      <c r="C141" s="37"/>
      <c r="D141" s="37"/>
      <c r="E141" s="37"/>
      <c r="F141" s="12" t="s">
        <v>2784</v>
      </c>
      <c r="G141" s="56"/>
      <c r="H141" s="12" t="s">
        <v>2785</v>
      </c>
      <c r="I141" s="12" t="s">
        <v>2536</v>
      </c>
      <c r="J141" s="12" t="s">
        <v>2786</v>
      </c>
      <c r="K141" s="13" t="str">
        <f>IFERROR(__xludf.DUMMYFUNCTION("IF(ISBLANK(J141), ""Input test step"", ARRAYFORMULA(TEXTJOIN(CHAR(10), TRUE, (""Step ""&amp; ROW(INDIRECT(""1:"" &amp; COUNTA(SPLIT(J141, CHAR(10))))) &amp; "": "" &amp; TRANSPOSE(SPLIT(J141, CHAR(10)))))))"),"Step 1: Điều hướn tới ""Giỏ hàng của tôi""
Step 2: Nhấn vào button (-) trên 1 mục sản phẩm
Step 3: Kiểm tra số lượng sản phẩm giảm khi nhấn vào button (-)")</f>
        <v>Step 1: Điều hướn tới "Giỏ hàng của tôi"
Step 2: Nhấn vào button (-) trên 1 mục sản phẩm
Step 3: Kiểm tra số lượng sản phẩm giảm khi nhấn vào button (-)</v>
      </c>
      <c r="L141" s="34"/>
      <c r="M141" s="12" t="s">
        <v>2285</v>
      </c>
      <c r="N141" s="38"/>
      <c r="O141" s="12"/>
      <c r="P141" s="38"/>
    </row>
    <row r="142">
      <c r="A142" s="37"/>
      <c r="B142" s="37"/>
      <c r="C142" s="37"/>
      <c r="D142" s="37"/>
      <c r="E142" s="37"/>
      <c r="F142" s="12" t="s">
        <v>2787</v>
      </c>
      <c r="G142" s="56"/>
      <c r="H142" s="12" t="s">
        <v>2287</v>
      </c>
      <c r="I142" s="12" t="s">
        <v>2536</v>
      </c>
      <c r="J142" s="12" t="s">
        <v>2788</v>
      </c>
      <c r="K142" s="13" t="str">
        <f>IFERROR(__xludf.DUMMYFUNCTION("IF(ISBLANK(J142), ""Input test step"", ARRAYFORMULA(TEXTJOIN(CHAR(10), TRUE, (""Step ""&amp; ROW(INDIRECT(""1:"" &amp; COUNTA(SPLIT(J142, CHAR(10))))) &amp; "": "" &amp; TRANSPOSE(SPLIT(J142, CHAR(10)))))))"),"Step 1: Điều hướn tới ""Giỏ hàng của tôi""
Step 2: Nhấn vào button (+) trên 1 mục sản phẩm
Step 3: Kiểm tra số lượng sản phẩm tăng khi nhấn vào button (+)")</f>
        <v>Step 1: Điều hướn tới "Giỏ hàng của tôi"
Step 2: Nhấn vào button (+) trên 1 mục sản phẩm
Step 3: Kiểm tra số lượng sản phẩm tăng khi nhấn vào button (+)</v>
      </c>
      <c r="L142" s="14"/>
      <c r="M142" s="12" t="s">
        <v>2289</v>
      </c>
      <c r="N142" s="38"/>
      <c r="O142" s="12"/>
      <c r="P142" s="38"/>
    </row>
    <row r="143">
      <c r="A143" s="37"/>
      <c r="B143" s="37"/>
      <c r="C143" s="37"/>
      <c r="D143" s="37"/>
      <c r="E143" s="37"/>
      <c r="F143" s="12" t="s">
        <v>2789</v>
      </c>
      <c r="G143" s="56"/>
      <c r="H143" s="12" t="s">
        <v>2790</v>
      </c>
      <c r="I143" s="12" t="s">
        <v>2536</v>
      </c>
      <c r="J143" s="12" t="s">
        <v>2791</v>
      </c>
      <c r="K143" s="13" t="str">
        <f>IFERROR(__xludf.DUMMYFUNCTION("IF(ISBLANK(J143), ""Input test step"", ARRAYFORMULA(TEXTJOIN(CHAR(10), TRUE, (""Step ""&amp; ROW(INDIRECT(""1:"" &amp; COUNTA(SPLIT(J143, CHAR(10))))) &amp; "": "" &amp; TRANSPOSE(SPLIT(J143, CHAR(10)))))))"),"Step 1: Điều hướn tới ""Giỏ hàng của tôi""
Step 2: Nhập số lượng là các kí tự đặc biệt hoặc số âm
Step 3: Kiểm tra số lượng sản phẩm mặc định là 1 khi nhấn vào button (+)")</f>
        <v>Step 1: Điều hướn tới "Giỏ hàng của tôi"
Step 2: Nhập số lượng là các kí tự đặc biệt hoặc số âm
Step 3: Kiểm tra số lượng sản phẩm mặc định là 1 khi nhấn vào button (+)</v>
      </c>
      <c r="L143" s="14" t="s">
        <v>864</v>
      </c>
      <c r="M143" s="12" t="s">
        <v>2792</v>
      </c>
      <c r="N143" s="38"/>
      <c r="O143" s="12"/>
      <c r="P143" s="38"/>
    </row>
    <row r="144">
      <c r="A144" s="37"/>
      <c r="B144" s="37"/>
      <c r="C144" s="37"/>
      <c r="D144" s="37"/>
      <c r="E144" s="37"/>
      <c r="F144" s="12" t="s">
        <v>2793</v>
      </c>
      <c r="G144" s="56"/>
      <c r="H144" s="12" t="s">
        <v>2794</v>
      </c>
      <c r="I144" s="12" t="s">
        <v>2536</v>
      </c>
      <c r="J144" s="12" t="s">
        <v>2795</v>
      </c>
      <c r="K144" s="13" t="str">
        <f>IFERROR(__xludf.DUMMYFUNCTION("IF(ISBLANK(J144), ""Input test step"", ARRAYFORMULA(TEXTJOIN(CHAR(10), TRUE, (""Step ""&amp; ROW(INDIRECT(""1:"" &amp; COUNTA(SPLIT(J144, CHAR(10))))) &amp; "": "" &amp; TRANSPOSE(SPLIT(J144, CHAR(10)))))))"),"Step 1: Điều hướn tới ""Giỏ hàng của tôi""
Step 2: Nhập số lượng là 0
Step 3: Kiểm tra số lượng sản phẩm mặc định là 1 khi nhấn vào button (+)")</f>
        <v>Step 1: Điều hướn tới "Giỏ hàng của tôi"
Step 2: Nhập số lượng là 0
Step 3: Kiểm tra số lượng sản phẩm mặc định là 1 khi nhấn vào button (+)</v>
      </c>
      <c r="L144" s="14"/>
      <c r="M144" s="12" t="s">
        <v>2796</v>
      </c>
      <c r="N144" s="38"/>
      <c r="O144" s="12"/>
      <c r="P144" s="38"/>
    </row>
    <row r="145">
      <c r="A145" s="37"/>
      <c r="B145" s="37"/>
      <c r="C145" s="37"/>
      <c r="D145" s="37"/>
      <c r="E145" s="37"/>
      <c r="F145" s="12" t="s">
        <v>2797</v>
      </c>
      <c r="G145" s="56"/>
      <c r="H145" s="30" t="s">
        <v>2798</v>
      </c>
      <c r="I145" s="12" t="s">
        <v>2536</v>
      </c>
      <c r="J145" s="12" t="s">
        <v>2799</v>
      </c>
      <c r="K145" s="13" t="str">
        <f>IFERROR(__xludf.DUMMYFUNCTION("IF(ISBLANK(J145), ""Input test step"", ARRAYFORMULA(TEXTJOIN(CHAR(10), TRUE, (""Step ""&amp; ROW(INDIRECT(""1:"" &amp; COUNTA(SPLIT(J145, CHAR(10))))) &amp; "": "" &amp; TRANSPOSE(SPLIT(J145, CHAR(10)))))))"),"Step 1: Điều hướng tới ""Giỏ hàng của tôi""
Step 2: Nhập số lượng lớn hơn so với lượng tồn trong kho
Step 3: Kiểm tra hiển thị thông báo ""Vượt quá số lượng tồn""")</f>
        <v>Step 1: Điều hướng tới "Giỏ hàng của tôi"
Step 2: Nhập số lượng lớn hơn so với lượng tồn trong kho
Step 3: Kiểm tra hiển thị thông báo "Vượt quá số lượng tồn"</v>
      </c>
      <c r="L145" s="14" t="s">
        <v>873</v>
      </c>
      <c r="M145" s="12" t="s">
        <v>2800</v>
      </c>
      <c r="N145" s="38"/>
      <c r="O145" s="12"/>
      <c r="P145" s="38"/>
    </row>
    <row r="146">
      <c r="A146" s="37"/>
      <c r="B146" s="37"/>
      <c r="C146" s="37"/>
      <c r="D146" s="37"/>
      <c r="E146" s="37"/>
      <c r="F146" s="12" t="s">
        <v>2801</v>
      </c>
      <c r="G146" s="56"/>
      <c r="H146" s="12" t="s">
        <v>2802</v>
      </c>
      <c r="I146" s="12" t="s">
        <v>2536</v>
      </c>
      <c r="J146" s="12" t="s">
        <v>2803</v>
      </c>
      <c r="K146" s="13" t="str">
        <f>IFERROR(__xludf.DUMMYFUNCTION("IF(ISBLANK(J146), ""Input test step"", ARRAYFORMULA(TEXTJOIN(CHAR(10), TRUE, (""Step ""&amp; ROW(INDIRECT(""1:"" &amp; COUNTA(SPLIT(J146, CHAR(10))))) &amp; "": "" &amp; TRANSPOSE(SPLIT(J146, CHAR(10)))))))"),"Step 1: Điều hướn tới ""Giỏ hàng của tôi""
Step 2: Check vào ô checkbox của 1 sản phẩm bất kì trong danh sách giỏ hàng
Step 3: Kiểm tra check thành công vào ô checkbox của sản phẩm tương ứng")</f>
        <v>Step 1: Điều hướn tới "Giỏ hàng của tôi"
Step 2: Check vào ô checkbox của 1 sản phẩm bất kì trong danh sách giỏ hàng
Step 3: Kiểm tra check thành công vào ô checkbox của sản phẩm tương ứng</v>
      </c>
      <c r="L146" s="14"/>
      <c r="M146" s="12" t="s">
        <v>2804</v>
      </c>
      <c r="N146" s="38"/>
      <c r="O146" s="12"/>
      <c r="P146" s="38"/>
    </row>
    <row r="147">
      <c r="A147" s="37"/>
      <c r="B147" s="37"/>
      <c r="C147" s="37"/>
      <c r="D147" s="37"/>
      <c r="E147" s="37"/>
      <c r="F147" s="12" t="s">
        <v>2805</v>
      </c>
      <c r="G147" s="56"/>
      <c r="H147" s="12" t="s">
        <v>2806</v>
      </c>
      <c r="I147" s="12" t="s">
        <v>2536</v>
      </c>
      <c r="J147" s="12" t="s">
        <v>2807</v>
      </c>
      <c r="K147" s="13" t="str">
        <f>IFERROR(__xludf.DUMMYFUNCTION("IF(ISBLANK(J147), ""Input test step"", ARRAYFORMULA(TEXTJOIN(CHAR(10), TRUE, (""Step ""&amp; ROW(INDIRECT(""1:"" &amp; COUNTA(SPLIT(J147, CHAR(10))))) &amp; "": "" &amp; TRANSPOSE(SPLIT(J147, CHAR(10)))))))"),"Step 1: Điều hướn tới ""Giỏ hàng của tôi""
Step 2: Nhấn vào vùng chứa sản phẩm 
Step 3: Kiểm tra hệ thống hiển thị chi tiết sản phẩm khi nhấn vào 1 mục sản phẩm trong giỏ hàng")</f>
        <v>Step 1: Điều hướn tới "Giỏ hàng của tôi"
Step 2: Nhấn vào vùng chứa sản phẩm 
Step 3: Kiểm tra hệ thống hiển thị chi tiết sản phẩm khi nhấn vào 1 mục sản phẩm trong giỏ hàng</v>
      </c>
      <c r="L147" s="14"/>
      <c r="M147" s="12" t="s">
        <v>2808</v>
      </c>
      <c r="N147" s="38"/>
      <c r="O147" s="12"/>
      <c r="P147" s="38"/>
    </row>
    <row r="148">
      <c r="A148" s="37"/>
      <c r="B148" s="37"/>
      <c r="C148" s="37"/>
      <c r="D148" s="37"/>
      <c r="E148" s="37"/>
      <c r="F148" s="12" t="s">
        <v>2809</v>
      </c>
      <c r="G148" s="56"/>
      <c r="H148" s="12" t="s">
        <v>2810</v>
      </c>
      <c r="I148" s="12" t="s">
        <v>2536</v>
      </c>
      <c r="J148" s="12" t="s">
        <v>2811</v>
      </c>
      <c r="K148" s="13" t="str">
        <f>IFERROR(__xludf.DUMMYFUNCTION("IF(ISBLANK(J148), ""Input test step"", ARRAYFORMULA(TEXTJOIN(CHAR(10), TRUE, (""Step ""&amp; ROW(INDIRECT(""1:"" &amp; COUNTA(SPLIT(J148, CHAR(10))))) &amp; "": "" &amp; TRANSPOSE(SPLIT(J148, CHAR(10)))))))"),"Step 1: Điều hướn tới ""Giỏ hàng của tôi""
Step 2: Check vào nhiều sản phẩm
Step 3: Kiểm tra check thành công vào nhiều ô checkbox")</f>
        <v>Step 1: Điều hướn tới "Giỏ hàng của tôi"
Step 2: Check vào nhiều sản phẩm
Step 3: Kiểm tra check thành công vào nhiều ô checkbox</v>
      </c>
      <c r="L148" s="14"/>
      <c r="M148" s="12" t="s">
        <v>2812</v>
      </c>
      <c r="N148" s="38"/>
      <c r="O148" s="12"/>
      <c r="P148" s="38"/>
    </row>
    <row r="149">
      <c r="A149" s="37"/>
      <c r="B149" s="37"/>
      <c r="C149" s="37"/>
      <c r="D149" s="37"/>
      <c r="E149" s="37"/>
      <c r="F149" s="12" t="s">
        <v>2813</v>
      </c>
      <c r="G149" s="56"/>
      <c r="H149" s="12" t="s">
        <v>2814</v>
      </c>
      <c r="I149" s="12" t="s">
        <v>2536</v>
      </c>
      <c r="J149" s="12" t="s">
        <v>2815</v>
      </c>
      <c r="K149" s="13" t="str">
        <f>IFERROR(__xludf.DUMMYFUNCTION("IF(ISBLANK(J149), ""Input test step"", ARRAYFORMULA(TEXTJOIN(CHAR(10), TRUE, (""Step ""&amp; ROW(INDIRECT(""1:"" &amp; COUNTA(SPLIT(J149, CHAR(10))))) &amp; "": "" &amp; TRANSPOSE(SPLIT(J149, CHAR(10)))))))"),"Step 1: Điều hướn tới ""Giỏ hàng của tôi""
Step 2: Check vào ô checkbox của 1 sản phẩm
Step 3: Kiểm tra tổng tiền hiển thị chính xác khi check thành công vào 1 ô checkbox của sản phẩm")</f>
        <v>Step 1: Điều hướn tới "Giỏ hàng của tôi"
Step 2: Check vào ô checkbox của 1 sản phẩm
Step 3: Kiểm tra tổng tiền hiển thị chính xác khi check thành công vào 1 ô checkbox của sản phẩm</v>
      </c>
      <c r="L149" s="14"/>
      <c r="M149" s="12" t="s">
        <v>2816</v>
      </c>
      <c r="N149" s="38"/>
      <c r="O149" s="12"/>
      <c r="P149" s="38"/>
    </row>
    <row r="150">
      <c r="A150" s="37"/>
      <c r="B150" s="37"/>
      <c r="C150" s="37"/>
      <c r="D150" s="37"/>
      <c r="E150" s="37"/>
      <c r="F150" s="12" t="s">
        <v>2817</v>
      </c>
      <c r="G150" s="56"/>
      <c r="H150" s="12" t="s">
        <v>2818</v>
      </c>
      <c r="I150" s="12" t="s">
        <v>2536</v>
      </c>
      <c r="J150" s="12" t="s">
        <v>2819</v>
      </c>
      <c r="K150" s="13" t="str">
        <f>IFERROR(__xludf.DUMMYFUNCTION("IF(ISBLANK(J150), ""Input test step"", ARRAYFORMULA(TEXTJOIN(CHAR(10), TRUE, (""Step ""&amp; ROW(INDIRECT(""1:"" &amp; COUNTA(SPLIT(J150, CHAR(10))))) &amp; "": "" &amp; TRANSPOSE(SPLIT(J150, CHAR(10)))))))"),"Step 1: Điều hướn tới ""Giỏ hàng của tôi""
Step 2: Nhấn vào nút 3 chấm 
Step 3: Kiểm tra hiển thị thành công 2 mục select bao gồm ""Thêm vào yêu thích"" hoặc ""Xoá khỏi giỏ hàng"" khi nhấn vào nút 3 chấm góc trên bên phải của mỗi item sản phẩm")</f>
        <v>Step 1: Điều hướn tới "Giỏ hàng của tôi"
Step 2: Nhấn vào nút 3 chấm 
Step 3: Kiểm tra hiển thị thành công 2 mục select bao gồm "Thêm vào yêu thích" hoặc "Xoá khỏi giỏ hàng" khi nhấn vào nút 3 chấm góc trên bên phải của mỗi item sản phẩm</v>
      </c>
      <c r="L150" s="14"/>
      <c r="M150" s="12" t="s">
        <v>2820</v>
      </c>
      <c r="N150" s="38"/>
      <c r="O150" s="12"/>
      <c r="P150" s="38"/>
    </row>
    <row r="151">
      <c r="A151" s="37"/>
      <c r="B151" s="37"/>
      <c r="C151" s="37"/>
      <c r="D151" s="37"/>
      <c r="E151" s="37"/>
      <c r="F151" s="12" t="s">
        <v>2821</v>
      </c>
      <c r="G151" s="56"/>
      <c r="H151" s="31" t="s">
        <v>2822</v>
      </c>
      <c r="I151" s="12" t="s">
        <v>2536</v>
      </c>
      <c r="J151" s="12" t="s">
        <v>2823</v>
      </c>
      <c r="K151" s="13" t="str">
        <f>IFERROR(__xludf.DUMMYFUNCTION("IF(ISBLANK(J151), ""Input test step"", ARRAYFORMULA(TEXTJOIN(CHAR(10), TRUE, (""Step ""&amp; ROW(INDIRECT(""1:"" &amp; COUNTA(SPLIT(J151, CHAR(10))))) &amp; "": "" &amp; TRANSPOSE(SPLIT(J151, CHAR(10)))))))"),"Step 1: Điều hướn tới ""Giỏ hàng của tôi""
Step 2: Chọn (&gt;) bên phải vùng hiển thị giảm gía
Step 3: Check vào voucher giảm giá đủ điều kiện để áp dụng
Step 4: Nhấn button ""Sử dụng""
Step 5: Kiểm tra hiển thị chính xác số tiền giảm giá tương ứng với phần "&amp;"trăm giảm giá khi áp dụng voucher")</f>
        <v>Step 1: Điều hướn tới "Giỏ hàng của tôi"
Step 2: Chọn (&gt;) bên phải vùng hiển thị giảm gía
Step 3: Check vào voucher giảm giá đủ điều kiện để áp dụng
Step 4: Nhấn button "Sử dụng"
Step 5: Kiểm tra hiển thị chính xác số tiền giảm giá tương ứng với phần trăm giảm giá khi áp dụng voucher</v>
      </c>
      <c r="L151" s="14"/>
      <c r="M151" s="12" t="s">
        <v>2824</v>
      </c>
      <c r="N151" s="38"/>
      <c r="O151" s="12"/>
      <c r="P151" s="38"/>
    </row>
    <row r="152">
      <c r="A152" s="37"/>
      <c r="B152" s="37"/>
      <c r="C152" s="37"/>
      <c r="D152" s="37"/>
      <c r="E152" s="37"/>
      <c r="F152" s="12" t="s">
        <v>2825</v>
      </c>
      <c r="G152" s="56"/>
      <c r="H152" s="31" t="s">
        <v>2826</v>
      </c>
      <c r="I152" s="12" t="s">
        <v>2536</v>
      </c>
      <c r="J152" s="12" t="s">
        <v>2827</v>
      </c>
      <c r="K152" s="13" t="str">
        <f>IFERROR(__xludf.DUMMYFUNCTION("IF(ISBLANK(J152), ""Input test step"", ARRAYFORMULA(TEXTJOIN(CHAR(10), TRUE, (""Step ""&amp; ROW(INDIRECT(""1:"" &amp; COUNTA(SPLIT(J152, CHAR(10))))) &amp; "": "" &amp; TRANSPOSE(SPLIT(J152, CHAR(10)))))))"),"Step 1: Điều hướn tới ""Giỏ hàng của tôi""
Step 2: Chọn (&gt;) bên phải vùng hiển thị giảm gía
Step 3: Check vào voucher vận chuyển đủ điều kiện để áp dụng
Step 4: Nhấn button ""Sử dụng""
Step 5: Kiểm tra hiển thị chính xác số tiền giảm vận chuyển tương ưng "&amp;"với phần trăm giảm khi áp dụng voucher")</f>
        <v>Step 1: Điều hướn tới "Giỏ hàng của tôi"
Step 2: Chọn (&gt;) bên phải vùng hiển thị giảm gía
Step 3: Check vào voucher vận chuyển đủ điều kiện để áp dụng
Step 4: Nhấn button "Sử dụng"
Step 5: Kiểm tra hiển thị chính xác số tiền giảm vận chuyển tương ưng với phần trăm giảm khi áp dụng voucher</v>
      </c>
      <c r="L152" s="14"/>
      <c r="M152" s="12" t="s">
        <v>2828</v>
      </c>
      <c r="N152" s="38"/>
      <c r="O152" s="12"/>
      <c r="P152" s="38"/>
    </row>
    <row r="153">
      <c r="A153" s="37"/>
      <c r="B153" s="37"/>
      <c r="C153" s="37"/>
      <c r="D153" s="37"/>
      <c r="E153" s="37"/>
      <c r="F153" s="12" t="s">
        <v>2829</v>
      </c>
      <c r="G153" s="56"/>
      <c r="H153" s="12" t="s">
        <v>2830</v>
      </c>
      <c r="I153" s="12" t="s">
        <v>2536</v>
      </c>
      <c r="J153" s="12" t="s">
        <v>2831</v>
      </c>
      <c r="K153" s="13" t="str">
        <f>IFERROR(__xludf.DUMMYFUNCTION("IF(ISBLANK(J153), ""Input test step"", ARRAYFORMULA(TEXTJOIN(CHAR(10), TRUE, (""Step ""&amp; ROW(INDIRECT(""1:"" &amp; COUNTA(SPLIT(J153, CHAR(10))))) &amp; "": "" &amp; TRANSPOSE(SPLIT(J153, CHAR(10)))))))"),"Step 1: Điều hướng tới trang ""Giỏ hàng của tôi""
Step 2: Chọn (&gt;) bên phải vùng hiển thị giảm gía
Step 3: Kiểm tra hiển thị trang ""Chọn Voucher"" khi nhấn vào vùng hiển thị số tiền giảm giá")</f>
        <v>Step 1: Điều hướng tới trang "Giỏ hàng của tôi"
Step 2: Chọn (&gt;) bên phải vùng hiển thị giảm gía
Step 3: Kiểm tra hiển thị trang "Chọn Voucher" khi nhấn vào vùng hiển thị số tiền giảm giá</v>
      </c>
      <c r="L153" s="14"/>
      <c r="M153" s="12" t="s">
        <v>2832</v>
      </c>
      <c r="N153" s="38"/>
      <c r="O153" s="12"/>
      <c r="P153" s="38"/>
    </row>
    <row r="154">
      <c r="A154" s="37"/>
      <c r="B154" s="37"/>
      <c r="C154" s="37"/>
      <c r="D154" s="37"/>
      <c r="E154" s="37"/>
      <c r="F154" s="12" t="s">
        <v>2833</v>
      </c>
      <c r="G154" s="56"/>
      <c r="H154" s="12" t="s">
        <v>2834</v>
      </c>
      <c r="I154" s="12" t="s">
        <v>2536</v>
      </c>
      <c r="J154" s="12" t="s">
        <v>2835</v>
      </c>
      <c r="K154" s="13" t="str">
        <f>IFERROR(__xludf.DUMMYFUNCTION("IF(ISBLANK(J154), ""Input test step"", ARRAYFORMULA(TEXTJOIN(CHAR(10), TRUE, (""Step ""&amp; ROW(INDIRECT(""1:"" &amp; COUNTA(SPLIT(J154, CHAR(10))))) &amp; "": "" &amp; TRANSPOSE(SPLIT(J154, CHAR(10)))))))"),"Step 1: Điều hướng tới trang ""Giỏ hàng của tôi""
Step 2: Check vào 2 sản phẩm trở lên
Step 3: Kiểm tra hiển thị nút button ""Xoá"" khi người dùng check 2 sản phẩm trở lên")</f>
        <v>Step 1: Điều hướng tới trang "Giỏ hàng của tôi"
Step 2: Check vào 2 sản phẩm trở lên
Step 3: Kiểm tra hiển thị nút button "Xoá" khi người dùng check 2 sản phẩm trở lên</v>
      </c>
      <c r="L154" s="14"/>
      <c r="M154" s="12" t="s">
        <v>2836</v>
      </c>
      <c r="N154" s="38"/>
      <c r="O154" s="12"/>
      <c r="P154" s="38"/>
    </row>
    <row r="155">
      <c r="A155" s="37"/>
      <c r="B155" s="37"/>
      <c r="C155" s="37"/>
      <c r="D155" s="37"/>
      <c r="E155" s="37"/>
      <c r="F155" s="12" t="s">
        <v>2837</v>
      </c>
      <c r="G155" s="56"/>
      <c r="H155" s="12" t="s">
        <v>2838</v>
      </c>
      <c r="I155" s="12" t="s">
        <v>2536</v>
      </c>
      <c r="J155" s="12" t="s">
        <v>2839</v>
      </c>
      <c r="K155" s="13" t="str">
        <f>IFERROR(__xludf.DUMMYFUNCTION("IF(ISBLANK(J155), ""Input test step"", ARRAYFORMULA(TEXTJOIN(CHAR(10), TRUE, (""Step ""&amp; ROW(INDIRECT(""1:"" &amp; COUNTA(SPLIT(J155, CHAR(10))))) &amp; "": "" &amp; TRANSPOSE(SPLIT(J155, CHAR(10)))))))"),"Step 1: Điều hướng tới trang ""Giỏ hàng của tôi""
Step 2: Check vào 2 sản phẩm trở lên
Step 3: Nhấn vào button ""Xoá""
Step 4: Nhấn button ""Đồng ý"" trên hộp thoại ""Xoá sản phẩm""
Step 5: Kiểm tra hệ thống xoá thành công những sản phẩm được check khi nh"&amp;"ấn vào button ""Xoá"" ra khỏi giỏ hàng")</f>
        <v>Step 1: Điều hướng tới trang "Giỏ hàng của tôi"
Step 2: Check vào 2 sản phẩm trở lên
Step 3: Nhấn vào button "Xoá"
Step 4: Nhấn button "Đồng ý" trên hộp thoại "Xoá sản phẩm"
Step 5: Kiểm tra hệ thống xoá thành công những sản phẩm được check khi nhấn vào button "Xoá" ra khỏi giỏ hàng</v>
      </c>
      <c r="L155" s="14"/>
      <c r="M155" s="12" t="s">
        <v>2840</v>
      </c>
      <c r="N155" s="38"/>
      <c r="O155" s="12"/>
      <c r="P155" s="38"/>
    </row>
    <row r="156">
      <c r="A156" s="37"/>
      <c r="B156" s="37"/>
      <c r="C156" s="37"/>
      <c r="D156" s="37"/>
      <c r="E156" s="37"/>
      <c r="F156" s="12" t="s">
        <v>2841</v>
      </c>
      <c r="G156" s="56"/>
      <c r="H156" s="12" t="s">
        <v>2842</v>
      </c>
      <c r="I156" s="12" t="s">
        <v>2536</v>
      </c>
      <c r="J156" s="12" t="s">
        <v>2843</v>
      </c>
      <c r="K156" s="13" t="str">
        <f>IFERROR(__xludf.DUMMYFUNCTION("IF(ISBLANK(J156), ""Input test step"", ARRAYFORMULA(TEXTJOIN(CHAR(10), TRUE, (""Step ""&amp; ROW(INDIRECT(""1:"" &amp; COUNTA(SPLIT(J156, CHAR(10))))) &amp; "": "" &amp; TRANSPOSE(SPLIT(J156, CHAR(10)))))))"),"Step 1: Điều hướng tới trang ""Giỏ hàng của tôi""
Step 2: Check vào ô checkbox của tất cả các sản phẩm có trong giỏ hàng 
Step 3: Kiểm tra hệ thống thực hiện tự động check vào ô checkbox tất cả")</f>
        <v>Step 1: Điều hướng tới trang "Giỏ hàng của tôi"
Step 2: Check vào ô checkbox của tất cả các sản phẩm có trong giỏ hàng 
Step 3: Kiểm tra hệ thống thực hiện tự động check vào ô checkbox tất cả</v>
      </c>
      <c r="L156" s="14"/>
      <c r="M156" s="12" t="s">
        <v>2844</v>
      </c>
      <c r="N156" s="38"/>
      <c r="O156" s="12"/>
      <c r="P156" s="38"/>
    </row>
    <row r="157">
      <c r="A157" s="37"/>
      <c r="B157" s="37"/>
      <c r="C157" s="37"/>
      <c r="D157" s="37"/>
      <c r="E157" s="37"/>
      <c r="F157" s="12" t="s">
        <v>2845</v>
      </c>
      <c r="G157" s="56"/>
      <c r="H157" s="12" t="s">
        <v>2846</v>
      </c>
      <c r="I157" s="12" t="s">
        <v>2536</v>
      </c>
      <c r="J157" s="12" t="s">
        <v>2847</v>
      </c>
      <c r="K157" s="13" t="str">
        <f>IFERROR(__xludf.DUMMYFUNCTION("IF(ISBLANK(J157), ""Input test step"", ARRAYFORMULA(TEXTJOIN(CHAR(10), TRUE, (""Step ""&amp; ROW(INDIRECT(""1:"" &amp; COUNTA(SPLIT(J157, CHAR(10))))) &amp; "": "" &amp; TRANSPOSE(SPLIT(J157, CHAR(10)))))))"),"Step 1: Điều hướng tới trang ""Giỏ hàng của tôi""
Step 2: Bỏ Check vào ô checkbox của các sản phẩm cho đến khi số sản phẩm được check bé hơn 2 
Step 3: Kiểm tra hệ thống thực hiện tự động bỏ check vào ô checkbox tất cả")</f>
        <v>Step 1: Điều hướng tới trang "Giỏ hàng của tôi"
Step 2: Bỏ Check vào ô checkbox của các sản phẩm cho đến khi số sản phẩm được check bé hơn 2 
Step 3: Kiểm tra hệ thống thực hiện tự động bỏ check vào ô checkbox tất cả</v>
      </c>
      <c r="L157" s="14"/>
      <c r="M157" s="12" t="s">
        <v>2848</v>
      </c>
      <c r="N157" s="38"/>
      <c r="O157" s="12"/>
      <c r="P157" s="38"/>
    </row>
    <row r="158">
      <c r="A158" s="37"/>
      <c r="B158" s="37"/>
      <c r="C158" s="37"/>
      <c r="D158" s="37"/>
      <c r="E158" s="37"/>
      <c r="F158" s="12" t="s">
        <v>2849</v>
      </c>
      <c r="G158" s="57"/>
      <c r="H158" s="12" t="s">
        <v>2850</v>
      </c>
      <c r="I158" s="12" t="s">
        <v>2536</v>
      </c>
      <c r="J158" s="12" t="s">
        <v>2851</v>
      </c>
      <c r="K158" s="13" t="str">
        <f>IFERROR(__xludf.DUMMYFUNCTION("IF(ISBLANK(J158), ""Input test step"", ARRAYFORMULA(TEXTJOIN(CHAR(10), TRUE, (""Step ""&amp; ROW(INDIRECT(""1:"" &amp; COUNTA(SPLIT(J158, CHAR(10))))) &amp; "": "" &amp; TRANSPOSE(SPLIT(J158, CHAR(10)))))))"),"Step 1: Điều hướng tới trang ""Giỏ hàng của tôi""
Step 2: Chọn vào sản phẩm đã hết hàng hoặc ngừng bán
Step 3: Kiểm tra hệ thống hiển thị thông báo ""Sản phẩm này không thể chọn""")</f>
        <v>Step 1: Điều hướng tới trang "Giỏ hàng của tôi"
Step 2: Chọn vào sản phẩm đã hết hàng hoặc ngừng bán
Step 3: Kiểm tra hệ thống hiển thị thông báo "Sản phẩm này không thể chọn"</v>
      </c>
      <c r="L158" s="14"/>
      <c r="M158" s="12" t="s">
        <v>2852</v>
      </c>
      <c r="N158" s="38"/>
      <c r="O158" s="12"/>
      <c r="P158" s="38"/>
    </row>
    <row r="159">
      <c r="A159" s="37"/>
      <c r="B159" s="37"/>
      <c r="C159" s="37"/>
      <c r="D159" s="37"/>
      <c r="E159" s="37"/>
      <c r="F159" s="12" t="s">
        <v>2853</v>
      </c>
      <c r="G159" s="55" t="s">
        <v>920</v>
      </c>
      <c r="H159" s="12" t="s">
        <v>2854</v>
      </c>
      <c r="I159" s="12" t="s">
        <v>2536</v>
      </c>
      <c r="J159" s="12" t="s">
        <v>2855</v>
      </c>
      <c r="K159" s="13" t="str">
        <f>IFERROR(__xludf.DUMMYFUNCTION("IF(ISBLANK(J159), ""Input test step"", ARRAYFORMULA(TEXTJOIN(CHAR(10), TRUE, (""Step ""&amp; ROW(INDIRECT(""1:"" &amp; COUNTA(SPLIT(J159, CHAR(10))))) &amp; "": "" &amp; TRANSPOSE(SPLIT(J159, CHAR(10)))))))"),"Step 1: Điều hướng tới trang ""Giỏ hàng của tôi""
Step 2: Nhấn bút ba chấm trong 1 mục sản phẩm bất kì
Step 3: Nhấn vào lưa chọn ""Thêm vào yêu thích""
Step 4: Hiển thị thông báo ""Đã thêm vào yêu thích""")</f>
        <v>Step 1: Điều hướng tới trang "Giỏ hàng của tôi"
Step 2: Nhấn bút ba chấm trong 1 mục sản phẩm bất kì
Step 3: Nhấn vào lưa chọn "Thêm vào yêu thích"
Step 4: Hiển thị thông báo "Đã thêm vào yêu thích"</v>
      </c>
      <c r="L159" s="14"/>
      <c r="M159" s="12" t="s">
        <v>2856</v>
      </c>
      <c r="N159" s="38"/>
      <c r="O159" s="12"/>
      <c r="P159" s="38"/>
    </row>
    <row r="160">
      <c r="A160" s="37"/>
      <c r="B160" s="37"/>
      <c r="C160" s="37"/>
      <c r="D160" s="37"/>
      <c r="E160" s="37"/>
      <c r="F160" s="12" t="s">
        <v>2857</v>
      </c>
      <c r="G160" s="56"/>
      <c r="H160" s="42" t="s">
        <v>2858</v>
      </c>
      <c r="I160" s="12" t="s">
        <v>2536</v>
      </c>
      <c r="J160" s="12" t="s">
        <v>2859</v>
      </c>
      <c r="K160" s="13" t="str">
        <f>IFERROR(__xludf.DUMMYFUNCTION("IF(ISBLANK(J160), ""Input test step"", ARRAYFORMULA(TEXTJOIN(CHAR(10), TRUE, (""Step ""&amp; ROW(INDIRECT(""1:"" &amp; COUNTA(SPLIT(J160, CHAR(10))))) &amp; "": "" &amp; TRANSPOSE(SPLIT(J160, CHAR(10)))))))"),"Step 1: Điều hướng tới trang ""Giỏ hàng của tôi""
Step 2: Nhấn bút ba chấm trong 1 mục sản phẩm bất kì
Step 3: Nhấn vào lưa chọn ""Thêm vào yêu thích""
Step 4: Nhấn vào mục ""Cá nhân"" dưới thanh menu
Step 5: Nhấn vào mục ""Yêu thích""
Step 6: Kiểm tra sả"&amp;"n phẩm vừa được thêm tồn tại trong danh sách yêu thích")</f>
        <v>Step 1: Điều hướng tới trang "Giỏ hàng của tôi"
Step 2: Nhấn bút ba chấm trong 1 mục sản phẩm bất kì
Step 3: Nhấn vào lưa chọn "Thêm vào yêu thích"
Step 4: Nhấn vào mục "Cá nhân" dưới thanh menu
Step 5: Nhấn vào mục "Yêu thích"
Step 6: Kiểm tra sản phẩm vừa được thêm tồn tại trong danh sách yêu thích</v>
      </c>
      <c r="L160" s="14"/>
      <c r="M160" s="12" t="s">
        <v>2860</v>
      </c>
      <c r="N160" s="38"/>
      <c r="O160" s="12"/>
      <c r="P160" s="38"/>
    </row>
    <row r="161">
      <c r="A161" s="37"/>
      <c r="B161" s="37"/>
      <c r="C161" s="37"/>
      <c r="D161" s="37"/>
      <c r="E161" s="37"/>
      <c r="F161" s="12" t="s">
        <v>2861</v>
      </c>
      <c r="G161" s="57"/>
      <c r="H161" s="64" t="s">
        <v>2862</v>
      </c>
      <c r="I161" s="12" t="s">
        <v>2536</v>
      </c>
      <c r="J161" s="12" t="s">
        <v>2863</v>
      </c>
      <c r="K161" s="13" t="str">
        <f>IFERROR(__xludf.DUMMYFUNCTION("IF(ISBLANK(J161), ""Input test step"", ARRAYFORMULA(TEXTJOIN(CHAR(10), TRUE, (""Step ""&amp; ROW(INDIRECT(""1:"" &amp; COUNTA(SPLIT(J161, CHAR(10))))) &amp; "": "" &amp; TRANSPOSE(SPLIT(J161, CHAR(10)))))))"),"Step 1: Điều hướng tới trang ""Giỏ hàng của tôi""
Step 2: Nhấn bút ba chấm trong 1 mục sản phẩm bất kì
Step 3: Nhấn vào lưa chọn ""Bỏ yêu thích""
Step 4: Kiểm tra hệ thống hiển thị ""Bỏ yêu thích thành công""
Step 5: Nhấn vào mục ""Cá nhân"" dưới thanh me"&amp;"nu
Step 6: Nhấn vào mục ""Yêu thích""
Step 7: Kiểm tra sản phẩm vừa được xoá không tồn tại trong danh sách yêu thích")</f>
        <v>Step 1: Điều hướng tới trang "Giỏ hàng của tôi"
Step 2: Nhấn bút ba chấm trong 1 mục sản phẩm bất kì
Step 3: Nhấn vào lưa chọn "Bỏ yêu thích"
Step 4: Kiểm tra hệ thống hiển thị "Bỏ yêu thích thành công"
Step 5: Nhấn vào mục "Cá nhân" dưới thanh menu
Step 6: Nhấn vào mục "Yêu thích"
Step 7: Kiểm tra sản phẩm vừa được xoá không tồn tại trong danh sách yêu thích</v>
      </c>
      <c r="L161" s="14"/>
      <c r="M161" s="12" t="s">
        <v>2864</v>
      </c>
      <c r="N161" s="38"/>
      <c r="O161" s="12"/>
      <c r="P161" s="38"/>
    </row>
    <row r="162">
      <c r="A162" s="37"/>
      <c r="B162" s="37"/>
      <c r="C162" s="37"/>
      <c r="D162" s="37"/>
      <c r="E162" s="37"/>
      <c r="F162" s="12" t="s">
        <v>2865</v>
      </c>
      <c r="G162" s="12" t="s">
        <v>933</v>
      </c>
      <c r="H162" s="42" t="s">
        <v>2866</v>
      </c>
      <c r="I162" s="12" t="s">
        <v>2536</v>
      </c>
      <c r="J162" s="12" t="s">
        <v>2867</v>
      </c>
      <c r="K162" s="13" t="str">
        <f>IFERROR(__xludf.DUMMYFUNCTION("IF(ISBLANK(J162), ""Input test step"", ARRAYFORMULA(TEXTJOIN(CHAR(10), TRUE, (""Step ""&amp; ROW(INDIRECT(""1:"" &amp; COUNTA(SPLIT(J162, CHAR(10))))) &amp; "": "" &amp; TRANSPOSE(SPLIT(J162, CHAR(10)))))))"),"Step 1: Điều hướng tới trang ""Giỏ hàng của tôi""
Step 2: Nhấn bút ba chấm trong 1 mục sản phẩm bất kì
Step 3: Nhấn vào lưa chọn ""Xoá khỏi giỏ hàng""
Step 4: Kiểm tra hiển thị hộp thoại ""Xoá sản phẩm""")</f>
        <v>Step 1: Điều hướng tới trang "Giỏ hàng của tôi"
Step 2: Nhấn bút ba chấm trong 1 mục sản phẩm bất kì
Step 3: Nhấn vào lưa chọn "Xoá khỏi giỏ hàng"
Step 4: Kiểm tra hiển thị hộp thoại "Xoá sản phẩm"</v>
      </c>
      <c r="L162" s="14"/>
      <c r="M162" s="12" t="s">
        <v>2868</v>
      </c>
      <c r="N162" s="38"/>
      <c r="O162" s="12"/>
      <c r="P162" s="38"/>
    </row>
    <row r="163">
      <c r="A163" s="37"/>
      <c r="B163" s="37"/>
      <c r="C163" s="37"/>
      <c r="D163" s="37"/>
      <c r="E163" s="37"/>
      <c r="F163" s="12" t="s">
        <v>2869</v>
      </c>
      <c r="G163" s="101" t="s">
        <v>942</v>
      </c>
      <c r="H163" s="102" t="s">
        <v>2870</v>
      </c>
      <c r="I163" s="12" t="s">
        <v>2871</v>
      </c>
      <c r="J163" s="12" t="s">
        <v>2872</v>
      </c>
      <c r="K163" s="13" t="str">
        <f>IFERROR(__xludf.DUMMYFUNCTION("IF(ISBLANK(J163), ""Input test step"", ARRAYFORMULA(TEXTJOIN(CHAR(10), TRUE, (""Step ""&amp; ROW(INDIRECT(""1:"" &amp; COUNTA(SPLIT(J163, CHAR(10))))) &amp; "": "" &amp; TRANSPOSE(SPLIT(J163, CHAR(10)))))))"),"Step 1: Điều hướng tới trang ""Giỏ hàng của tôi""
Step 2: Nhấn vào button (-) cho đến khi số lượng sản phẩm bé hơn 1 của 1 mục sản phẩm bất kì trong giỏ hàng
Step 3: Kiểm tra hiển thị hộp thoại ""Xoá sản phẩm"" với thông báo ""Bạn có chắc chắn muốn xoá bỏ"&amp;" sản phẩm này""")</f>
        <v>Step 1: Điều hướng tới trang "Giỏ hàng của tôi"
Step 2: Nhấn vào button (-) cho đến khi số lượng sản phẩm bé hơn 1 của 1 mục sản phẩm bất kì trong giỏ hàng
Step 3: Kiểm tra hiển thị hộp thoại "Xoá sản phẩm" với thông báo "Bạn có chắc chắn muốn xoá bỏ sản phẩm này"</v>
      </c>
      <c r="L163" s="14"/>
      <c r="M163" s="12" t="s">
        <v>2873</v>
      </c>
      <c r="N163" s="38"/>
      <c r="O163" s="12"/>
      <c r="P163" s="38"/>
    </row>
    <row r="164">
      <c r="A164" s="37"/>
      <c r="B164" s="37"/>
      <c r="C164" s="37"/>
      <c r="D164" s="37"/>
      <c r="E164" s="37"/>
      <c r="F164" s="12" t="s">
        <v>2874</v>
      </c>
      <c r="G164" s="56"/>
      <c r="H164" s="12" t="s">
        <v>2875</v>
      </c>
      <c r="I164" s="12" t="s">
        <v>2536</v>
      </c>
      <c r="J164" s="12" t="s">
        <v>2876</v>
      </c>
      <c r="K164" s="13" t="str">
        <f>IFERROR(__xludf.DUMMYFUNCTION("IF(ISBLANK(J164), ""Input test step"", ARRAYFORMULA(TEXTJOIN(CHAR(10), TRUE, (""Step ""&amp; ROW(INDIRECT(""1:"" &amp; COUNTA(SPLIT(J164, CHAR(10))))) &amp; "": "" &amp; TRANSPOSE(SPLIT(J164, CHAR(10)))))))"),"Step 1: ""Điều hướng tới trang """"Giỏ hàng của tôi""""
Step 2: Nhấn bút ba chấm trong 1 mục sản phẩm bất kì
Step 3: Nhấn vào lưa chọn """"Xoá khỏi giỏ hàng""""
Step 4: Nhấn vào button ""Đồng ý"" trên hộp thoại xoá sản phẩm 
Step 5: Kiểm tra hệ thống xoá "&amp;"sản phẩm ra khỏi danh sách giỏ hàng")</f>
        <v>Step 1: "Điều hướng tới trang ""Giỏ hàng của tôi""
Step 2: Nhấn bút ba chấm trong 1 mục sản phẩm bất kì
Step 3: Nhấn vào lưa chọn ""Xoá khỏi giỏ hàng""
Step 4: Nhấn vào button "Đồng ý" trên hộp thoại xoá sản phẩm 
Step 5: Kiểm tra hệ thống xoá sản phẩm ra khỏi danh sách giỏ hàng</v>
      </c>
      <c r="L164" s="14"/>
      <c r="M164" s="12" t="s">
        <v>2877</v>
      </c>
      <c r="N164" s="38"/>
      <c r="O164" s="12"/>
      <c r="P164" s="38"/>
    </row>
    <row r="165">
      <c r="A165" s="37"/>
      <c r="B165" s="37"/>
      <c r="C165" s="37"/>
      <c r="D165" s="37"/>
      <c r="E165" s="37"/>
      <c r="F165" s="12" t="s">
        <v>2878</v>
      </c>
      <c r="G165" s="57"/>
      <c r="H165" s="30" t="s">
        <v>2879</v>
      </c>
      <c r="I165" s="30" t="s">
        <v>2536</v>
      </c>
      <c r="J165" s="30" t="s">
        <v>2880</v>
      </c>
      <c r="K165" s="65" t="str">
        <f>IFERROR(__xludf.DUMMYFUNCTION("IF(ISBLANK(J165), ""Input test step"", ARRAYFORMULA(TEXTJOIN(CHAR(10), TRUE, (""Step ""&amp; ROW(INDIRECT(""1:"" &amp; COUNTA(SPLIT(J165, CHAR(10))))) &amp; "": "" &amp; TRANSPOSE(SPLIT(J165, CHAR(10)))))))"),"Step 1: ""Điều hướng tới trang """"Giỏ hàng của tôi""""
Step 2: Nhấn bút ba chấm trong 1 mục sản phẩm bất kì
Step 3: Nhấn vào lưa chọn """"Xoá khỏi giỏ hàng""""
Step 4: Nhấn vào button ""Không"" trên hộp thoại xoá sản phẩm 
Step 5: Kiểm tra hệ thống quay "&amp;"về màn hình GIỎ hàng của tôi")</f>
        <v>Step 1: "Điều hướng tới trang ""Giỏ hàng của tôi""
Step 2: Nhấn bút ba chấm trong 1 mục sản phẩm bất kì
Step 3: Nhấn vào lưa chọn ""Xoá khỏi giỏ hàng""
Step 4: Nhấn vào button "Không" trên hộp thoại xoá sản phẩm 
Step 5: Kiểm tra hệ thống quay về màn hình GIỎ hàng của tôi</v>
      </c>
      <c r="L165" s="66"/>
      <c r="M165" s="30" t="s">
        <v>2881</v>
      </c>
      <c r="N165" s="38"/>
      <c r="O165" s="12"/>
      <c r="P165" s="38"/>
    </row>
    <row r="166">
      <c r="A166" s="37"/>
      <c r="B166" s="37"/>
      <c r="C166" s="37"/>
      <c r="D166" s="37"/>
      <c r="E166" s="37"/>
      <c r="F166" s="12" t="s">
        <v>2882</v>
      </c>
      <c r="G166" s="103" t="s">
        <v>947</v>
      </c>
      <c r="H166" s="39" t="s">
        <v>2883</v>
      </c>
      <c r="I166" s="12" t="s">
        <v>2536</v>
      </c>
      <c r="J166" s="12" t="s">
        <v>2884</v>
      </c>
      <c r="K166" s="13" t="str">
        <f>IFERROR(__xludf.DUMMYFUNCTION("IF(ISBLANK(J166), ""Input test step"", ARRAYFORMULA(TEXTJOIN(CHAR(10), TRUE, (""Step ""&amp; ROW(INDIRECT(""1:"" &amp; COUNTA(SPLIT(J166, CHAR(10))))) &amp; "": "" &amp; TRANSPOSE(SPLIT(J166, CHAR(10)))))))"),"Step 1: Điều hướng tới trang ""Giỏ hàng của tôi""
Step 2: Chọn (&gt;) bên phải vùng hiển thị giảm gía
Step 3: Chọn voucher trong danh sách voucher 
Step 4: Nhấn button ""Sử dụng"" 
Step 5: Nhấn button ""Thanh toán""
Step 6: Nhấn button ""Đặt hàng""
Step 7: N"&amp;"hấn button icon Cart dưới thanh Menu 
Step 8: Chọn (&gt;) bên phải vùng hiển thị giảm gía
Step 9: Kiểm tra voucher vừa áp dụng có còn tồn tại trong danh sách voucher nữa hay không")</f>
        <v>Step 1: Điều hướng tới trang "Giỏ hàng của tôi"
Step 2: Chọn (&gt;) bên phải vùng hiển thị giảm gía
Step 3: Chọn voucher trong danh sách voucher 
Step 4: Nhấn button "Sử dụng" 
Step 5: Nhấn button "Thanh toán"
Step 6: Nhấn button "Đặt hàng"
Step 7: Nhấn button icon Cart dưới thanh Menu 
Step 8: Chọn (&gt;) bên phải vùng hiển thị giảm gía
Step 9: Kiểm tra voucher vừa áp dụng có còn tồn tại trong danh sách voucher nữa hay không</v>
      </c>
      <c r="L166" s="14"/>
      <c r="M166" s="12" t="s">
        <v>950</v>
      </c>
      <c r="N166" s="38"/>
      <c r="O166" s="12"/>
      <c r="P166" s="38"/>
    </row>
    <row r="167">
      <c r="A167" s="37"/>
      <c r="B167" s="37"/>
      <c r="C167" s="37"/>
      <c r="D167" s="37"/>
      <c r="E167" s="37"/>
      <c r="F167" s="12" t="s">
        <v>2885</v>
      </c>
      <c r="G167" s="56"/>
      <c r="H167" s="31" t="s">
        <v>2886</v>
      </c>
      <c r="I167" s="12" t="s">
        <v>2536</v>
      </c>
      <c r="J167" s="12" t="s">
        <v>2887</v>
      </c>
      <c r="K167" s="13" t="str">
        <f>IFERROR(__xludf.DUMMYFUNCTION("IF(ISBLANK(J167), ""Input test step"", ARRAYFORMULA(TEXTJOIN(CHAR(10), TRUE, (""Step ""&amp; ROW(INDIRECT(""1:"" &amp; COUNTA(SPLIT(J167, CHAR(10))))) &amp; "": "" &amp; TRANSPOSE(SPLIT(J167, CHAR(10)))))))"),"Step 1: Điều hướng tới trang ""Giỏ hàng của tôi""
Step 2: Chọn (&gt;) bên phải vùng hiển thị giảm gía
Step 3: Nhập mã giảm giá trên thanh tìm kiếm
Step 4: Nhấn button ""Áp dụng""
Step 5: Hiển thị thành công mã giảm giá khi người dùng nhập chính xác thông tin"&amp;" mã giảm giá")</f>
        <v>Step 1: Điều hướng tới trang "Giỏ hàng của tôi"
Step 2: Chọn (&gt;) bên phải vùng hiển thị giảm gía
Step 3: Nhập mã giảm giá trên thanh tìm kiếm
Step 4: Nhấn button "Áp dụng"
Step 5: Hiển thị thành công mã giảm giá khi người dùng nhập chính xác thông tin mã giảm giá</v>
      </c>
      <c r="L167" s="14"/>
      <c r="M167" s="12" t="s">
        <v>2888</v>
      </c>
      <c r="N167" s="38"/>
      <c r="O167" s="12"/>
      <c r="P167" s="38"/>
    </row>
    <row r="168">
      <c r="A168" s="37"/>
      <c r="B168" s="37"/>
      <c r="C168" s="37"/>
      <c r="D168" s="37"/>
      <c r="E168" s="37"/>
      <c r="F168" s="12" t="s">
        <v>2889</v>
      </c>
      <c r="G168" s="56"/>
      <c r="H168" s="31" t="s">
        <v>2890</v>
      </c>
      <c r="I168" s="12" t="s">
        <v>2536</v>
      </c>
      <c r="J168" s="12" t="s">
        <v>2891</v>
      </c>
      <c r="K168" s="13" t="str">
        <f>IFERROR(__xludf.DUMMYFUNCTION("IF(ISBLANK(J168), ""Input test step"", ARRAYFORMULA(TEXTJOIN(CHAR(10), TRUE, (""Step ""&amp; ROW(INDIRECT(""1:"" &amp; COUNTA(SPLIT(J168, CHAR(10))))) &amp; "": "" &amp; TRANSPOSE(SPLIT(J168, CHAR(10)))))))"),"Step 1: Điều hướng tới trang ""Giỏ hàng của tôi""
Step 2: Chọn (&gt;) bên phải vùng hiển thị giảm gía
Step 3: Nhập mã giảm giá trên thanh tìm kiếm
Step 4: Nhấn button ""Áp dụng""
Step 5: Kiểm tra Hiển thị thông báo ""Không tìm thấy kết quả"" khi người dùng n"&amp;"hập mã giảm giá không tồn tại hoặc không chính xác")</f>
        <v>Step 1: Điều hướng tới trang "Giỏ hàng của tôi"
Step 2: Chọn (&gt;) bên phải vùng hiển thị giảm gía
Step 3: Nhập mã giảm giá trên thanh tìm kiếm
Step 4: Nhấn button "Áp dụng"
Step 5: Kiểm tra Hiển thị thông báo "Không tìm thấy kết quả" khi người dùng nhập mã giảm giá không tồn tại hoặc không chính xác</v>
      </c>
      <c r="L168" s="14" t="s">
        <v>958</v>
      </c>
      <c r="M168" s="12" t="s">
        <v>2892</v>
      </c>
      <c r="N168" s="38"/>
      <c r="O168" s="12"/>
      <c r="P168" s="38"/>
    </row>
    <row r="169">
      <c r="A169" s="37"/>
      <c r="B169" s="37"/>
      <c r="C169" s="37"/>
      <c r="D169" s="37"/>
      <c r="E169" s="37"/>
      <c r="F169" s="12" t="s">
        <v>2893</v>
      </c>
      <c r="G169" s="56"/>
      <c r="H169" s="12" t="s">
        <v>2894</v>
      </c>
      <c r="I169" s="12" t="s">
        <v>2536</v>
      </c>
      <c r="J169" s="12" t="s">
        <v>2895</v>
      </c>
      <c r="K169" s="13" t="str">
        <f>IFERROR(__xludf.DUMMYFUNCTION("IF(ISBLANK(J169), ""Input test step"", ARRAYFORMULA(TEXTJOIN(CHAR(10), TRUE, (""Step ""&amp; ROW(INDIRECT(""1:"" &amp; COUNTA(SPLIT(J169, CHAR(10))))) &amp; "": "" &amp; TRANSPOSE(SPLIT(J169, CHAR(10)))))))"),"Step 1: Điều hướng tới trang ""Giỏ hàng của tôi""
Step 2: Chọn (&gt;) bên phải vùng hiển thị giảm gía
Step 3: Check vào 1 radio mã voucher trong danh sách mã vận chuyển
Step 4: Kiểm tra mã voucher được check thành công")</f>
        <v>Step 1: Điều hướng tới trang "Giỏ hàng của tôi"
Step 2: Chọn (&gt;) bên phải vùng hiển thị giảm gía
Step 3: Check vào 1 radio mã voucher trong danh sách mã vận chuyển
Step 4: Kiểm tra mã voucher được check thành công</v>
      </c>
      <c r="L169" s="14"/>
      <c r="M169" s="12" t="s">
        <v>2896</v>
      </c>
      <c r="N169" s="38"/>
      <c r="O169" s="12"/>
      <c r="P169" s="38"/>
    </row>
    <row r="170">
      <c r="A170" s="37"/>
      <c r="B170" s="37"/>
      <c r="C170" s="37"/>
      <c r="D170" s="37"/>
      <c r="E170" s="37"/>
      <c r="F170" s="12" t="s">
        <v>2897</v>
      </c>
      <c r="G170" s="56"/>
      <c r="H170" s="12" t="s">
        <v>2898</v>
      </c>
      <c r="I170" s="12" t="s">
        <v>2536</v>
      </c>
      <c r="J170" s="12" t="s">
        <v>2899</v>
      </c>
      <c r="K170" s="13" t="str">
        <f>IFERROR(__xludf.DUMMYFUNCTION("IF(ISBLANK(J170), ""Input test step"", ARRAYFORMULA(TEXTJOIN(CHAR(10), TRUE, (""Step ""&amp; ROW(INDIRECT(""1:"" &amp; COUNTA(SPLIT(J170, CHAR(10))))) &amp; "": "" &amp; TRANSPOSE(SPLIT(J170, CHAR(10)))))))"),"Step 1: Điều hướng tới trang ""Giỏ hàng của tôi""
Step 2: Chọn (&gt;) bên phải vùng hiển thị giảm gía
Step 3: Check vào nhiều radio mã voucher trong danh sách mã vận chuyển
Step 4: Kiểm tra khả năng khi người dùng chọn nhiều voucher mã vận chuyển")</f>
        <v>Step 1: Điều hướng tới trang "Giỏ hàng của tôi"
Step 2: Chọn (&gt;) bên phải vùng hiển thị giảm gía
Step 3: Check vào nhiều radio mã voucher trong danh sách mã vận chuyển
Step 4: Kiểm tra khả năng khi người dùng chọn nhiều voucher mã vận chuyển</v>
      </c>
      <c r="L170" s="14" t="s">
        <v>2900</v>
      </c>
      <c r="M170" s="12" t="s">
        <v>2901</v>
      </c>
      <c r="N170" s="38"/>
      <c r="O170" s="12"/>
      <c r="P170" s="38"/>
    </row>
    <row r="171">
      <c r="A171" s="37"/>
      <c r="B171" s="37"/>
      <c r="C171" s="37"/>
      <c r="D171" s="37"/>
      <c r="E171" s="37"/>
      <c r="F171" s="12" t="s">
        <v>2902</v>
      </c>
      <c r="G171" s="56"/>
      <c r="H171" s="12" t="s">
        <v>2903</v>
      </c>
      <c r="I171" s="12" t="s">
        <v>2536</v>
      </c>
      <c r="J171" s="12" t="s">
        <v>2904</v>
      </c>
      <c r="K171" s="13" t="str">
        <f>IFERROR(__xludf.DUMMYFUNCTION("IF(ISBLANK(J171), ""Input test step"", ARRAYFORMULA(TEXTJOIN(CHAR(10), TRUE, (""Step ""&amp; ROW(INDIRECT(""1:"" &amp; COUNTA(SPLIT(J171, CHAR(10))))) &amp; "": "" &amp; TRANSPOSE(SPLIT(J171, CHAR(10)))))))"),"Step 1: Điều hướng tới trang ""Giỏ hàng của tôi""
Step 2: Chọn (&gt;) bên phải vùng hiển thị giảm gía
Step 3: Check vào 1 radio mã voucher khác
Step 4: Kiểm tra khi người dùng tick vào 1 radio voucher khác")</f>
        <v>Step 1: Điều hướng tới trang "Giỏ hàng của tôi"
Step 2: Chọn (&gt;) bên phải vùng hiển thị giảm gía
Step 3: Check vào 1 radio mã voucher khác
Step 4: Kiểm tra khi người dùng tick vào 1 radio voucher khác</v>
      </c>
      <c r="L171" s="14" t="s">
        <v>2905</v>
      </c>
      <c r="M171" s="12" t="s">
        <v>2906</v>
      </c>
      <c r="N171" s="38"/>
      <c r="O171" s="12"/>
      <c r="P171" s="38"/>
    </row>
    <row r="172">
      <c r="A172" s="37"/>
      <c r="B172" s="37"/>
      <c r="C172" s="37"/>
      <c r="D172" s="37"/>
      <c r="E172" s="37"/>
      <c r="F172" s="12" t="s">
        <v>2907</v>
      </c>
      <c r="G172" s="56"/>
      <c r="H172" s="12" t="s">
        <v>2908</v>
      </c>
      <c r="I172" s="12" t="s">
        <v>2536</v>
      </c>
      <c r="J172" s="12" t="s">
        <v>2909</v>
      </c>
      <c r="K172" s="13" t="str">
        <f>IFERROR(__xludf.DUMMYFUNCTION("IF(ISBLANK(J172), ""Input test step"", ARRAYFORMULA(TEXTJOIN(CHAR(10), TRUE, (""Step ""&amp; ROW(INDIRECT(""1:"" &amp; COUNTA(SPLIT(J172, CHAR(10))))) &amp; "": "" &amp; TRANSPOSE(SPLIT(J172, CHAR(10)))))))"),"Step 1: Điều hướng tới trang ""Giỏ hàng của tôi""
Step 2: Chọn (&gt;) bên phải vùng hiển thị giảm gía
Step 3: Chọn 1 voucher vận chuyển và 1 voucher giảm giá
Step 4: Kiểm tra áp dụng voucher thành công khi người dùng chọn 1 voucher vận chuyển hoặc giảm giá v"&amp;"à áp dụng nó")</f>
        <v>Step 1: Điều hướng tới trang "Giỏ hàng của tôi"
Step 2: Chọn (&gt;) bên phải vùng hiển thị giảm gía
Step 3: Chọn 1 voucher vận chuyển và 1 voucher giảm giá
Step 4: Kiểm tra áp dụng voucher thành công khi người dùng chọn 1 voucher vận chuyển hoặc giảm giá và áp dụng nó</v>
      </c>
      <c r="L172" s="14"/>
      <c r="M172" s="12" t="s">
        <v>2910</v>
      </c>
      <c r="N172" s="38"/>
      <c r="O172" s="12"/>
      <c r="P172" s="38"/>
    </row>
    <row r="173">
      <c r="A173" s="37"/>
      <c r="B173" s="37"/>
      <c r="C173" s="37"/>
      <c r="D173" s="37"/>
      <c r="E173" s="37"/>
      <c r="F173" s="12" t="s">
        <v>2911</v>
      </c>
      <c r="G173" s="56"/>
      <c r="H173" s="12" t="s">
        <v>2912</v>
      </c>
      <c r="I173" s="12" t="s">
        <v>2536</v>
      </c>
      <c r="J173" s="12" t="s">
        <v>2913</v>
      </c>
      <c r="K173" s="13" t="str">
        <f>IFERROR(__xludf.DUMMYFUNCTION("IF(ISBLANK(J173), ""Input test step"", ARRAYFORMULA(TEXTJOIN(CHAR(10), TRUE, (""Step ""&amp; ROW(INDIRECT(""1:"" &amp; COUNTA(SPLIT(J173, CHAR(10))))) &amp; "": "" &amp; TRANSPOSE(SPLIT(J173, CHAR(10)))))))"),"Step 1: Điều hướng tới trang ""Giỏ hàng của tôi""
Step 2: Chọn (&gt;) bên phải vùng hiển thị giảm gía
Step 3: Check vào 1 radio mã voucher trong danh sách mã giảm giá
Step 4: Kiểm tra mã voucher được check thành công")</f>
        <v>Step 1: Điều hướng tới trang "Giỏ hàng của tôi"
Step 2: Chọn (&gt;) bên phải vùng hiển thị giảm gía
Step 3: Check vào 1 radio mã voucher trong danh sách mã giảm giá
Step 4: Kiểm tra mã voucher được check thành công</v>
      </c>
      <c r="L173" s="14"/>
      <c r="M173" s="12" t="s">
        <v>2914</v>
      </c>
      <c r="N173" s="38"/>
      <c r="O173" s="12"/>
      <c r="P173" s="38"/>
    </row>
    <row r="174">
      <c r="A174" s="37"/>
      <c r="B174" s="37"/>
      <c r="C174" s="37"/>
      <c r="D174" s="37"/>
      <c r="E174" s="37"/>
      <c r="F174" s="12" t="s">
        <v>2915</v>
      </c>
      <c r="G174" s="56"/>
      <c r="H174" s="12" t="s">
        <v>2916</v>
      </c>
      <c r="I174" s="12" t="s">
        <v>2536</v>
      </c>
      <c r="J174" s="12" t="s">
        <v>2917</v>
      </c>
      <c r="K174" s="13" t="str">
        <f>IFERROR(__xludf.DUMMYFUNCTION("IF(ISBLANK(J174), ""Input test step"", ARRAYFORMULA(TEXTJOIN(CHAR(10), TRUE, (""Step ""&amp; ROW(INDIRECT(""1:"" &amp; COUNTA(SPLIT(J174, CHAR(10))))) &amp; "": "" &amp; TRANSPOSE(SPLIT(J174, CHAR(10)))))))"),"Step 1: Điều hướng tới trang ""Giỏ hàng của tôi""
Step 2: Chọn (&gt;) bên phải vùng hiển thị giảm gía
Step 3: Check vào nhiều radio mã voucher trong danh sách mã giảm giá
Step 4: Kiểm tra khả năng khi người dùng chọn nhiều voucher mã giảm giá")</f>
        <v>Step 1: Điều hướng tới trang "Giỏ hàng của tôi"
Step 2: Chọn (&gt;) bên phải vùng hiển thị giảm gía
Step 3: Check vào nhiều radio mã voucher trong danh sách mã giảm giá
Step 4: Kiểm tra khả năng khi người dùng chọn nhiều voucher mã giảm giá</v>
      </c>
      <c r="L174" s="14"/>
      <c r="M174" s="12" t="s">
        <v>2918</v>
      </c>
      <c r="N174" s="38"/>
      <c r="O174" s="12"/>
      <c r="P174" s="38"/>
    </row>
    <row r="175">
      <c r="A175" s="37"/>
      <c r="B175" s="37"/>
      <c r="C175" s="37"/>
      <c r="D175" s="37"/>
      <c r="E175" s="37"/>
      <c r="F175" s="12" t="s">
        <v>2919</v>
      </c>
      <c r="G175" s="56"/>
      <c r="H175" s="12" t="s">
        <v>2920</v>
      </c>
      <c r="I175" s="12" t="s">
        <v>2536</v>
      </c>
      <c r="J175" s="12" t="s">
        <v>2921</v>
      </c>
      <c r="K175" s="13" t="str">
        <f>IFERROR(__xludf.DUMMYFUNCTION("IF(ISBLANK(J175), ""Input test step"", ARRAYFORMULA(TEXTJOIN(CHAR(10), TRUE, (""Step ""&amp; ROW(INDIRECT(""1:"" &amp; COUNTA(SPLIT(J175, CHAR(10))))) &amp; "": "" &amp; TRANSPOSE(SPLIT(J175, CHAR(10)))))))"),"Step 1: Điều hướng tới trang ""Giỏ hàng của tôi""
Step 2: Chọn (&gt;) bên phải vùng hiển thị giảm gía
Step 3: Chọn 1 voucher vận chuyển và 1 voucher giảm giá
Step 4: Nhấn button ""Sử dụng""
Step 5: Kiểm tra số tiền giảm giá của mã vận chuyển và mã giảm giá t"&amp;"ương ứng với số phần trăm giảm trong voucher")</f>
        <v>Step 1: Điều hướng tới trang "Giỏ hàng của tôi"
Step 2: Chọn (&gt;) bên phải vùng hiển thị giảm gía
Step 3: Chọn 1 voucher vận chuyển và 1 voucher giảm giá
Step 4: Nhấn button "Sử dụng"
Step 5: Kiểm tra số tiền giảm giá của mã vận chuyển và mã giảm giá tương ứng với số phần trăm giảm trong voucher</v>
      </c>
      <c r="L175" s="14"/>
      <c r="M175" s="12" t="s">
        <v>2922</v>
      </c>
      <c r="N175" s="38"/>
      <c r="O175" s="12"/>
      <c r="P175" s="38"/>
    </row>
    <row r="176">
      <c r="A176" s="37"/>
      <c r="B176" s="37"/>
      <c r="C176" s="37"/>
      <c r="D176" s="37"/>
      <c r="E176" s="37"/>
      <c r="F176" s="12" t="s">
        <v>2923</v>
      </c>
      <c r="G176" s="56"/>
      <c r="H176" s="12" t="s">
        <v>2924</v>
      </c>
      <c r="I176" s="12" t="s">
        <v>2536</v>
      </c>
      <c r="J176" s="12" t="s">
        <v>2925</v>
      </c>
      <c r="K176" s="13" t="str">
        <f>IFERROR(__xludf.DUMMYFUNCTION("IF(ISBLANK(J176), ""Input test step"", ARRAYFORMULA(TEXTJOIN(CHAR(10), TRUE, (""Step ""&amp; ROW(INDIRECT(""1:"" &amp; COUNTA(SPLIT(J176, CHAR(10))))) &amp; "": "" &amp; TRANSPOSE(SPLIT(J176, CHAR(10)))))))"),"Step 1: Điều hướng tới trang ""Giỏ hàng của tôi""
Step 2: Chọn (&gt;) bên phải vùng hiển thị giảm gía
Step 3: Kiểm tra dữ liệu  thông tin các voucher trong danh sách hiển thị chính xác ")</f>
        <v>Step 1: Điều hướng tới trang "Giỏ hàng của tôi"
Step 2: Chọn (&gt;) bên phải vùng hiển thị giảm gía
Step 3: Kiểm tra dữ liệu  thông tin các voucher trong danh sách hiển thị chính xác </v>
      </c>
      <c r="L176" s="14"/>
      <c r="M176" s="12" t="s">
        <v>2926</v>
      </c>
      <c r="N176" s="38"/>
      <c r="O176" s="12"/>
      <c r="P176" s="38"/>
    </row>
    <row r="177">
      <c r="A177" s="37"/>
      <c r="B177" s="37"/>
      <c r="C177" s="37"/>
      <c r="D177" s="37"/>
      <c r="E177" s="37"/>
      <c r="F177" s="12" t="s">
        <v>2927</v>
      </c>
      <c r="G177" s="57"/>
      <c r="H177" s="12" t="s">
        <v>2928</v>
      </c>
      <c r="I177" s="12" t="s">
        <v>2536</v>
      </c>
      <c r="J177" s="12" t="s">
        <v>2929</v>
      </c>
      <c r="K177" s="13" t="str">
        <f>IFERROR(__xludf.DUMMYFUNCTION("IF(ISBLANK(J177), ""Input test step"", ARRAYFORMULA(TEXTJOIN(CHAR(10), TRUE, (""Step ""&amp; ROW(INDIRECT(""1:"" &amp; COUNTA(SPLIT(J177, CHAR(10))))) &amp; "": "" &amp; TRANSPOSE(SPLIT(J177, CHAR(10)))))))"),"Step 1: Điều hướng tới trang ""Giỏ hàng của tôi""
Step 2: Chọn (&gt;) bên phải vùng hiển thị giảm gía
Step 3: Nhấn button ""Thanh toán""
Step 4: Kiểm tra và xác nhận hệ thống chuyển sang trang ""Thanh toán""")</f>
        <v>Step 1: Điều hướng tới trang "Giỏ hàng của tôi"
Step 2: Chọn (&gt;) bên phải vùng hiển thị giảm gía
Step 3: Nhấn button "Thanh toán"
Step 4: Kiểm tra và xác nhận hệ thống chuyển sang trang "Thanh toán"</v>
      </c>
      <c r="L177" s="14"/>
      <c r="M177" s="12" t="s">
        <v>2930</v>
      </c>
      <c r="N177" s="38"/>
      <c r="O177" s="12"/>
      <c r="P177" s="38"/>
    </row>
    <row r="178">
      <c r="A178" s="37"/>
      <c r="B178" s="37"/>
      <c r="C178" s="37"/>
      <c r="D178" s="37"/>
      <c r="E178" s="37"/>
      <c r="F178" s="12" t="s">
        <v>2931</v>
      </c>
      <c r="G178" s="55" t="s">
        <v>992</v>
      </c>
      <c r="H178" s="12" t="s">
        <v>2932</v>
      </c>
      <c r="I178" s="12" t="s">
        <v>2536</v>
      </c>
      <c r="J178" s="12" t="s">
        <v>2933</v>
      </c>
      <c r="K178" s="13" t="str">
        <f>IFERROR(__xludf.DUMMYFUNCTION("IF(ISBLANK(J178), ""Input test step"", ARRAYFORMULA(TEXTJOIN(CHAR(10), TRUE, (""Step ""&amp; ROW(INDIRECT(""1:"" &amp; COUNTA(SPLIT(J178, CHAR(10))))) &amp; "": "" &amp; TRANSPOSE(SPLIT(J178, CHAR(10)))))))"),"Step 1: Điều hướng tới trang ""Giỏ hàng của tôi""
Step 2: Check vào ô checkbox tất cả
Step 3: Kiểm tra và xác nhận các ô checkbox tương ứng trong danh sách giỏ hàng đã được check
Step 4: Check lần thứ 2 vào ô checkbox tất cả
Step 5: Kiểm tra và xác nhận c"&amp;"ác ô checkbox tương ứng trong danh sách giỏ hàng đã bỏ check")</f>
        <v>Step 1: Điều hướng tới trang "Giỏ hàng của tôi"
Step 2: Check vào ô checkbox tất cả
Step 3: Kiểm tra và xác nhận các ô checkbox tương ứng trong danh sách giỏ hàng đã được check
Step 4: Check lần thứ 2 vào ô checkbox tất cả
Step 5: Kiểm tra và xác nhận các ô checkbox tương ứng trong danh sách giỏ hàng đã bỏ check</v>
      </c>
      <c r="L178" s="14"/>
      <c r="M178" s="22" t="s">
        <v>2934</v>
      </c>
      <c r="N178" s="38"/>
      <c r="O178" s="12"/>
      <c r="P178" s="38"/>
    </row>
    <row r="179">
      <c r="A179" s="37"/>
      <c r="B179" s="37"/>
      <c r="C179" s="37"/>
      <c r="D179" s="37"/>
      <c r="E179" s="37"/>
      <c r="F179" s="12" t="s">
        <v>2935</v>
      </c>
      <c r="G179" s="56"/>
      <c r="H179" s="12" t="s">
        <v>2936</v>
      </c>
      <c r="I179" s="12" t="s">
        <v>2536</v>
      </c>
      <c r="J179" s="12" t="s">
        <v>2937</v>
      </c>
      <c r="K179" s="13" t="str">
        <f>IFERROR(__xludf.DUMMYFUNCTION("IF(ISBLANK(J179), ""Input test step"", ARRAYFORMULA(TEXTJOIN(CHAR(10), TRUE, (""Step ""&amp; ROW(INDIRECT(""1:"" &amp; COUNTA(SPLIT(J179, CHAR(10))))) &amp; "": "" &amp; TRANSPOSE(SPLIT(J179, CHAR(10)))))))"),"Step 1: Điều hướng tới trang ""Giỏ hàng của tôi""
Step 2: Check vào ô checkbox tất cả
Step 3: Kiểm tra hệ thống hiển thị tổng tiền tương ứng với tổng tiền của tất cả các sản phẩm nhân với số lượng của sản phẩm có trong giỏ hàng")</f>
        <v>Step 1: Điều hướng tới trang "Giỏ hàng của tôi"
Step 2: Check vào ô checkbox tất cả
Step 3: Kiểm tra hệ thống hiển thị tổng tiền tương ứng với tổng tiền của tất cả các sản phẩm nhân với số lượng của sản phẩm có trong giỏ hàng</v>
      </c>
      <c r="L179" s="14"/>
      <c r="M179" s="12" t="s">
        <v>2938</v>
      </c>
      <c r="N179" s="38"/>
      <c r="O179" s="12"/>
      <c r="P179" s="38"/>
    </row>
    <row r="180">
      <c r="A180" s="37"/>
      <c r="B180" s="37"/>
      <c r="C180" s="37"/>
      <c r="D180" s="37"/>
      <c r="E180" s="37"/>
      <c r="F180" s="12" t="s">
        <v>2939</v>
      </c>
      <c r="G180" s="56"/>
      <c r="H180" s="12" t="s">
        <v>2940</v>
      </c>
      <c r="I180" s="12" t="s">
        <v>2536</v>
      </c>
      <c r="J180" s="12" t="s">
        <v>2941</v>
      </c>
      <c r="K180" s="13" t="str">
        <f>IFERROR(__xludf.DUMMYFUNCTION("IF(ISBLANK(J180), ""Input test step"", ARRAYFORMULA(TEXTJOIN(CHAR(10), TRUE, (""Step ""&amp; ROW(INDIRECT(""1:"" &amp; COUNTA(SPLIT(J180, CHAR(10))))) &amp; "": "" &amp; TRANSPOSE(SPLIT(J180, CHAR(10)))))))"),"Step 1: Điều hướng tới trang ""Giỏ hàng của tôi""
Step 2: Chọn (&gt;) bên phải vùng hiển thị giảm gía
Step 3: Chọn 1 voucher trong danh sách vận chuyển và 1 voucher trong danh sách giảm giá
Step 4: Kiểm tra hiển thị chính xác tiền giảm giá bằng với số tiền g"&amp;"iảm giá và số tiền vận chuyển của tất cả các sản phẩm được check")</f>
        <v>Step 1: Điều hướng tới trang "Giỏ hàng của tôi"
Step 2: Chọn (&gt;) bên phải vùng hiển thị giảm gía
Step 3: Chọn 1 voucher trong danh sách vận chuyển và 1 voucher trong danh sách giảm giá
Step 4: Kiểm tra hiển thị chính xác tiền giảm giá bằng với số tiền giảm giá và số tiền vận chuyển của tất cả các sản phẩm được check</v>
      </c>
      <c r="L180" s="14"/>
      <c r="M180" s="12" t="s">
        <v>2942</v>
      </c>
      <c r="N180" s="38"/>
      <c r="O180" s="12"/>
      <c r="P180" s="38"/>
    </row>
    <row r="181">
      <c r="A181" s="37"/>
      <c r="B181" s="37"/>
      <c r="C181" s="37"/>
      <c r="D181" s="37"/>
      <c r="E181" s="37"/>
      <c r="F181" s="12" t="s">
        <v>2943</v>
      </c>
      <c r="G181" s="56"/>
      <c r="H181" s="12" t="s">
        <v>2944</v>
      </c>
      <c r="I181" s="12" t="s">
        <v>2536</v>
      </c>
      <c r="J181" s="12" t="s">
        <v>2945</v>
      </c>
      <c r="K181" s="13" t="str">
        <f>IFERROR(__xludf.DUMMYFUNCTION("IF(ISBLANK(J181), ""Input test step"", ARRAYFORMULA(TEXTJOIN(CHAR(10), TRUE, (""Step ""&amp; ROW(INDIRECT(""1:"" &amp; COUNTA(SPLIT(J181, CHAR(10))))) &amp; "": "" &amp; TRANSPOSE(SPLIT(J181, CHAR(10)))))))"),"Step 1: Điều hướng tới trang ""Giỏ hàng của tôi""
Step 2: Check vào ô checkbox tất cả
Step 3: Kiểm tra hiển thị button ""Xoá""")</f>
        <v>Step 1: Điều hướng tới trang "Giỏ hàng của tôi"
Step 2: Check vào ô checkbox tất cả
Step 3: Kiểm tra hiển thị button "Xoá"</v>
      </c>
      <c r="L181" s="14"/>
      <c r="M181" s="12" t="s">
        <v>2946</v>
      </c>
      <c r="N181" s="38"/>
      <c r="O181" s="12"/>
      <c r="P181" s="38"/>
    </row>
    <row r="182">
      <c r="A182" s="37"/>
      <c r="B182" s="37"/>
      <c r="C182" s="37"/>
      <c r="D182" s="37"/>
      <c r="E182" s="37"/>
      <c r="F182" s="12" t="s">
        <v>2947</v>
      </c>
      <c r="G182" s="56"/>
      <c r="H182" s="12" t="s">
        <v>2948</v>
      </c>
      <c r="I182" s="12" t="s">
        <v>2536</v>
      </c>
      <c r="J182" s="12" t="s">
        <v>2949</v>
      </c>
      <c r="K182" s="13" t="str">
        <f>IFERROR(__xludf.DUMMYFUNCTION("IF(ISBLANK(J182), ""Input test step"", ARRAYFORMULA(TEXTJOIN(CHAR(10), TRUE, (""Step ""&amp; ROW(INDIRECT(""1:"" &amp; COUNTA(SPLIT(J182, CHAR(10))))) &amp; "": "" &amp; TRANSPOSE(SPLIT(J182, CHAR(10)))))))"),"Step 1: Điều hướng tới trang ""Giỏ hàng của tôi""
Step 2: Check vào ô checkbox tất cả
Step 3: Nhấn vào button ""Xoá""
Step 4: Kiểm tra hệ thống hiển thị hộp thoại ""Xoá tất cả""")</f>
        <v>Step 1: Điều hướng tới trang "Giỏ hàng của tôi"
Step 2: Check vào ô checkbox tất cả
Step 3: Nhấn vào button "Xoá"
Step 4: Kiểm tra hệ thống hiển thị hộp thoại "Xoá tất cả"</v>
      </c>
      <c r="L182" s="14"/>
      <c r="M182" s="12" t="s">
        <v>2950</v>
      </c>
      <c r="N182" s="38"/>
      <c r="O182" s="12"/>
      <c r="P182" s="38"/>
    </row>
    <row r="183">
      <c r="A183" s="37"/>
      <c r="B183" s="37"/>
      <c r="C183" s="37"/>
      <c r="D183" s="37"/>
      <c r="E183" s="37"/>
      <c r="F183" s="12" t="s">
        <v>2951</v>
      </c>
      <c r="G183" s="56"/>
      <c r="H183" s="12" t="s">
        <v>2952</v>
      </c>
      <c r="I183" s="12" t="s">
        <v>2536</v>
      </c>
      <c r="J183" s="12" t="s">
        <v>2953</v>
      </c>
      <c r="K183" s="13" t="str">
        <f>IFERROR(__xludf.DUMMYFUNCTION("IF(ISBLANK(J183), ""Input test step"", ARRAYFORMULA(TEXTJOIN(CHAR(10), TRUE, (""Step ""&amp; ROW(INDIRECT(""1:"" &amp; COUNTA(SPLIT(J183, CHAR(10))))) &amp; "": "" &amp; TRANSPOSE(SPLIT(J183, CHAR(10)))))))"),"Step 1: Điều hướng tới trang ""Giỏ hàng của tôi""
Step 2: Check vào ô checkbox tất cả
Step 3: Nhấn vào button ""Xoá""
Step 4: Nhấn vào button 'Đồng ý"" trên hộp thoại ""Xoá tất cả""
Step 5: Kiểm tra và xác nhận hệ thống xoá tất cả danh sach sản phẩm có tr"&amp;"ong giỏ hàng")</f>
        <v>Step 1: Điều hướng tới trang "Giỏ hàng của tôi"
Step 2: Check vào ô checkbox tất cả
Step 3: Nhấn vào button "Xoá"
Step 4: Nhấn vào button 'Đồng ý" trên hộp thoại "Xoá tất cả"
Step 5: Kiểm tra và xác nhận hệ thống xoá tất cả danh sach sản phẩm có trong giỏ hàng</v>
      </c>
      <c r="L183" s="14"/>
      <c r="M183" s="12" t="s">
        <v>2954</v>
      </c>
      <c r="N183" s="38"/>
      <c r="O183" s="12"/>
      <c r="P183" s="38"/>
    </row>
    <row r="184">
      <c r="A184" s="37"/>
      <c r="B184" s="37"/>
      <c r="C184" s="37"/>
      <c r="D184" s="37"/>
      <c r="E184" s="37"/>
      <c r="F184" s="12" t="s">
        <v>2955</v>
      </c>
      <c r="G184" s="56"/>
      <c r="H184" s="12" t="s">
        <v>2956</v>
      </c>
      <c r="I184" s="12" t="s">
        <v>2536</v>
      </c>
      <c r="J184" s="12" t="s">
        <v>1018</v>
      </c>
      <c r="K184" s="13" t="str">
        <f>IFERROR(__xludf.DUMMYFUNCTION("IF(ISBLANK(J184), ""Input test step"", ARRAYFORMULA(TEXTJOIN(CHAR(10), TRUE, (""Step ""&amp; ROW(INDIRECT(""1:"" &amp; COUNTA(SPLIT(J184, CHAR(10))))) &amp; "": "" &amp; TRANSPOSE(SPLIT(J184, CHAR(10)))))))"),"Step 1: Điều hướng tới trang ""Giỏ hàng của tôi""
Step 2: Check vào ô checkbox tất cả
Step 3: Nhấn vào button ""Xoá""
Step 4: Nhấn vào button 'Không"" trên hộp thoại ""Xoá tất cả""
Step 5: Kiểm tra và xác nhận hệ thống đóng hộp thoại xoá tất cả")</f>
        <v>Step 1: Điều hướng tới trang "Giỏ hàng của tôi"
Step 2: Check vào ô checkbox tất cả
Step 3: Nhấn vào button "Xoá"
Step 4: Nhấn vào button 'Không" trên hộp thoại "Xoá tất cả"
Step 5: Kiểm tra và xác nhận hệ thống đóng hộp thoại xoá tất cả</v>
      </c>
      <c r="L184" s="14"/>
      <c r="M184" s="12" t="s">
        <v>2957</v>
      </c>
      <c r="N184" s="38"/>
      <c r="O184" s="12"/>
      <c r="P184" s="38"/>
    </row>
    <row r="185">
      <c r="A185" s="37"/>
      <c r="B185" s="37"/>
      <c r="C185" s="37"/>
      <c r="D185" s="37"/>
      <c r="E185" s="37"/>
      <c r="F185" s="12" t="s">
        <v>2958</v>
      </c>
      <c r="G185" s="56"/>
      <c r="H185" s="12" t="s">
        <v>2959</v>
      </c>
      <c r="I185" s="12" t="s">
        <v>2536</v>
      </c>
      <c r="J185" s="12" t="s">
        <v>2960</v>
      </c>
      <c r="K185" s="13" t="str">
        <f>IFERROR(__xludf.DUMMYFUNCTION("IF(ISBLANK(J185), ""Input test step"", ARRAYFORMULA(TEXTJOIN(CHAR(10), TRUE, (""Step ""&amp; ROW(INDIRECT(""1:"" &amp; COUNTA(SPLIT(J185, CHAR(10))))) &amp; "": "" &amp; TRANSPOSE(SPLIT(J185, CHAR(10)))))))"),"Step 1: Điều hướng tới trang ""Giỏ hàng của tôi""
Step 2: Kiểm tra và xác nhận ô checkbox tất cả mặc định ban đầu là không được check")</f>
        <v>Step 1: Điều hướng tới trang "Giỏ hàng của tôi"
Step 2: Kiểm tra và xác nhận ô checkbox tất cả mặc định ban đầu là không được check</v>
      </c>
      <c r="L185" s="14"/>
      <c r="M185" s="12" t="s">
        <v>2961</v>
      </c>
      <c r="N185" s="38"/>
      <c r="O185" s="12"/>
      <c r="P185" s="38"/>
    </row>
    <row r="186">
      <c r="A186" s="37"/>
      <c r="B186" s="37"/>
      <c r="C186" s="37"/>
      <c r="D186" s="37"/>
      <c r="E186" s="37"/>
      <c r="F186" s="12" t="s">
        <v>2962</v>
      </c>
      <c r="G186" s="56"/>
      <c r="H186" s="12" t="s">
        <v>2834</v>
      </c>
      <c r="I186" s="12" t="s">
        <v>2536</v>
      </c>
      <c r="J186" s="12" t="s">
        <v>2963</v>
      </c>
      <c r="K186" s="13" t="str">
        <f>IFERROR(__xludf.DUMMYFUNCTION("IF(ISBLANK(J186), ""Input test step"", ARRAYFORMULA(TEXTJOIN(CHAR(10), TRUE, (""Step ""&amp; ROW(INDIRECT(""1:"" &amp; COUNTA(SPLIT(J186, CHAR(10))))) &amp; "": "" &amp; TRANSPOSE(SPLIT(J186, CHAR(10)))))))"),"Step 1: Điều hướng tới trang ""Giỏ hàng của tôi""
Step 2: Check vào checkbox của 2 sản phẩm trở lên 
Step 3: Kiểm tra hiển thị nút button ""Xoá""")</f>
        <v>Step 1: Điều hướng tới trang "Giỏ hàng của tôi"
Step 2: Check vào checkbox của 2 sản phẩm trở lên 
Step 3: Kiểm tra hiển thị nút button "Xoá"</v>
      </c>
      <c r="L186" s="14"/>
      <c r="M186" s="12" t="s">
        <v>2836</v>
      </c>
      <c r="N186" s="38"/>
      <c r="O186" s="12"/>
      <c r="P186" s="38"/>
    </row>
    <row r="187">
      <c r="A187" s="37"/>
      <c r="B187" s="37"/>
      <c r="C187" s="37"/>
      <c r="D187" s="37"/>
      <c r="E187" s="37"/>
      <c r="F187" s="12" t="s">
        <v>2964</v>
      </c>
      <c r="G187" s="57"/>
      <c r="H187" s="12" t="s">
        <v>2965</v>
      </c>
      <c r="I187" s="12" t="s">
        <v>2536</v>
      </c>
      <c r="J187" s="12" t="s">
        <v>2966</v>
      </c>
      <c r="K187" s="13" t="str">
        <f>IFERROR(__xludf.DUMMYFUNCTION("IF(ISBLANK(J187), ""Input test step"", ARRAYFORMULA(TEXTJOIN(CHAR(10), TRUE, (""Step ""&amp; ROW(INDIRECT(""1:"" &amp; COUNTA(SPLIT(J187, CHAR(10))))) &amp; "": "" &amp; TRANSPOSE(SPLIT(J187, CHAR(10)))))))"),"Step 1: Điều hướng tới trang ""Giỏ hàng của tôi""
Step 2: Check vào ô checkbox tất cả
Step 3: Bỏ check 1 sản phẩm bất kì trong giỏ hàng
Step 4: Kiểm tra và xác nhận hệ thống tự động huỷ bỏ check ở ô checkbox tất cả")</f>
        <v>Step 1: Điều hướng tới trang "Giỏ hàng của tôi"
Step 2: Check vào ô checkbox tất cả
Step 3: Bỏ check 1 sản phẩm bất kì trong giỏ hàng
Step 4: Kiểm tra và xác nhận hệ thống tự động huỷ bỏ check ở ô checkbox tất cả</v>
      </c>
      <c r="L187" s="14"/>
      <c r="M187" s="12" t="s">
        <v>2967</v>
      </c>
      <c r="N187" s="38"/>
      <c r="O187" s="12"/>
      <c r="P187" s="38"/>
    </row>
    <row r="188">
      <c r="A188" s="37"/>
      <c r="B188" s="37"/>
      <c r="C188" s="37"/>
      <c r="D188" s="37"/>
      <c r="E188" s="37"/>
      <c r="F188" s="12" t="s">
        <v>2968</v>
      </c>
      <c r="G188" s="55" t="s">
        <v>1031</v>
      </c>
      <c r="H188" s="12" t="s">
        <v>2969</v>
      </c>
      <c r="I188" s="12" t="s">
        <v>2536</v>
      </c>
      <c r="J188" s="12" t="s">
        <v>2970</v>
      </c>
      <c r="K188" s="13" t="str">
        <f>IFERROR(__xludf.DUMMYFUNCTION("IF(ISBLANK(J188), ""Input test step"", ARRAYFORMULA(TEXTJOIN(CHAR(10), TRUE, (""Step ""&amp; ROW(INDIRECT(""1:"" &amp; COUNTA(SPLIT(J188, CHAR(10))))) &amp; "": "" &amp; TRANSPOSE(SPLIT(J188, CHAR(10)))))))"),"Step 1: Điều hướng tới trang ""Giỏ hàng của tôi""
Step 2: Check vào số sản phẩm tuỳ chọn
Step 3: Kiểm tra hệ thống hiển thị đúng tổng tiền tương ứng với tổng tiền của các sản phẩm được check")</f>
        <v>Step 1: Điều hướng tới trang "Giỏ hàng của tôi"
Step 2: Check vào số sản phẩm tuỳ chọn
Step 3: Kiểm tra hệ thống hiển thị đúng tổng tiền tương ứng với tổng tiền của các sản phẩm được check</v>
      </c>
      <c r="L188" s="14"/>
      <c r="M188" s="12" t="s">
        <v>2971</v>
      </c>
      <c r="N188" s="38"/>
      <c r="O188" s="12"/>
      <c r="P188" s="38"/>
    </row>
    <row r="189">
      <c r="A189" s="37"/>
      <c r="B189" s="37"/>
      <c r="C189" s="37"/>
      <c r="D189" s="37"/>
      <c r="E189" s="37"/>
      <c r="F189" s="12" t="s">
        <v>2972</v>
      </c>
      <c r="G189" s="56"/>
      <c r="H189" s="12" t="s">
        <v>2973</v>
      </c>
      <c r="I189" s="12" t="s">
        <v>2536</v>
      </c>
      <c r="J189" s="12" t="s">
        <v>2974</v>
      </c>
      <c r="K189" s="13" t="str">
        <f>IFERROR(__xludf.DUMMYFUNCTION("IF(ISBLANK(J189), ""Input test step"", ARRAYFORMULA(TEXTJOIN(CHAR(10), TRUE, (""Step ""&amp; ROW(INDIRECT(""1:"" &amp; COUNTA(SPLIT(J189, CHAR(10))))) &amp; "": "" &amp; TRANSPOSE(SPLIT(J189, CHAR(10)))))))"),"Step 1: Điều hướng tới trang ""Giỏ hàng của tôi""
Step 2: Check vào số sản phẩm tuỳ chọn (ví dụ 5)
Step 3: Bỏ check một vài sản phẩm (ví dụ 2)
Step 4: Kiểm tra tổng tiền hiển thị chính xác khi bỏ check vào một vài sản phẩm")</f>
        <v>Step 1: Điều hướng tới trang "Giỏ hàng của tôi"
Step 2: Check vào số sản phẩm tuỳ chọn (ví dụ 5)
Step 3: Bỏ check một vài sản phẩm (ví dụ 2)
Step 4: Kiểm tra tổng tiền hiển thị chính xác khi bỏ check vào một vài sản phẩm</v>
      </c>
      <c r="L189" s="14"/>
      <c r="M189" s="12" t="s">
        <v>2975</v>
      </c>
      <c r="N189" s="38"/>
      <c r="O189" s="12"/>
      <c r="P189" s="38"/>
    </row>
    <row r="190">
      <c r="A190" s="37"/>
      <c r="B190" s="37"/>
      <c r="C190" s="37"/>
      <c r="D190" s="37"/>
      <c r="E190" s="37"/>
      <c r="F190" s="12" t="s">
        <v>2976</v>
      </c>
      <c r="G190" s="57"/>
      <c r="H190" s="12" t="s">
        <v>2977</v>
      </c>
      <c r="I190" s="12" t="s">
        <v>2536</v>
      </c>
      <c r="J190" s="12" t="s">
        <v>2978</v>
      </c>
      <c r="K190" s="13" t="str">
        <f>IFERROR(__xludf.DUMMYFUNCTION("IF(ISBLANK(J190), ""Input test step"", ARRAYFORMULA(TEXTJOIN(CHAR(10), TRUE, (""Step ""&amp; ROW(INDIRECT(""1:"" &amp; COUNTA(SPLIT(J190, CHAR(10))))) &amp; "": "" &amp; TRANSPOSE(SPLIT(J190, CHAR(10)))))))"),"Step 1: Điều hướng tới trang ""Giỏ hàng của tôi""
Step 2: Bỏ check các sản phẩm đang được check
Step 3: Kiểm tra hệ thống hiển thị tổng tiền và tổng giảm giá là 0 khi không check vào sản phẩm nào")</f>
        <v>Step 1: Điều hướng tới trang "Giỏ hàng của tôi"
Step 2: Bỏ check các sản phẩm đang được check
Step 3: Kiểm tra hệ thống hiển thị tổng tiền và tổng giảm giá là 0 khi không check vào sản phẩm nào</v>
      </c>
      <c r="L190" s="14"/>
      <c r="M190" s="12" t="s">
        <v>2979</v>
      </c>
      <c r="N190" s="38"/>
      <c r="O190" s="12"/>
      <c r="P190" s="38"/>
    </row>
    <row r="191">
      <c r="A191" s="37"/>
      <c r="B191" s="37"/>
      <c r="C191" s="37"/>
      <c r="D191" s="37"/>
      <c r="E191" s="37"/>
      <c r="F191" s="12" t="s">
        <v>2980</v>
      </c>
      <c r="G191" s="55" t="s">
        <v>1044</v>
      </c>
      <c r="H191" s="51" t="s">
        <v>2981</v>
      </c>
      <c r="I191" s="12" t="s">
        <v>2536</v>
      </c>
      <c r="J191" s="12" t="s">
        <v>2982</v>
      </c>
      <c r="K191" s="13" t="str">
        <f>IFERROR(__xludf.DUMMYFUNCTION("IF(ISBLANK(J191), ""Input test step"", ARRAYFORMULA(TEXTJOIN(CHAR(10), TRUE, (""Step ""&amp; ROW(INDIRECT(""1:"" &amp; COUNTA(SPLIT(J191, CHAR(10))))) &amp; "": "" &amp; TRANSPOSE(SPLIT(J191, CHAR(10)))))))"),"Step 1: ""Điều hướng tới trang """"Giỏ hàng của tôi""""
Step 2: Bỏ check các sản phẩm đang được check
Step 3: Nhấn button ""Thanh toán""
Step 4: Kiểm tra hệ thống hiển thị thông báo ""Bạn chưa chọn sản phẩm nào""")</f>
        <v>Step 1: "Điều hướng tới trang ""Giỏ hàng của tôi""
Step 2: Bỏ check các sản phẩm đang được check
Step 3: Nhấn button "Thanh toán"
Step 4: Kiểm tra hệ thống hiển thị thông báo "Bạn chưa chọn sản phẩm nào"</v>
      </c>
      <c r="L191" s="14"/>
      <c r="M191" s="12" t="s">
        <v>2983</v>
      </c>
      <c r="N191" s="38"/>
      <c r="O191" s="12"/>
      <c r="P191" s="38"/>
    </row>
    <row r="192">
      <c r="A192" s="37"/>
      <c r="B192" s="37"/>
      <c r="C192" s="37"/>
      <c r="D192" s="37"/>
      <c r="E192" s="37"/>
      <c r="F192" s="12" t="s">
        <v>2984</v>
      </c>
      <c r="G192" s="56"/>
      <c r="H192" s="12" t="s">
        <v>2985</v>
      </c>
      <c r="I192" s="12" t="s">
        <v>2536</v>
      </c>
      <c r="J192" s="12" t="s">
        <v>2986</v>
      </c>
      <c r="K192" s="13" t="str">
        <f>IFERROR(__xludf.DUMMYFUNCTION("IF(ISBLANK(J192), ""Input test step"", ARRAYFORMULA(TEXTJOIN(CHAR(10), TRUE, (""Step ""&amp; ROW(INDIRECT(""1:"" &amp; COUNTA(SPLIT(J192, CHAR(10))))) &amp; "": "" &amp; TRANSPOSE(SPLIT(J192, CHAR(10)))))))"),"Step 1: Điều hướng tới trang ""Giỏ hàng của tôi""
Step 2: Đếm số sản phẩm có trong giỏ hàng đang được check
Step 3: Kiểm tra số lượng sản phẩm trong button ""Thanh toán"" tương ứng với số sản phẩm đang được check trong giỏ hàng")</f>
        <v>Step 1: Điều hướng tới trang "Giỏ hàng của tôi"
Step 2: Đếm số sản phẩm có trong giỏ hàng đang được check
Step 3: Kiểm tra số lượng sản phẩm trong button "Thanh toán" tương ứng với số sản phẩm đang được check trong giỏ hàng</v>
      </c>
      <c r="L192" s="14"/>
      <c r="M192" s="12" t="s">
        <v>2987</v>
      </c>
      <c r="N192" s="38"/>
      <c r="O192" s="12"/>
      <c r="P192" s="38"/>
    </row>
    <row r="193">
      <c r="A193" s="37"/>
      <c r="B193" s="37"/>
      <c r="C193" s="37"/>
      <c r="D193" s="37"/>
      <c r="E193" s="37"/>
      <c r="F193" s="12" t="s">
        <v>2988</v>
      </c>
      <c r="G193" s="56"/>
      <c r="H193" s="12" t="s">
        <v>2989</v>
      </c>
      <c r="I193" s="12" t="s">
        <v>2536</v>
      </c>
      <c r="J193" s="12" t="s">
        <v>2990</v>
      </c>
      <c r="K193" s="13" t="str">
        <f>IFERROR(__xludf.DUMMYFUNCTION("IF(ISBLANK(J193), ""Input test step"", ARRAYFORMULA(TEXTJOIN(CHAR(10), TRUE, (""Step ""&amp; ROW(INDIRECT(""1:"" &amp; COUNTA(SPLIT(J193, CHAR(10))))) &amp; "": "" &amp; TRANSPOSE(SPLIT(J193, CHAR(10)))))))"),"Step 1: ""Điều hướng tới trang ""Giỏ hàng của tôi""
Step 2: Check 1 vài sản phẩm trong giỏ hàng 
Step 3: Nhấn button ""Thanh toán""
Step 4: Kiểm tra hiển thị trang ""Thanh toán"" ")</f>
        <v>Step 1: "Điều hướng tới trang "Giỏ hàng của tôi"
Step 2: Check 1 vài sản phẩm trong giỏ hàng 
Step 3: Nhấn button "Thanh toán"
Step 4: Kiểm tra hiển thị trang "Thanh toán" </v>
      </c>
      <c r="L193" s="14"/>
      <c r="M193" s="12" t="s">
        <v>2991</v>
      </c>
      <c r="N193" s="38"/>
      <c r="O193" s="12"/>
      <c r="P193" s="38"/>
    </row>
    <row r="194">
      <c r="A194" s="37"/>
      <c r="B194" s="37"/>
      <c r="C194" s="37"/>
      <c r="D194" s="37"/>
      <c r="E194" s="37"/>
      <c r="F194" s="12" t="s">
        <v>2992</v>
      </c>
      <c r="G194" s="57"/>
      <c r="H194" s="31" t="s">
        <v>2993</v>
      </c>
      <c r="I194" s="12" t="s">
        <v>2536</v>
      </c>
      <c r="J194" s="12" t="s">
        <v>2994</v>
      </c>
      <c r="K194" s="13" t="str">
        <f>IFERROR(__xludf.DUMMYFUNCTION("IF(ISBLANK(J194), ""Input test step"", ARRAYFORMULA(TEXTJOIN(CHAR(10), TRUE, (""Step ""&amp; ROW(INDIRECT(""1:"" &amp; COUNTA(SPLIT(J194, CHAR(10))))) &amp; "": "" &amp; TRANSPOSE(SPLIT(J194, CHAR(10)))))))"),"Step 1: ""Điều hướng tới trang ""Giỏ hàng của tôi""
Step 2: Check 1 vài sản phẩm trong giỏ hàng 
Step 3: Nhấn button ""Thanh toán""
Step 4: Kiểm tra hiển thị chính xác thông tin bao gồm thông tin sản phẩm và tổng tiền đơn hàng trong trang ""Thanh toán"" b"&amp;"ao gồm Hình ảnh sản phẩm, tên sản phẩm, giá sản phẩm và số lượng sản phẩm")</f>
        <v>Step 1: "Điều hướng tới trang "Giỏ hàng của tôi"
Step 2: Check 1 vài sản phẩm trong giỏ hàng 
Step 3: Nhấn button "Thanh toán"
Step 4: Kiểm tra hiển thị chính xác thông tin bao gồm thông tin sản phẩm và tổng tiền đơn hàng trong trang "Thanh toán" bao gồm Hình ảnh sản phẩm, tên sản phẩm, giá sản phẩm và số lượng sản phẩm</v>
      </c>
      <c r="L194" s="38"/>
      <c r="M194" s="31" t="s">
        <v>2995</v>
      </c>
      <c r="N194" s="38"/>
      <c r="O194" s="12"/>
      <c r="P194" s="38"/>
    </row>
    <row r="195">
      <c r="A195" s="37"/>
      <c r="B195" s="37"/>
      <c r="C195" s="37"/>
      <c r="D195" s="37"/>
      <c r="E195" s="37"/>
      <c r="F195" s="12" t="s">
        <v>2996</v>
      </c>
      <c r="G195" s="55" t="s">
        <v>15</v>
      </c>
      <c r="H195" s="99" t="s">
        <v>2997</v>
      </c>
      <c r="I195" s="12" t="s">
        <v>2998</v>
      </c>
      <c r="J195" s="12" t="s">
        <v>2999</v>
      </c>
      <c r="K195" s="13" t="str">
        <f>IFERROR(__xludf.DUMMYFUNCTION("IF(ISBLANK(J195), ""Input test step"", ARRAYFORMULA(TEXTJOIN(CHAR(10), TRUE, (""Step ""&amp; ROW(INDIRECT(""1:"" &amp; COUNTA(SPLIT(J195, CHAR(10))))) &amp; "": "" &amp; TRANSPOSE(SPLIT(J195, CHAR(10)))))))"),"Step 1: Điều hướng đến trang thanh toán
Step 2: Kiểm tra hiển thị đúng kích thước, vị trí, màu chữ của heading ""Thanh toán"" và khả năng giữ nguyên khi cuộn trang")</f>
        <v>Step 1: Điều hướng đến trang thanh toán
Step 2: Kiểm tra hiển thị đúng kích thước, vị trí, màu chữ của heading "Thanh toán" và khả năng giữ nguyên khi cuộn trang</v>
      </c>
      <c r="L195" s="14"/>
      <c r="M195" s="12" t="s">
        <v>3000</v>
      </c>
      <c r="N195" s="38"/>
      <c r="O195" s="12"/>
      <c r="P195" s="38"/>
    </row>
    <row r="196">
      <c r="A196" s="37"/>
      <c r="B196" s="37"/>
      <c r="C196" s="37"/>
      <c r="D196" s="37"/>
      <c r="E196" s="37"/>
      <c r="F196" s="12" t="s">
        <v>3001</v>
      </c>
      <c r="G196" s="56"/>
      <c r="H196" s="12" t="s">
        <v>3002</v>
      </c>
      <c r="I196" s="12" t="s">
        <v>2998</v>
      </c>
      <c r="J196" s="12" t="s">
        <v>3003</v>
      </c>
      <c r="K196" s="13" t="str">
        <f>IFERROR(__xludf.DUMMYFUNCTION("IF(ISBLANK(J196), ""Input test step"", ARRAYFORMULA(TEXTJOIN(CHAR(10), TRUE, (""Step ""&amp; ROW(INDIRECT(""1:"" &amp; COUNTA(SPLIT(J196, CHAR(10))))) &amp; "": "" &amp; TRANSPOSE(SPLIT(J196, CHAR(10)))))))"),"Step 1: Điều hướng đến trang thanh toán
Step 2: Kiểm tra hiển thị đúng kích thước, vị trí, màu nền của vùng chứa địa chỉ nhận hàng ")</f>
        <v>Step 1: Điều hướng đến trang thanh toán
Step 2: Kiểm tra hiển thị đúng kích thước, vị trí, màu nền của vùng chứa địa chỉ nhận hàng </v>
      </c>
      <c r="L196" s="14"/>
      <c r="M196" s="12" t="s">
        <v>3004</v>
      </c>
      <c r="N196" s="38"/>
      <c r="O196" s="12"/>
      <c r="P196" s="38"/>
    </row>
    <row r="197">
      <c r="A197" s="37"/>
      <c r="B197" s="37"/>
      <c r="C197" s="37"/>
      <c r="D197" s="37"/>
      <c r="E197" s="37"/>
      <c r="F197" s="12" t="s">
        <v>3005</v>
      </c>
      <c r="G197" s="56"/>
      <c r="H197" s="12" t="s">
        <v>3006</v>
      </c>
      <c r="I197" s="12" t="s">
        <v>2998</v>
      </c>
      <c r="J197" s="12" t="s">
        <v>3007</v>
      </c>
      <c r="K197" s="13" t="str">
        <f>IFERROR(__xludf.DUMMYFUNCTION("IF(ISBLANK(J197), ""Input test step"", ARRAYFORMULA(TEXTJOIN(CHAR(10), TRUE, (""Step ""&amp; ROW(INDIRECT(""1:"" &amp; COUNTA(SPLIT(J197, CHAR(10))))) &amp; "": "" &amp; TRANSPOSE(SPLIT(J197, CHAR(10)))))))"),"Step 1: Điều hướng đến trang thanh toán
Step 2: Kiểm tra hiển thị đúng kích thước, vị trí, màu chữ của tiêu đề ""Địa chỉ nhận hàng""")</f>
        <v>Step 1: Điều hướng đến trang thanh toán
Step 2: Kiểm tra hiển thị đúng kích thước, vị trí, màu chữ của tiêu đề "Địa chỉ nhận hàng"</v>
      </c>
      <c r="L197" s="14"/>
      <c r="M197" s="21" t="s">
        <v>3008</v>
      </c>
      <c r="N197" s="38"/>
      <c r="O197" s="12"/>
      <c r="P197" s="38"/>
    </row>
    <row r="198">
      <c r="A198" s="37"/>
      <c r="B198" s="37"/>
      <c r="C198" s="37"/>
      <c r="D198" s="37"/>
      <c r="E198" s="37"/>
      <c r="F198" s="12" t="s">
        <v>3009</v>
      </c>
      <c r="G198" s="56"/>
      <c r="H198" s="12" t="s">
        <v>3010</v>
      </c>
      <c r="I198" s="12" t="s">
        <v>2998</v>
      </c>
      <c r="J198" s="12" t="s">
        <v>3011</v>
      </c>
      <c r="K198" s="13" t="str">
        <f>IFERROR(__xludf.DUMMYFUNCTION("IF(ISBLANK(J198), ""Input test step"", ARRAYFORMULA(TEXTJOIN(CHAR(10), TRUE, (""Step ""&amp; ROW(INDIRECT(""1:"" &amp; COUNTA(SPLIT(J198, CHAR(10))))) &amp; "": "" &amp; TRANSPOSE(SPLIT(J198, CHAR(10)))))))"),"Step 1: Điều hướng đến trang thanh toán
Step 2: Kiểm tra hiển thị đúng kích thước, vị trí, màu nền của icon map")</f>
        <v>Step 1: Điều hướng đến trang thanh toán
Step 2: Kiểm tra hiển thị đúng kích thước, vị trí, màu nền của icon map</v>
      </c>
      <c r="L198" s="14"/>
      <c r="M198" s="12" t="s">
        <v>3012</v>
      </c>
      <c r="N198" s="38"/>
      <c r="O198" s="12"/>
      <c r="P198" s="38"/>
    </row>
    <row r="199">
      <c r="A199" s="37"/>
      <c r="B199" s="37"/>
      <c r="C199" s="37"/>
      <c r="D199" s="37"/>
      <c r="E199" s="37"/>
      <c r="F199" s="12" t="s">
        <v>3013</v>
      </c>
      <c r="G199" s="56"/>
      <c r="H199" s="12" t="s">
        <v>3014</v>
      </c>
      <c r="I199" s="12" t="s">
        <v>2998</v>
      </c>
      <c r="J199" s="12" t="s">
        <v>3015</v>
      </c>
      <c r="K199" s="13" t="str">
        <f>IFERROR(__xludf.DUMMYFUNCTION("IF(ISBLANK(J199), ""Input test step"", ARRAYFORMULA(TEXTJOIN(CHAR(10), TRUE, (""Step ""&amp; ROW(INDIRECT(""1:"" &amp; COUNTA(SPLIT(J199, CHAR(10))))) &amp; "": "" &amp; TRANSPOSE(SPLIT(J199, CHAR(10)))))))"),"Step 1: Điều hướng đến trang thanh toán
Step 2: Kiểm tra hiển thị đúng kích thước, vị trí, màu chữ của tên người nhận hàng")</f>
        <v>Step 1: Điều hướng đến trang thanh toán
Step 2: Kiểm tra hiển thị đúng kích thước, vị trí, màu chữ của tên người nhận hàng</v>
      </c>
      <c r="L199" s="14"/>
      <c r="M199" s="12" t="s">
        <v>3016</v>
      </c>
      <c r="N199" s="38"/>
      <c r="O199" s="12"/>
      <c r="P199" s="38"/>
    </row>
    <row r="200">
      <c r="A200" s="37"/>
      <c r="B200" s="37"/>
      <c r="C200" s="37"/>
      <c r="D200" s="37"/>
      <c r="E200" s="37"/>
      <c r="F200" s="12" t="s">
        <v>3017</v>
      </c>
      <c r="G200" s="56"/>
      <c r="H200" s="12" t="s">
        <v>3018</v>
      </c>
      <c r="I200" s="12" t="s">
        <v>2998</v>
      </c>
      <c r="J200" s="12" t="s">
        <v>3019</v>
      </c>
      <c r="K200" s="13" t="str">
        <f>IFERROR(__xludf.DUMMYFUNCTION("IF(ISBLANK(J200), ""Input test step"", ARRAYFORMULA(TEXTJOIN(CHAR(10), TRUE, (""Step ""&amp; ROW(INDIRECT(""1:"" &amp; COUNTA(SPLIT(J200, CHAR(10))))) &amp; "": "" &amp; TRANSPOSE(SPLIT(J200, CHAR(10)))))))"),"Step 1: Điều hướng đến trang thanh toán
Step 2: Kiểm tra hiển thị đúng kích thước, vị trí, màu chữ của số điện thoại")</f>
        <v>Step 1: Điều hướng đến trang thanh toán
Step 2: Kiểm tra hiển thị đúng kích thước, vị trí, màu chữ của số điện thoại</v>
      </c>
      <c r="L200" s="14"/>
      <c r="M200" s="12" t="s">
        <v>3020</v>
      </c>
      <c r="N200" s="38"/>
      <c r="O200" s="12"/>
      <c r="P200" s="38"/>
    </row>
    <row r="201">
      <c r="A201" s="37"/>
      <c r="B201" s="37"/>
      <c r="C201" s="37"/>
      <c r="D201" s="37"/>
      <c r="E201" s="37"/>
      <c r="F201" s="12" t="s">
        <v>3021</v>
      </c>
      <c r="G201" s="56"/>
      <c r="H201" s="12" t="s">
        <v>3022</v>
      </c>
      <c r="I201" s="12" t="s">
        <v>2998</v>
      </c>
      <c r="J201" s="12" t="s">
        <v>3023</v>
      </c>
      <c r="K201" s="13" t="str">
        <f>IFERROR(__xludf.DUMMYFUNCTION("IF(ISBLANK(J201), ""Input test step"", ARRAYFORMULA(TEXTJOIN(CHAR(10), TRUE, (""Step ""&amp; ROW(INDIRECT(""1:"" &amp; COUNTA(SPLIT(J201, CHAR(10))))) &amp; "": "" &amp; TRANSPOSE(SPLIT(J201, CHAR(10)))))))"),"Step 1: Điều hướng đến trang thanh toán
Step 2: Kiểm tra hiển thị đúng kích thước, vị trí, màu chữ của địa chỉ")</f>
        <v>Step 1: Điều hướng đến trang thanh toán
Step 2: Kiểm tra hiển thị đúng kích thước, vị trí, màu chữ của địa chỉ</v>
      </c>
      <c r="L201" s="14"/>
      <c r="M201" s="12" t="s">
        <v>3024</v>
      </c>
      <c r="N201" s="38"/>
      <c r="O201" s="12"/>
      <c r="P201" s="38"/>
    </row>
    <row r="202">
      <c r="A202" s="37"/>
      <c r="B202" s="37"/>
      <c r="C202" s="37"/>
      <c r="D202" s="37"/>
      <c r="E202" s="37"/>
      <c r="F202" s="12" t="s">
        <v>3025</v>
      </c>
      <c r="G202" s="56"/>
      <c r="H202" s="12" t="s">
        <v>3026</v>
      </c>
      <c r="I202" s="12" t="s">
        <v>2998</v>
      </c>
      <c r="J202" s="12" t="s">
        <v>3027</v>
      </c>
      <c r="K202" s="13" t="str">
        <f>IFERROR(__xludf.DUMMYFUNCTION("IF(ISBLANK(J202), ""Input test step"", ARRAYFORMULA(TEXTJOIN(CHAR(10), TRUE, (""Step ""&amp; ROW(INDIRECT(""1:"" &amp; COUNTA(SPLIT(J202, CHAR(10))))) &amp; "": "" &amp; TRANSPOSE(SPLIT(J202, CHAR(10)))))))"),"Step 1: Điều hướng đến trang thanh toán
Step 2: Kiểm tra hiển thị đúng kích thước, vị trí, màu chữ của vùng icon (&gt;) để chuyển sang trang chọn địa chỉ")</f>
        <v>Step 1: Điều hướng đến trang thanh toán
Step 2: Kiểm tra hiển thị đúng kích thước, vị trí, màu chữ của vùng icon (&gt;) để chuyển sang trang chọn địa chỉ</v>
      </c>
      <c r="L202" s="14"/>
      <c r="M202" s="12" t="s">
        <v>3028</v>
      </c>
      <c r="N202" s="38"/>
      <c r="O202" s="12"/>
      <c r="P202" s="38"/>
    </row>
    <row r="203">
      <c r="A203" s="37"/>
      <c r="B203" s="37"/>
      <c r="C203" s="37"/>
      <c r="D203" s="37"/>
      <c r="E203" s="37"/>
      <c r="F203" s="12" t="s">
        <v>3029</v>
      </c>
      <c r="G203" s="56"/>
      <c r="H203" s="12" t="s">
        <v>3030</v>
      </c>
      <c r="I203" s="12" t="s">
        <v>2998</v>
      </c>
      <c r="J203" s="12" t="s">
        <v>3031</v>
      </c>
      <c r="K203" s="13" t="str">
        <f>IFERROR(__xludf.DUMMYFUNCTION("IF(ISBLANK(J203), ""Input test step"", ARRAYFORMULA(TEXTJOIN(CHAR(10), TRUE, (""Step ""&amp; ROW(INDIRECT(""1:"" &amp; COUNTA(SPLIT(J203, CHAR(10))))) &amp; "": "" &amp; TRANSPOSE(SPLIT(J203, CHAR(10)))))))"),"Step 1: Điều hướng đến trang thanh toán
Step 2: Kiểm tra hiển thị đúng kích thước, vị trí, màu chữ của ghi chú ")</f>
        <v>Step 1: Điều hướng đến trang thanh toán
Step 2: Kiểm tra hiển thị đúng kích thước, vị trí, màu chữ của ghi chú </v>
      </c>
      <c r="L203" s="14"/>
      <c r="M203" s="12" t="s">
        <v>3032</v>
      </c>
      <c r="N203" s="38"/>
      <c r="O203" s="12"/>
      <c r="P203" s="38"/>
    </row>
    <row r="204">
      <c r="A204" s="37"/>
      <c r="B204" s="37"/>
      <c r="C204" s="37"/>
      <c r="D204" s="37"/>
      <c r="E204" s="37"/>
      <c r="F204" s="12" t="s">
        <v>3033</v>
      </c>
      <c r="G204" s="56"/>
      <c r="H204" s="12" t="s">
        <v>3034</v>
      </c>
      <c r="I204" s="12" t="s">
        <v>2998</v>
      </c>
      <c r="J204" s="12" t="s">
        <v>3035</v>
      </c>
      <c r="K204" s="13" t="str">
        <f>IFERROR(__xludf.DUMMYFUNCTION("IF(ISBLANK(J204), ""Input test step"", ARRAYFORMULA(TEXTJOIN(CHAR(10), TRUE, (""Step ""&amp; ROW(INDIRECT(""1:"" &amp; COUNTA(SPLIT(J204, CHAR(10))))) &amp; "": "" &amp; TRANSPOSE(SPLIT(J204, CHAR(10)))))))"),"Step 1: Điều hướng đến trang thanh toán
Step 2: Kiểm tra kích thước, vị trí của vùng chứa danh sách sản phẩm")</f>
        <v>Step 1: Điều hướng đến trang thanh toán
Step 2: Kiểm tra kích thước, vị trí của vùng chứa danh sách sản phẩm</v>
      </c>
      <c r="L204" s="14"/>
      <c r="M204" s="12" t="s">
        <v>3036</v>
      </c>
      <c r="N204" s="38"/>
      <c r="O204" s="12"/>
      <c r="P204" s="38"/>
    </row>
    <row r="205">
      <c r="A205" s="37"/>
      <c r="B205" s="37"/>
      <c r="C205" s="37"/>
      <c r="D205" s="37"/>
      <c r="E205" s="37"/>
      <c r="F205" s="12" t="s">
        <v>3037</v>
      </c>
      <c r="G205" s="56"/>
      <c r="H205" s="12" t="s">
        <v>3038</v>
      </c>
      <c r="I205" s="12" t="s">
        <v>2998</v>
      </c>
      <c r="J205" s="12" t="s">
        <v>3039</v>
      </c>
      <c r="K205" s="13" t="str">
        <f>IFERROR(__xludf.DUMMYFUNCTION("IF(ISBLANK(J205), ""Input test step"", ARRAYFORMULA(TEXTJOIN(CHAR(10), TRUE, (""Step ""&amp; ROW(INDIRECT(""1:"" &amp; COUNTA(SPLIT(J205, CHAR(10))))) &amp; "": "" &amp; TRANSPOSE(SPLIT(J205, CHAR(10)))))))"),"Step 1: Điều hướng đến trang thanh toán
Step 2: Kiểm tra khả năng cuộn danh sách khi danh sách dài")</f>
        <v>Step 1: Điều hướng đến trang thanh toán
Step 2: Kiểm tra khả năng cuộn danh sách khi danh sách dài</v>
      </c>
      <c r="L205" s="14"/>
      <c r="M205" s="31" t="s">
        <v>3040</v>
      </c>
      <c r="N205" s="38"/>
      <c r="O205" s="12"/>
      <c r="P205" s="38"/>
    </row>
    <row r="206">
      <c r="A206" s="37"/>
      <c r="B206" s="37"/>
      <c r="C206" s="37"/>
      <c r="D206" s="37"/>
      <c r="E206" s="37"/>
      <c r="F206" s="12" t="s">
        <v>3041</v>
      </c>
      <c r="G206" s="56"/>
      <c r="H206" s="12" t="s">
        <v>3042</v>
      </c>
      <c r="I206" s="12" t="s">
        <v>2998</v>
      </c>
      <c r="J206" s="12" t="s">
        <v>3043</v>
      </c>
      <c r="K206" s="13" t="str">
        <f>IFERROR(__xludf.DUMMYFUNCTION("IF(ISBLANK(J206), ""Input test step"", ARRAYFORMULA(TEXTJOIN(CHAR(10), TRUE, (""Step ""&amp; ROW(INDIRECT(""1:"" &amp; COUNTA(SPLIT(J206, CHAR(10))))) &amp; "": "" &amp; TRANSPOSE(SPLIT(J206, CHAR(10)))))))"),"Step 1: Điều hướng đến trang thanh toán
Step 2: Kiểm tra hiện thị đúng khoảng cách giữa các mục sản phẩm")</f>
        <v>Step 1: Điều hướng đến trang thanh toán
Step 2: Kiểm tra hiện thị đúng khoảng cách giữa các mục sản phẩm</v>
      </c>
      <c r="L206" s="14"/>
      <c r="M206" s="31" t="s">
        <v>3044</v>
      </c>
      <c r="N206" s="38"/>
      <c r="O206" s="12"/>
      <c r="P206" s="38"/>
    </row>
    <row r="207">
      <c r="A207" s="37"/>
      <c r="B207" s="37"/>
      <c r="C207" s="37"/>
      <c r="D207" s="37"/>
      <c r="E207" s="37"/>
      <c r="F207" s="12" t="s">
        <v>3045</v>
      </c>
      <c r="G207" s="56"/>
      <c r="H207" s="12" t="s">
        <v>3046</v>
      </c>
      <c r="I207" s="12" t="s">
        <v>2998</v>
      </c>
      <c r="J207" s="12" t="s">
        <v>3047</v>
      </c>
      <c r="K207" s="13" t="str">
        <f>IFERROR(__xludf.DUMMYFUNCTION("IF(ISBLANK(J207), ""Input test step"", ARRAYFORMULA(TEXTJOIN(CHAR(10), TRUE, (""Step ""&amp; ROW(INDIRECT(""1:"" &amp; COUNTA(SPLIT(J207, CHAR(10))))) &amp; "": "" &amp; TRANSPOSE(SPLIT(J207, CHAR(10)))))))"),"Step 1: Điều hướng đến trang thanh toán
Step 2: Kiểm tra hiển thị đúng kích thước, vị trí, màu chữ của tiêu đề ""Tổng số sản phẩm: x"" ")</f>
        <v>Step 1: Điều hướng đến trang thanh toán
Step 2: Kiểm tra hiển thị đúng kích thước, vị trí, màu chữ của tiêu đề "Tổng số sản phẩm: x" </v>
      </c>
      <c r="L207" s="33"/>
      <c r="M207" s="31" t="s">
        <v>3048</v>
      </c>
      <c r="N207" s="38"/>
      <c r="O207" s="12"/>
      <c r="P207" s="38"/>
    </row>
    <row r="208">
      <c r="A208" s="37"/>
      <c r="B208" s="37"/>
      <c r="C208" s="37"/>
      <c r="D208" s="37"/>
      <c r="E208" s="37"/>
      <c r="F208" s="12" t="s">
        <v>3049</v>
      </c>
      <c r="G208" s="56"/>
      <c r="H208" s="12" t="s">
        <v>3050</v>
      </c>
      <c r="I208" s="12" t="s">
        <v>2998</v>
      </c>
      <c r="J208" s="12" t="s">
        <v>3051</v>
      </c>
      <c r="K208" s="13" t="str">
        <f>IFERROR(__xludf.DUMMYFUNCTION("IF(ISBLANK(J208), ""Input test step"", ARRAYFORMULA(TEXTJOIN(CHAR(10), TRUE, (""Step ""&amp; ROW(INDIRECT(""1:"" &amp; COUNTA(SPLIT(J208, CHAR(10))))) &amp; "": "" &amp; TRANSPOSE(SPLIT(J208, CHAR(10)))))))"),"Step 1: Điều hướng đến trang thanh toán
Step 2: Kiểm tra kích thước, vị trí, độ sắc nét của hình ảnh sản phẩm trong 1 item")</f>
        <v>Step 1: Điều hướng đến trang thanh toán
Step 2: Kiểm tra kích thước, vị trí, độ sắc nét của hình ảnh sản phẩm trong 1 item</v>
      </c>
      <c r="L208" s="33"/>
      <c r="M208" s="31" t="s">
        <v>3052</v>
      </c>
      <c r="N208" s="38"/>
      <c r="O208" s="12"/>
      <c r="P208" s="38"/>
    </row>
    <row r="209">
      <c r="A209" s="37"/>
      <c r="B209" s="37"/>
      <c r="C209" s="37"/>
      <c r="D209" s="37"/>
      <c r="E209" s="37"/>
      <c r="F209" s="12" t="s">
        <v>3053</v>
      </c>
      <c r="G209" s="56"/>
      <c r="H209" s="12" t="s">
        <v>3054</v>
      </c>
      <c r="I209" s="12" t="s">
        <v>2998</v>
      </c>
      <c r="J209" s="12" t="s">
        <v>3055</v>
      </c>
      <c r="K209" s="13" t="str">
        <f>IFERROR(__xludf.DUMMYFUNCTION("IF(ISBLANK(J209), ""Input test step"", ARRAYFORMULA(TEXTJOIN(CHAR(10), TRUE, (""Step ""&amp; ROW(INDIRECT(""1:"" &amp; COUNTA(SPLIT(J209, CHAR(10))))) &amp; "": "" &amp; TRANSPOSE(SPLIT(J209, CHAR(10)))))))"),"Step 1: Điều hướng đến trang thanh toán
Step 2: Kiểm tra kích thước, vị trí, màu chữ của tên sản phẩm trong 1 item")</f>
        <v>Step 1: Điều hướng đến trang thanh toán
Step 2: Kiểm tra kích thước, vị trí, màu chữ của tên sản phẩm trong 1 item</v>
      </c>
      <c r="L209" s="34"/>
      <c r="M209" s="31" t="s">
        <v>3056</v>
      </c>
      <c r="N209" s="38"/>
      <c r="O209" s="12"/>
      <c r="P209" s="38"/>
    </row>
    <row r="210">
      <c r="A210" s="37"/>
      <c r="B210" s="37"/>
      <c r="C210" s="37"/>
      <c r="D210" s="37"/>
      <c r="E210" s="37"/>
      <c r="F210" s="12" t="s">
        <v>3057</v>
      </c>
      <c r="G210" s="56"/>
      <c r="H210" s="12" t="s">
        <v>3058</v>
      </c>
      <c r="I210" s="12" t="s">
        <v>2998</v>
      </c>
      <c r="J210" s="12" t="s">
        <v>3059</v>
      </c>
      <c r="K210" s="13" t="str">
        <f>IFERROR(__xludf.DUMMYFUNCTION("IF(ISBLANK(J210), ""Input test step"", ARRAYFORMULA(TEXTJOIN(CHAR(10), TRUE, (""Step ""&amp; ROW(INDIRECT(""1:"" &amp; COUNTA(SPLIT(J210, CHAR(10))))) &amp; "": "" &amp; TRANSPOSE(SPLIT(J210, CHAR(10)))))))"),"Step 1: Điều hướng đến trang thanh toán
Step 2: Kiểm tra kích thước, vị trí, màu chữ của giá sản phẩm trong 1 item")</f>
        <v>Step 1: Điều hướng đến trang thanh toán
Step 2: Kiểm tra kích thước, vị trí, màu chữ của giá sản phẩm trong 1 item</v>
      </c>
      <c r="L210" s="34"/>
      <c r="M210" s="31" t="s">
        <v>3060</v>
      </c>
      <c r="N210" s="38"/>
      <c r="O210" s="12"/>
      <c r="P210" s="38"/>
    </row>
    <row r="211">
      <c r="A211" s="37"/>
      <c r="B211" s="37"/>
      <c r="C211" s="37"/>
      <c r="D211" s="37"/>
      <c r="E211" s="37"/>
      <c r="F211" s="12" t="s">
        <v>3061</v>
      </c>
      <c r="G211" s="56"/>
      <c r="H211" s="12" t="s">
        <v>3062</v>
      </c>
      <c r="I211" s="12" t="s">
        <v>2998</v>
      </c>
      <c r="J211" s="12" t="s">
        <v>3059</v>
      </c>
      <c r="K211" s="13" t="str">
        <f>IFERROR(__xludf.DUMMYFUNCTION("IF(ISBLANK(J211), ""Input test step"", ARRAYFORMULA(TEXTJOIN(CHAR(10), TRUE, (""Step ""&amp; ROW(INDIRECT(""1:"" &amp; COUNTA(SPLIT(J211, CHAR(10))))) &amp; "": "" &amp; TRANSPOSE(SPLIT(J211, CHAR(10)))))))"),"Step 1: Điều hướng đến trang thanh toán
Step 2: Kiểm tra kích thước, vị trí, màu chữ của giá sản phẩm trong 1 item")</f>
        <v>Step 1: Điều hướng đến trang thanh toán
Step 2: Kiểm tra kích thước, vị trí, màu chữ của giá sản phẩm trong 1 item</v>
      </c>
      <c r="L211" s="34"/>
      <c r="M211" s="31" t="s">
        <v>3063</v>
      </c>
      <c r="N211" s="38"/>
      <c r="O211" s="12"/>
      <c r="P211" s="38"/>
    </row>
    <row r="212">
      <c r="A212" s="37"/>
      <c r="B212" s="37"/>
      <c r="C212" s="37"/>
      <c r="D212" s="37"/>
      <c r="E212" s="37"/>
      <c r="F212" s="12" t="s">
        <v>3064</v>
      </c>
      <c r="G212" s="56"/>
      <c r="H212" s="12" t="s">
        <v>3065</v>
      </c>
      <c r="I212" s="12" t="s">
        <v>2998</v>
      </c>
      <c r="J212" s="12" t="s">
        <v>3066</v>
      </c>
      <c r="K212" s="13" t="str">
        <f>IFERROR(__xludf.DUMMYFUNCTION("IF(ISBLANK(J212), ""Input test step"", ARRAYFORMULA(TEXTJOIN(CHAR(10), TRUE, (""Step ""&amp; ROW(INDIRECT(""1:"" &amp; COUNTA(SPLIT(J212, CHAR(10))))) &amp; "": "" &amp; TRANSPOSE(SPLIT(J212, CHAR(10)))))))"),"Step 1: Điều hướng đến trang thanh toán
Step 2: Kiểm tra kích thước, vị trí, màu chữ của số lượng sản phẩm trong 1 item")</f>
        <v>Step 1: Điều hướng đến trang thanh toán
Step 2: Kiểm tra kích thước, vị trí, màu chữ của số lượng sản phẩm trong 1 item</v>
      </c>
      <c r="L212" s="34"/>
      <c r="M212" s="31" t="s">
        <v>3067</v>
      </c>
      <c r="N212" s="38"/>
      <c r="O212" s="12"/>
      <c r="P212" s="38"/>
    </row>
    <row r="213">
      <c r="A213" s="37"/>
      <c r="B213" s="37"/>
      <c r="C213" s="37"/>
      <c r="D213" s="37"/>
      <c r="E213" s="37"/>
      <c r="F213" s="12" t="s">
        <v>3068</v>
      </c>
      <c r="G213" s="56"/>
      <c r="H213" s="12" t="s">
        <v>3069</v>
      </c>
      <c r="I213" s="12" t="s">
        <v>2998</v>
      </c>
      <c r="J213" s="12" t="s">
        <v>3070</v>
      </c>
      <c r="K213" s="13" t="str">
        <f>IFERROR(__xludf.DUMMYFUNCTION("IF(ISBLANK(J213), ""Input test step"", ARRAYFORMULA(TEXTJOIN(CHAR(10), TRUE, (""Step ""&amp; ROW(INDIRECT(""1:"" &amp; COUNTA(SPLIT(J213, CHAR(10))))) &amp; "": "" &amp; TRANSPOSE(SPLIT(J213, CHAR(10)))))))"),"Step 1: Điều hướng đến trang thanh toán
Step 2: Kiểm tra kích thước, vị trí, màu chữ của lời nhắn sản phẩm trong 1 item")</f>
        <v>Step 1: Điều hướng đến trang thanh toán
Step 2: Kiểm tra kích thước, vị trí, màu chữ của lời nhắn sản phẩm trong 1 item</v>
      </c>
      <c r="L213" s="34"/>
      <c r="M213" s="31" t="s">
        <v>3071</v>
      </c>
      <c r="N213" s="38"/>
      <c r="O213" s="12"/>
      <c r="P213" s="38"/>
    </row>
    <row r="214">
      <c r="A214" s="37"/>
      <c r="B214" s="37"/>
      <c r="C214" s="37"/>
      <c r="D214" s="37"/>
      <c r="E214" s="37"/>
      <c r="F214" s="12" t="s">
        <v>3072</v>
      </c>
      <c r="G214" s="56"/>
      <c r="H214" s="12" t="s">
        <v>3073</v>
      </c>
      <c r="I214" s="12" t="s">
        <v>2998</v>
      </c>
      <c r="J214" s="12" t="s">
        <v>3074</v>
      </c>
      <c r="K214" s="13" t="str">
        <f>IFERROR(__xludf.DUMMYFUNCTION("IF(ISBLANK(J214), ""Input test step"", ARRAYFORMULA(TEXTJOIN(CHAR(10), TRUE, (""Step ""&amp; ROW(INDIRECT(""1:"" &amp; COUNTA(SPLIT(J214, CHAR(10))))) &amp; "": "" &amp; TRANSPOSE(SPLIT(J214, CHAR(10)))))))"),"Step 1: Điều hướng đến trang thanh toán
Step 2: Kiểm tra kích thước, vị trí của hộp input lời nhắn")</f>
        <v>Step 1: Điều hướng đến trang thanh toán
Step 2: Kiểm tra kích thước, vị trí của hộp input lời nhắn</v>
      </c>
      <c r="L214" s="34"/>
      <c r="M214" s="31" t="s">
        <v>3075</v>
      </c>
      <c r="N214" s="38"/>
      <c r="O214" s="12"/>
      <c r="P214" s="38"/>
    </row>
    <row r="215">
      <c r="A215" s="37"/>
      <c r="B215" s="37"/>
      <c r="C215" s="37"/>
      <c r="D215" s="37"/>
      <c r="E215" s="37"/>
      <c r="F215" s="12" t="s">
        <v>3076</v>
      </c>
      <c r="G215" s="56"/>
      <c r="H215" s="12" t="s">
        <v>3077</v>
      </c>
      <c r="I215" s="12" t="s">
        <v>2998</v>
      </c>
      <c r="J215" s="12" t="s">
        <v>3078</v>
      </c>
      <c r="K215" s="13" t="str">
        <f>IFERROR(__xludf.DUMMYFUNCTION("IF(ISBLANK(J215), ""Input test step"", ARRAYFORMULA(TEXTJOIN(CHAR(10), TRUE, (""Step ""&amp; ROW(INDIRECT(""1:"" &amp; COUNTA(SPLIT(J215, CHAR(10))))) &amp; "": "" &amp; TRANSPOSE(SPLIT(J215, CHAR(10)))))))"),"Step 1: Điều hướng đến trang thanh toán
Step 2: Kiểm tra kích thước, vị trí của vùng hiển thị voucher")</f>
        <v>Step 1: Điều hướng đến trang thanh toán
Step 2: Kiểm tra kích thước, vị trí của vùng hiển thị voucher</v>
      </c>
      <c r="L215" s="14"/>
      <c r="M215" s="31" t="s">
        <v>3079</v>
      </c>
      <c r="N215" s="38"/>
      <c r="O215" s="12"/>
      <c r="P215" s="38"/>
    </row>
    <row r="216">
      <c r="A216" s="37"/>
      <c r="B216" s="37"/>
      <c r="C216" s="37"/>
      <c r="D216" s="37"/>
      <c r="E216" s="37"/>
      <c r="F216" s="12" t="s">
        <v>3080</v>
      </c>
      <c r="G216" s="56"/>
      <c r="H216" s="12" t="s">
        <v>3081</v>
      </c>
      <c r="I216" s="12" t="s">
        <v>2998</v>
      </c>
      <c r="J216" s="12" t="s">
        <v>3082</v>
      </c>
      <c r="K216" s="13" t="str">
        <f>IFERROR(__xludf.DUMMYFUNCTION("IF(ISBLANK(J216), ""Input test step"", ARRAYFORMULA(TEXTJOIN(CHAR(10), TRUE, (""Step ""&amp; ROW(INDIRECT(""1:"" &amp; COUNTA(SPLIT(J216, CHAR(10))))) &amp; "": "" &amp; TRANSPOSE(SPLIT(J216, CHAR(10)))))))"),"Step 1: Điều hướng đến trang thanh toán
Step 2: Kiểm tra kích thước, vị trí của tiêu đề voucher")</f>
        <v>Step 1: Điều hướng đến trang thanh toán
Step 2: Kiểm tra kích thước, vị trí của tiêu đề voucher</v>
      </c>
      <c r="L216" s="14"/>
      <c r="M216" s="31" t="s">
        <v>3083</v>
      </c>
      <c r="N216" s="38"/>
      <c r="O216" s="12"/>
      <c r="P216" s="38"/>
    </row>
    <row r="217">
      <c r="A217" s="37"/>
      <c r="B217" s="37"/>
      <c r="C217" s="37"/>
      <c r="D217" s="37"/>
      <c r="E217" s="37"/>
      <c r="F217" s="12" t="s">
        <v>3084</v>
      </c>
      <c r="G217" s="56"/>
      <c r="H217" s="12" t="s">
        <v>3085</v>
      </c>
      <c r="I217" s="12" t="s">
        <v>2998</v>
      </c>
      <c r="J217" s="12" t="s">
        <v>3086</v>
      </c>
      <c r="K217" s="13" t="str">
        <f>IFERROR(__xludf.DUMMYFUNCTION("IF(ISBLANK(J217), ""Input test step"", ARRAYFORMULA(TEXTJOIN(CHAR(10), TRUE, (""Step ""&amp; ROW(INDIRECT(""1:"" &amp; COUNTA(SPLIT(J217, CHAR(10))))) &amp; "": "" &amp; TRANSPOSE(SPLIT(J217, CHAR(10)))))))"),"Step 1: Điều hướng đến trang thanh toán
Step 2: Kiểm tra kích thước, vị trí của text hiển thị số tiền theo mã giảm giá")</f>
        <v>Step 1: Điều hướng đến trang thanh toán
Step 2: Kiểm tra kích thước, vị trí của text hiển thị số tiền theo mã giảm giá</v>
      </c>
      <c r="L217" s="14"/>
      <c r="M217" s="31" t="s">
        <v>3087</v>
      </c>
      <c r="N217" s="38"/>
      <c r="O217" s="12"/>
      <c r="P217" s="38"/>
    </row>
    <row r="218">
      <c r="A218" s="37"/>
      <c r="B218" s="37"/>
      <c r="C218" s="37"/>
      <c r="D218" s="37"/>
      <c r="E218" s="37"/>
      <c r="F218" s="12" t="s">
        <v>3088</v>
      </c>
      <c r="G218" s="56"/>
      <c r="H218" s="12" t="s">
        <v>3089</v>
      </c>
      <c r="I218" s="12" t="s">
        <v>2998</v>
      </c>
      <c r="J218" s="12" t="s">
        <v>3090</v>
      </c>
      <c r="K218" s="13" t="str">
        <f>IFERROR(__xludf.DUMMYFUNCTION("IF(ISBLANK(J218), ""Input test step"", ARRAYFORMULA(TEXTJOIN(CHAR(10), TRUE, (""Step ""&amp; ROW(INDIRECT(""1:"" &amp; COUNTA(SPLIT(J218, CHAR(10))))) &amp; "": "" &amp; TRANSPOSE(SPLIT(J218, CHAR(10)))))))"),"Step 1: Điều hướng đến trang thanh toán
Step 2: Kiểm tra kích thước, vị trí của text hiển thị số tiền theo mã vận chuyển")</f>
        <v>Step 1: Điều hướng đến trang thanh toán
Step 2: Kiểm tra kích thước, vị trí của text hiển thị số tiền theo mã vận chuyển</v>
      </c>
      <c r="L218" s="14"/>
      <c r="M218" s="31" t="s">
        <v>3091</v>
      </c>
      <c r="N218" s="38"/>
      <c r="O218" s="12"/>
      <c r="P218" s="38"/>
    </row>
    <row r="219">
      <c r="A219" s="37"/>
      <c r="B219" s="37"/>
      <c r="C219" s="37"/>
      <c r="D219" s="37"/>
      <c r="E219" s="37"/>
      <c r="F219" s="12" t="s">
        <v>3092</v>
      </c>
      <c r="G219" s="56"/>
      <c r="H219" s="12" t="s">
        <v>3093</v>
      </c>
      <c r="I219" s="12" t="s">
        <v>2998</v>
      </c>
      <c r="J219" s="12" t="s">
        <v>3094</v>
      </c>
      <c r="K219" s="13" t="str">
        <f>IFERROR(__xludf.DUMMYFUNCTION("IF(ISBLANK(J219), ""Input test step"", ARRAYFORMULA(TEXTJOIN(CHAR(10), TRUE, (""Step ""&amp; ROW(INDIRECT(""1:"" &amp; COUNTA(SPLIT(J219, CHAR(10))))) &amp; "": "" &amp; TRANSPOSE(SPLIT(J219, CHAR(10)))))))"),"Step 1: Điều hướng đến trang thanh toán
Step 2: Kiểm tra kích thước, vị trí của link text ""Xem tất cả""")</f>
        <v>Step 1: Điều hướng đến trang thanh toán
Step 2: Kiểm tra kích thước, vị trí của link text "Xem tất cả"</v>
      </c>
      <c r="L219" s="14"/>
      <c r="M219" s="31" t="s">
        <v>3095</v>
      </c>
      <c r="N219" s="38"/>
      <c r="O219" s="12"/>
      <c r="P219" s="38"/>
    </row>
    <row r="220">
      <c r="A220" s="37"/>
      <c r="B220" s="37"/>
      <c r="C220" s="37"/>
      <c r="D220" s="37"/>
      <c r="E220" s="37"/>
      <c r="F220" s="12" t="s">
        <v>3096</v>
      </c>
      <c r="G220" s="56"/>
      <c r="H220" s="12" t="s">
        <v>3097</v>
      </c>
      <c r="I220" s="12" t="s">
        <v>2998</v>
      </c>
      <c r="J220" s="12" t="s">
        <v>3098</v>
      </c>
      <c r="K220" s="13" t="str">
        <f>IFERROR(__xludf.DUMMYFUNCTION("IF(ISBLANK(J220), ""Input test step"", ARRAYFORMULA(TEXTJOIN(CHAR(10), TRUE, (""Step ""&amp; ROW(INDIRECT(""1:"" &amp; COUNTA(SPLIT(J220, CHAR(10))))) &amp; "": "" &amp; TRANSPOSE(SPLIT(J220, CHAR(10)))))))"),"Step 1: Điều hướng đến trang thanh toán
Step 2: Kiểm tra kích thước, vị trí của tiêu đề ""Chi tiết thanh toán""")</f>
        <v>Step 1: Điều hướng đến trang thanh toán
Step 2: Kiểm tra kích thước, vị trí của tiêu đề "Chi tiết thanh toán"</v>
      </c>
      <c r="L220" s="14"/>
      <c r="M220" s="31" t="s">
        <v>3099</v>
      </c>
      <c r="N220" s="38"/>
      <c r="O220" s="12"/>
      <c r="P220" s="38"/>
    </row>
    <row r="221">
      <c r="A221" s="37"/>
      <c r="B221" s="37"/>
      <c r="C221" s="37"/>
      <c r="D221" s="37"/>
      <c r="E221" s="37"/>
      <c r="F221" s="12" t="s">
        <v>3100</v>
      </c>
      <c r="G221" s="56"/>
      <c r="H221" s="12" t="s">
        <v>3101</v>
      </c>
      <c r="I221" s="12" t="s">
        <v>2998</v>
      </c>
      <c r="J221" s="12" t="s">
        <v>3102</v>
      </c>
      <c r="K221" s="13" t="str">
        <f>IFERROR(__xludf.DUMMYFUNCTION("IF(ISBLANK(J221), ""Input test step"", ARRAYFORMULA(TEXTJOIN(CHAR(10), TRUE, (""Step ""&amp; ROW(INDIRECT(""1:"" &amp; COUNTA(SPLIT(J221, CHAR(10))))) &amp; "": "" &amp; TRANSPOSE(SPLIT(J221, CHAR(10)))))))"),"Step 1: Điều hướng đến trang thanh toán
Step 2: Kiểm tra kích thước, vị trí của tiêu đề ""Tổng tiền hàng""")</f>
        <v>Step 1: Điều hướng đến trang thanh toán
Step 2: Kiểm tra kích thước, vị trí của tiêu đề "Tổng tiền hàng"</v>
      </c>
      <c r="L221" s="14"/>
      <c r="M221" s="31" t="s">
        <v>3103</v>
      </c>
      <c r="N221" s="38"/>
      <c r="O221" s="12"/>
      <c r="P221" s="38"/>
    </row>
    <row r="222">
      <c r="A222" s="37"/>
      <c r="B222" s="37"/>
      <c r="C222" s="37"/>
      <c r="D222" s="37"/>
      <c r="E222" s="37"/>
      <c r="F222" s="12" t="s">
        <v>3104</v>
      </c>
      <c r="G222" s="56"/>
      <c r="H222" s="12" t="s">
        <v>3105</v>
      </c>
      <c r="I222" s="12" t="s">
        <v>2998</v>
      </c>
      <c r="J222" s="12" t="s">
        <v>3106</v>
      </c>
      <c r="K222" s="13" t="str">
        <f>IFERROR(__xludf.DUMMYFUNCTION("IF(ISBLANK(J222), ""Input test step"", ARRAYFORMULA(TEXTJOIN(CHAR(10), TRUE, (""Step ""&amp; ROW(INDIRECT(""1:"" &amp; COUNTA(SPLIT(J222, CHAR(10))))) &amp; "": "" &amp; TRANSPOSE(SPLIT(J222, CHAR(10)))))))"),"Step 1: Điều hướng đến trang thanh toán
Step 2: Kiểm tra kích thước, vị trí của text hiển thị số tiền tổng tiền hàng")</f>
        <v>Step 1: Điều hướng đến trang thanh toán
Step 2: Kiểm tra kích thước, vị trí của text hiển thị số tiền tổng tiền hàng</v>
      </c>
      <c r="L222" s="14"/>
      <c r="M222" s="31" t="s">
        <v>3107</v>
      </c>
      <c r="N222" s="38"/>
      <c r="O222" s="12"/>
      <c r="P222" s="38"/>
    </row>
    <row r="223">
      <c r="A223" s="37"/>
      <c r="B223" s="37"/>
      <c r="C223" s="37"/>
      <c r="D223" s="37"/>
      <c r="E223" s="37"/>
      <c r="F223" s="12" t="s">
        <v>3108</v>
      </c>
      <c r="G223" s="56"/>
      <c r="H223" s="12" t="s">
        <v>3109</v>
      </c>
      <c r="I223" s="12" t="s">
        <v>2998</v>
      </c>
      <c r="J223" s="12" t="s">
        <v>3110</v>
      </c>
      <c r="K223" s="13" t="str">
        <f>IFERROR(__xludf.DUMMYFUNCTION("IF(ISBLANK(J223), ""Input test step"", ARRAYFORMULA(TEXTJOIN(CHAR(10), TRUE, (""Step ""&amp; ROW(INDIRECT(""1:"" &amp; COUNTA(SPLIT(J223, CHAR(10))))) &amp; "": "" &amp; TRANSPOSE(SPLIT(J223, CHAR(10)))))))"),"Step 1: Điều hướng đến trang thanh toán
Step 2: Kiểm tra kích thước, vị trí màu chữ của tiêu đề ""Tổng tiền phí vận chuyển""")</f>
        <v>Step 1: Điều hướng đến trang thanh toán
Step 2: Kiểm tra kích thước, vị trí màu chữ của tiêu đề "Tổng tiền phí vận chuyển"</v>
      </c>
      <c r="L223" s="14"/>
      <c r="M223" s="31" t="s">
        <v>3111</v>
      </c>
      <c r="N223" s="38"/>
      <c r="O223" s="12"/>
      <c r="P223" s="38"/>
    </row>
    <row r="224">
      <c r="A224" s="37"/>
      <c r="B224" s="37"/>
      <c r="C224" s="37"/>
      <c r="D224" s="37"/>
      <c r="E224" s="37"/>
      <c r="F224" s="12" t="s">
        <v>3112</v>
      </c>
      <c r="G224" s="56"/>
      <c r="H224" s="12" t="s">
        <v>3113</v>
      </c>
      <c r="I224" s="12" t="s">
        <v>2998</v>
      </c>
      <c r="J224" s="12" t="s">
        <v>3114</v>
      </c>
      <c r="K224" s="13" t="str">
        <f>IFERROR(__xludf.DUMMYFUNCTION("IF(ISBLANK(J224), ""Input test step"", ARRAYFORMULA(TEXTJOIN(CHAR(10), TRUE, (""Step ""&amp; ROW(INDIRECT(""1:"" &amp; COUNTA(SPLIT(J224, CHAR(10))))) &amp; "": "" &amp; TRANSPOSE(SPLIT(J224, CHAR(10)))))))"),"Step 1: Điều hướng đến trang thanh toán
Step 2: Kiểm tra kích thước, vị trí, màu chữ của text hiển thị số tiền tổng tiền phí vận chuyển")</f>
        <v>Step 1: Điều hướng đến trang thanh toán
Step 2: Kiểm tra kích thước, vị trí, màu chữ của text hiển thị số tiền tổng tiền phí vận chuyển</v>
      </c>
      <c r="L224" s="14"/>
      <c r="M224" s="31" t="s">
        <v>3115</v>
      </c>
      <c r="N224" s="38"/>
      <c r="O224" s="12"/>
      <c r="P224" s="38"/>
    </row>
    <row r="225">
      <c r="A225" s="37"/>
      <c r="B225" s="37"/>
      <c r="C225" s="37"/>
      <c r="D225" s="37"/>
      <c r="E225" s="37"/>
      <c r="F225" s="12" t="s">
        <v>3116</v>
      </c>
      <c r="G225" s="56"/>
      <c r="H225" s="30" t="s">
        <v>3117</v>
      </c>
      <c r="I225" s="30" t="s">
        <v>2998</v>
      </c>
      <c r="J225" s="30" t="s">
        <v>3118</v>
      </c>
      <c r="K225" s="65" t="str">
        <f>IFERROR(__xludf.DUMMYFUNCTION("IF(ISBLANK(J225), ""Input test step"", ARRAYFORMULA(TEXTJOIN(CHAR(10), TRUE, (""Step ""&amp; ROW(INDIRECT(""1:"" &amp; COUNTA(SPLIT(J225, CHAR(10))))) &amp; "": "" &amp; TRANSPOSE(SPLIT(J225, CHAR(10)))))))"),"Step 1: Điều hướng đến trang thanh toán
Step 2: Kiểm tra kích thước, vị trí của tiêu đề ""Giảm giá sản phẩm""")</f>
        <v>Step 1: Điều hướng đến trang thanh toán
Step 2: Kiểm tra kích thước, vị trí của tiêu đề "Giảm giá sản phẩm"</v>
      </c>
      <c r="L225" s="66"/>
      <c r="M225" s="30" t="s">
        <v>3119</v>
      </c>
      <c r="N225" s="38"/>
      <c r="O225" s="12"/>
      <c r="P225" s="38"/>
    </row>
    <row r="226">
      <c r="A226" s="37"/>
      <c r="B226" s="37"/>
      <c r="C226" s="37"/>
      <c r="D226" s="37"/>
      <c r="E226" s="37"/>
      <c r="F226" s="12" t="s">
        <v>3120</v>
      </c>
      <c r="G226" s="56"/>
      <c r="H226" s="30" t="s">
        <v>3121</v>
      </c>
      <c r="I226" s="30" t="s">
        <v>2998</v>
      </c>
      <c r="J226" s="30" t="s">
        <v>3122</v>
      </c>
      <c r="K226" s="65" t="str">
        <f>IFERROR(__xludf.DUMMYFUNCTION("IF(ISBLANK(J226), ""Input test step"", ARRAYFORMULA(TEXTJOIN(CHAR(10), TRUE, (""Step ""&amp; ROW(INDIRECT(""1:"" &amp; COUNTA(SPLIT(J226, CHAR(10))))) &amp; "": "" &amp; TRANSPOSE(SPLIT(J226, CHAR(10)))))))"),"Step 1: Điều hướng đến trang thanh toán
Step 2: Kiểm tra kích thước, vị trí, màu chữ của vùng hiển thị số tiền giảm giá sản phẩm")</f>
        <v>Step 1: Điều hướng đến trang thanh toán
Step 2: Kiểm tra kích thước, vị trí, màu chữ của vùng hiển thị số tiền giảm giá sản phẩm</v>
      </c>
      <c r="L226" s="66"/>
      <c r="M226" s="30" t="s">
        <v>3123</v>
      </c>
      <c r="N226" s="38"/>
      <c r="O226" s="12"/>
      <c r="P226" s="38"/>
    </row>
    <row r="227">
      <c r="A227" s="37"/>
      <c r="B227" s="37"/>
      <c r="C227" s="37"/>
      <c r="D227" s="37"/>
      <c r="E227" s="37"/>
      <c r="F227" s="12" t="s">
        <v>3124</v>
      </c>
      <c r="G227" s="56"/>
      <c r="H227" s="12" t="s">
        <v>3125</v>
      </c>
      <c r="I227" s="12" t="s">
        <v>2998</v>
      </c>
      <c r="J227" s="12" t="s">
        <v>3126</v>
      </c>
      <c r="K227" s="13" t="str">
        <f>IFERROR(__xludf.DUMMYFUNCTION("IF(ISBLANK(J227), ""Input test step"", ARRAYFORMULA(TEXTJOIN(CHAR(10), TRUE, (""Step ""&amp; ROW(INDIRECT(""1:"" &amp; COUNTA(SPLIT(J227, CHAR(10))))) &amp; "": "" &amp; TRANSPOSE(SPLIT(J227, CHAR(10)))))))"),"Step 1: Điều hướng đến trang thanh toán
Step 2: Kiểm tra kích thước, vị trí, màu chữ của tiêu đề ""Tổng giảm giá""")</f>
        <v>Step 1: Điều hướng đến trang thanh toán
Step 2: Kiểm tra kích thước, vị trí, màu chữ của tiêu đề "Tổng giảm giá"</v>
      </c>
      <c r="L227" s="14"/>
      <c r="M227" s="31" t="s">
        <v>3127</v>
      </c>
      <c r="N227" s="38"/>
      <c r="O227" s="12"/>
      <c r="P227" s="38"/>
    </row>
    <row r="228">
      <c r="A228" s="37"/>
      <c r="B228" s="37"/>
      <c r="C228" s="37"/>
      <c r="D228" s="37"/>
      <c r="E228" s="37"/>
      <c r="F228" s="12" t="s">
        <v>3128</v>
      </c>
      <c r="G228" s="56"/>
      <c r="H228" s="12" t="s">
        <v>3129</v>
      </c>
      <c r="I228" s="12" t="s">
        <v>2998</v>
      </c>
      <c r="J228" s="12" t="s">
        <v>3130</v>
      </c>
      <c r="K228" s="13" t="str">
        <f>IFERROR(__xludf.DUMMYFUNCTION("IF(ISBLANK(J228), ""Input test step"", ARRAYFORMULA(TEXTJOIN(CHAR(10), TRUE, (""Step ""&amp; ROW(INDIRECT(""1:"" &amp; COUNTA(SPLIT(J228, CHAR(10))))) &amp; "": "" &amp; TRANSPOSE(SPLIT(J228, CHAR(10)))))))"),"Step 1: Điều hướng đến trang thanh toán
Step 2: Kiểm tra kích thước, vị trí, màu chữ của text hiển thị số tiền tổng tiền giảm giá")</f>
        <v>Step 1: Điều hướng đến trang thanh toán
Step 2: Kiểm tra kích thước, vị trí, màu chữ của text hiển thị số tiền tổng tiền giảm giá</v>
      </c>
      <c r="L228" s="14"/>
      <c r="M228" s="31" t="s">
        <v>3131</v>
      </c>
      <c r="N228" s="38"/>
      <c r="O228" s="12"/>
      <c r="P228" s="38"/>
    </row>
    <row r="229">
      <c r="A229" s="37"/>
      <c r="B229" s="37"/>
      <c r="C229" s="37"/>
      <c r="D229" s="37"/>
      <c r="E229" s="37"/>
      <c r="F229" s="12" t="s">
        <v>3132</v>
      </c>
      <c r="G229" s="56"/>
      <c r="H229" s="12" t="s">
        <v>3133</v>
      </c>
      <c r="I229" s="12" t="s">
        <v>2998</v>
      </c>
      <c r="J229" s="12" t="s">
        <v>3134</v>
      </c>
      <c r="K229" s="13" t="str">
        <f>IFERROR(__xludf.DUMMYFUNCTION("IF(ISBLANK(J229), ""Input test step"", ARRAYFORMULA(TEXTJOIN(CHAR(10), TRUE, (""Step ""&amp; ROW(INDIRECT(""1:"" &amp; COUNTA(SPLIT(J229, CHAR(10))))) &amp; "": "" &amp; TRANSPOSE(SPLIT(J229, CHAR(10)))))))"),"Step 1: Điều hướng đến trang thanh toán
Step 2: Kiểm tra kích thước, vị trí,màu chữ của tiêu đề ""Tổng thanh toán""")</f>
        <v>Step 1: Điều hướng đến trang thanh toán
Step 2: Kiểm tra kích thước, vị trí,màu chữ của tiêu đề "Tổng thanh toán"</v>
      </c>
      <c r="L229" s="14"/>
      <c r="M229" s="31" t="s">
        <v>3135</v>
      </c>
      <c r="N229" s="38"/>
      <c r="O229" s="12"/>
      <c r="P229" s="38"/>
    </row>
    <row r="230">
      <c r="A230" s="37"/>
      <c r="B230" s="37"/>
      <c r="C230" s="37"/>
      <c r="D230" s="37"/>
      <c r="E230" s="37"/>
      <c r="F230" s="12" t="s">
        <v>3136</v>
      </c>
      <c r="G230" s="56"/>
      <c r="H230" s="12" t="s">
        <v>3137</v>
      </c>
      <c r="I230" s="12" t="s">
        <v>2998</v>
      </c>
      <c r="J230" s="12" t="s">
        <v>3138</v>
      </c>
      <c r="K230" s="13" t="str">
        <f>IFERROR(__xludf.DUMMYFUNCTION("IF(ISBLANK(J230), ""Input test step"", ARRAYFORMULA(TEXTJOIN(CHAR(10), TRUE, (""Step ""&amp; ROW(INDIRECT(""1:"" &amp; COUNTA(SPLIT(J230, CHAR(10))))) &amp; "": "" &amp; TRANSPOSE(SPLIT(J230, CHAR(10)))))))"),"Step 1: Điều hướng đến trang thanh toán
Step 2: Kiểm tra kích thước, vị trí, màu chữ của text hiển thị số tiền tổng thanh toán")</f>
        <v>Step 1: Điều hướng đến trang thanh toán
Step 2: Kiểm tra kích thước, vị trí, màu chữ của text hiển thị số tiền tổng thanh toán</v>
      </c>
      <c r="L230" s="14"/>
      <c r="M230" s="31" t="s">
        <v>3139</v>
      </c>
      <c r="N230" s="38"/>
      <c r="O230" s="12"/>
      <c r="P230" s="38"/>
    </row>
    <row r="231">
      <c r="A231" s="37"/>
      <c r="B231" s="37"/>
      <c r="C231" s="37"/>
      <c r="D231" s="37"/>
      <c r="E231" s="37"/>
      <c r="F231" s="12" t="s">
        <v>3140</v>
      </c>
      <c r="G231" s="56"/>
      <c r="H231" s="12" t="s">
        <v>3141</v>
      </c>
      <c r="I231" s="12" t="s">
        <v>2998</v>
      </c>
      <c r="J231" s="12" t="s">
        <v>3142</v>
      </c>
      <c r="K231" s="13" t="str">
        <f>IFERROR(__xludf.DUMMYFUNCTION("IF(ISBLANK(J231), ""Input test step"", ARRAYFORMULA(TEXTJOIN(CHAR(10), TRUE, (""Step ""&amp; ROW(INDIRECT(""1:"" &amp; COUNTA(SPLIT(J231, CHAR(10))))) &amp; "": "" &amp; TRANSPOSE(SPLIT(J231, CHAR(10)))))))"),"Step 1: Điều hướng đến trang thanh toán
Step 2: Kiểm tra kích thước, kích thước và khả năng giữ nguyên Foodter khi cuộn trang lên hoăc xuống")</f>
        <v>Step 1: Điều hướng đến trang thanh toán
Step 2: Kiểm tra kích thước, kích thước và khả năng giữ nguyên Foodter khi cuộn trang lên hoăc xuống</v>
      </c>
      <c r="L231" s="14"/>
      <c r="M231" s="31" t="s">
        <v>3143</v>
      </c>
      <c r="N231" s="38"/>
      <c r="O231" s="12"/>
      <c r="P231" s="38"/>
    </row>
    <row r="232">
      <c r="A232" s="37"/>
      <c r="B232" s="37"/>
      <c r="C232" s="37"/>
      <c r="D232" s="37"/>
      <c r="E232" s="37"/>
      <c r="F232" s="12" t="s">
        <v>3144</v>
      </c>
      <c r="G232" s="56"/>
      <c r="H232" s="12" t="s">
        <v>3145</v>
      </c>
      <c r="I232" s="12" t="s">
        <v>2998</v>
      </c>
      <c r="J232" s="12" t="s">
        <v>3146</v>
      </c>
      <c r="K232" s="13" t="str">
        <f>IFERROR(__xludf.DUMMYFUNCTION("IF(ISBLANK(J232), ""Input test step"", ARRAYFORMULA(TEXTJOIN(CHAR(10), TRUE, (""Step ""&amp; ROW(INDIRECT(""1:"" &amp; COUNTA(SPLIT(J232, CHAR(10))))) &amp; "": "" &amp; TRANSPOSE(SPLIT(J232, CHAR(10)))))))"),"Step 1: Điều hướng đến trang thanh toán
Step 2: Kiểm tra kích thước, vị trí, màu chữ của tiêu đề ""Tổng thanh toán"" ở foodter")</f>
        <v>Step 1: Điều hướng đến trang thanh toán
Step 2: Kiểm tra kích thước, vị trí, màu chữ của tiêu đề "Tổng thanh toán" ở foodter</v>
      </c>
      <c r="L232" s="14"/>
      <c r="M232" s="31" t="s">
        <v>3147</v>
      </c>
      <c r="N232" s="38"/>
      <c r="O232" s="12"/>
      <c r="P232" s="38"/>
    </row>
    <row r="233">
      <c r="A233" s="37"/>
      <c r="B233" s="37"/>
      <c r="C233" s="37"/>
      <c r="D233" s="37"/>
      <c r="E233" s="37"/>
      <c r="F233" s="12" t="s">
        <v>3148</v>
      </c>
      <c r="G233" s="56"/>
      <c r="H233" s="12" t="s">
        <v>3149</v>
      </c>
      <c r="I233" s="12" t="s">
        <v>2998</v>
      </c>
      <c r="J233" s="12" t="s">
        <v>3150</v>
      </c>
      <c r="K233" s="13" t="str">
        <f>IFERROR(__xludf.DUMMYFUNCTION("IF(ISBLANK(J233), ""Input test step"", ARRAYFORMULA(TEXTJOIN(CHAR(10), TRUE, (""Step ""&amp; ROW(INDIRECT(""1:"" &amp; COUNTA(SPLIT(J233, CHAR(10))))) &amp; "": "" &amp; TRANSPOSE(SPLIT(J233, CHAR(10)))))))"),"Step 1: Điều hướng đến trang thanh toán
Step 2: Kiểm tra kích thước, vị trí, màu chữ của text số tiền ở Foodter")</f>
        <v>Step 1: Điều hướng đến trang thanh toán
Step 2: Kiểm tra kích thước, vị trí, màu chữ của text số tiền ở Foodter</v>
      </c>
      <c r="L233" s="14"/>
      <c r="M233" s="12" t="s">
        <v>3151</v>
      </c>
      <c r="N233" s="38"/>
      <c r="O233" s="12"/>
      <c r="P233" s="38"/>
    </row>
    <row r="234">
      <c r="A234" s="37"/>
      <c r="B234" s="37"/>
      <c r="C234" s="37"/>
      <c r="D234" s="37"/>
      <c r="E234" s="37"/>
      <c r="F234" s="12" t="s">
        <v>3152</v>
      </c>
      <c r="G234" s="57"/>
      <c r="H234" s="12" t="s">
        <v>3153</v>
      </c>
      <c r="I234" s="12" t="s">
        <v>2998</v>
      </c>
      <c r="J234" s="12" t="s">
        <v>3154</v>
      </c>
      <c r="K234" s="13" t="str">
        <f>IFERROR(__xludf.DUMMYFUNCTION("IF(ISBLANK(J234), ""Input test step"", ARRAYFORMULA(TEXTJOIN(CHAR(10), TRUE, (""Step ""&amp; ROW(INDIRECT(""1:"" &amp; COUNTA(SPLIT(J234, CHAR(10))))) &amp; "": "" &amp; TRANSPOSE(SPLIT(J234, CHAR(10)))))))"),"Step 1: Điều hướng đến trang thanh toán
Step 2: Kiểm tra kích thước, vị trí, màu nền, màu viền  của button ""Đặt hàng""")</f>
        <v>Step 1: Điều hướng đến trang thanh toán
Step 2: Kiểm tra kích thước, vị trí, màu nền, màu viền  của button "Đặt hàng"</v>
      </c>
      <c r="L234" s="14"/>
      <c r="M234" s="12" t="s">
        <v>3155</v>
      </c>
      <c r="N234" s="38"/>
      <c r="O234" s="12"/>
      <c r="P234" s="38"/>
    </row>
    <row r="235">
      <c r="A235" s="37"/>
      <c r="B235" s="37"/>
      <c r="C235" s="37"/>
      <c r="D235" s="37"/>
      <c r="E235" s="37"/>
      <c r="F235" s="12" t="s">
        <v>3156</v>
      </c>
      <c r="G235" s="104" t="s">
        <v>1522</v>
      </c>
      <c r="H235" s="12" t="s">
        <v>3157</v>
      </c>
      <c r="I235" s="12" t="s">
        <v>3158</v>
      </c>
      <c r="J235" s="12" t="s">
        <v>3159</v>
      </c>
      <c r="K235" s="13" t="str">
        <f>IFERROR(__xludf.DUMMYFUNCTION("IF(ISBLANK(J235), ""Input test step"", ARRAYFORMULA(TEXTJOIN(CHAR(10), TRUE, (""Step ""&amp; ROW(INDIRECT(""1:"" &amp; COUNTA(SPLIT(J235, CHAR(10))))) &amp; "": "" &amp; TRANSPOSE(SPLIT(J235, CHAR(10)))))))"),"Step 1: Điều hướng đến trang lịch sử đơn hàng
Step 2: Nhấn vào mục đã giao
Step 3: Chọn vào đơn hàng gần nhất
Step 4: Xem địa chỉ giao hàng được áp dụng trong đơn hàng
Step 5: Nhấn ""Home"" dưới menu
Step 6: Chọn 1 mục sản phẩm
Step 7: Hệ thống chuyển đến"&amp;" trang giỏ hàng và tự động tick vào sản phẩm đã chọn
Step 8: Nhấn button ""Mua ngay""
Step 9: Hệ thống chuyển đến trang ""Thanh toán""
Step 10: Kiểm tra và xác nhận địa chỉ được áp dụng là địa chỉ được sử dụng gần nhất")</f>
        <v>Step 1: Điều hướng đến trang lịch sử đơn hàng
Step 2: Nhấn vào mục đã giao
Step 3: Chọn vào đơn hàng gần nhất
Step 4: Xem địa chỉ giao hàng được áp dụng trong đơn hàng
Step 5: Nhấn "Home" dưới menu
Step 6: Chọn 1 mục sản phẩm
Step 7: Hệ thống chuyển đến trang giỏ hàng và tự động tick vào sản phẩm đã chọn
Step 8: Nhấn button "Mua ngay"
Step 9: Hệ thống chuyển đến trang "Thanh toán"
Step 10: Kiểm tra và xác nhận địa chỉ được áp dụng là địa chỉ được sử dụng gần nhất</v>
      </c>
      <c r="L235" s="14"/>
      <c r="M235" s="12" t="s">
        <v>3160</v>
      </c>
      <c r="N235" s="38"/>
      <c r="O235" s="12"/>
      <c r="P235" s="38"/>
    </row>
    <row r="236">
      <c r="A236" s="37"/>
      <c r="B236" s="37"/>
      <c r="C236" s="37"/>
      <c r="D236" s="37"/>
      <c r="E236" s="37"/>
      <c r="F236" s="12" t="s">
        <v>3161</v>
      </c>
      <c r="G236" s="56"/>
      <c r="H236" s="12" t="s">
        <v>3162</v>
      </c>
      <c r="I236" s="12" t="s">
        <v>3163</v>
      </c>
      <c r="J236" s="12" t="s">
        <v>3164</v>
      </c>
      <c r="K236" s="13" t="str">
        <f>IFERROR(__xludf.DUMMYFUNCTION("IF(ISBLANK(J236), ""Input test step"", ARRAYFORMULA(TEXTJOIN(CHAR(10), TRUE, (""Step ""&amp; ROW(INDIRECT(""1:"" &amp; COUNTA(SPLIT(J236, CHAR(10))))) &amp; "": "" &amp; TRANSPOSE(SPLIT(J236, CHAR(10)))))))"),"Step 1: Điều hướng đến trang thanh toán
Step 2: Nhấn vào button ""Back""
Step 3: Kiểm tra hệ thống trở lại trang giỏ hàng")</f>
        <v>Step 1: Điều hướng đến trang thanh toán
Step 2: Nhấn vào button "Back"
Step 3: Kiểm tra hệ thống trở lại trang giỏ hàng</v>
      </c>
      <c r="L236" s="14"/>
      <c r="M236" s="12" t="s">
        <v>3165</v>
      </c>
      <c r="N236" s="38"/>
      <c r="O236" s="12"/>
      <c r="P236" s="38"/>
    </row>
    <row r="237">
      <c r="A237" s="37"/>
      <c r="B237" s="37"/>
      <c r="C237" s="37"/>
      <c r="D237" s="37"/>
      <c r="E237" s="37"/>
      <c r="F237" s="12" t="s">
        <v>3166</v>
      </c>
      <c r="G237" s="56"/>
      <c r="H237" s="12" t="s">
        <v>3167</v>
      </c>
      <c r="I237" s="12" t="s">
        <v>3158</v>
      </c>
      <c r="J237" s="12" t="s">
        <v>3168</v>
      </c>
      <c r="K237" s="13" t="str">
        <f>IFERROR(__xludf.DUMMYFUNCTION("IF(ISBLANK(J237), ""Input test step"", ARRAYFORMULA(TEXTJOIN(CHAR(10), TRUE, (""Step ""&amp; ROW(INDIRECT(""1:"" &amp; COUNTA(SPLIT(J237, CHAR(10))))) &amp; "": "" &amp; TRANSPOSE(SPLIT(J237, CHAR(10)))))))"),"Step 1: Điều hướng đến trang thanh toán
Step 2: Nhấn vào vùng hiển thị địa chỉ để chuyển sang trang ""Chọn địa chỉ giao hàng""
Step 3: Kiểm tra thứ tự địa chỉ mặc định được sắp xếp đầu tiên trong danh sách địa chỉ")</f>
        <v>Step 1: Điều hướng đến trang thanh toán
Step 2: Nhấn vào vùng hiển thị địa chỉ để chuyển sang trang "Chọn địa chỉ giao hàng"
Step 3: Kiểm tra thứ tự địa chỉ mặc định được sắp xếp đầu tiên trong danh sách địa chỉ</v>
      </c>
      <c r="L237" s="14"/>
      <c r="M237" s="12" t="s">
        <v>3169</v>
      </c>
      <c r="N237" s="38"/>
      <c r="O237" s="12"/>
      <c r="P237" s="38"/>
    </row>
    <row r="238">
      <c r="A238" s="37"/>
      <c r="B238" s="37"/>
      <c r="C238" s="37"/>
      <c r="D238" s="37"/>
      <c r="E238" s="37"/>
      <c r="F238" s="12" t="s">
        <v>3170</v>
      </c>
      <c r="G238" s="56"/>
      <c r="H238" s="12" t="s">
        <v>3171</v>
      </c>
      <c r="I238" s="12" t="s">
        <v>3158</v>
      </c>
      <c r="J238" s="12" t="s">
        <v>3172</v>
      </c>
      <c r="K238" s="13" t="str">
        <f>IFERROR(__xludf.DUMMYFUNCTION("IF(ISBLANK(J238), ""Input test step"", ARRAYFORMULA(TEXTJOIN(CHAR(10), TRUE, (""Step ""&amp; ROW(INDIRECT(""1:"" &amp; COUNTA(SPLIT(J238, CHAR(10))))) &amp; "": "" &amp; TRANSPOSE(SPLIT(J238, CHAR(10)))))))"),"Step 1: Điều hướng đến trang thanh toán
Step 2: Nhấn vào vùng hiển thị địa chỉ để chuyển sang trang ""Chọn địa chỉ giao hàng""
Step 3: Kiểm tra địa chỉ giao hàng có tồn tại trong danh sách địa chỉ giao hàng và đang là địa chỉ được chọn")</f>
        <v>Step 1: Điều hướng đến trang thanh toán
Step 2: Nhấn vào vùng hiển thị địa chỉ để chuyển sang trang "Chọn địa chỉ giao hàng"
Step 3: Kiểm tra địa chỉ giao hàng có tồn tại trong danh sách địa chỉ giao hàng và đang là địa chỉ được chọn</v>
      </c>
      <c r="L238" s="14"/>
      <c r="M238" s="12" t="s">
        <v>3173</v>
      </c>
      <c r="N238" s="38"/>
      <c r="O238" s="12"/>
      <c r="P238" s="38"/>
    </row>
    <row r="239">
      <c r="A239" s="37"/>
      <c r="B239" s="37"/>
      <c r="C239" s="37"/>
      <c r="D239" s="37"/>
      <c r="E239" s="37"/>
      <c r="F239" s="12" t="s">
        <v>3174</v>
      </c>
      <c r="G239" s="56"/>
      <c r="H239" s="30" t="s">
        <v>3175</v>
      </c>
      <c r="I239" s="30" t="s">
        <v>3158</v>
      </c>
      <c r="J239" s="30" t="s">
        <v>3176</v>
      </c>
      <c r="K239" s="65" t="str">
        <f>IFERROR(__xludf.DUMMYFUNCTION("IF(ISBLANK(J239), ""Input test step"", ARRAYFORMULA(TEXTJOIN(CHAR(10), TRUE, (""Step ""&amp; ROW(INDIRECT(""1:"" &amp; COUNTA(SPLIT(J239, CHAR(10))))) &amp; "": "" &amp; TRANSPOSE(SPLIT(J239, CHAR(10)))))))"),"Step 1: Điều hướng đến trang thanh toán
Step 2: Nhấn vào vùng hiển thị địa chỉ để chuyển sang trang ""Chọn địa chỉ giao hàng""
Step 3: Kiểm tra hệ thống hiển thị trang ""Chọn địa chỉ nhận hàng"" khi nhấn vào vùng chứa địa chỉ nhận hàng")</f>
        <v>Step 1: Điều hướng đến trang thanh toán
Step 2: Nhấn vào vùng hiển thị địa chỉ để chuyển sang trang "Chọn địa chỉ giao hàng"
Step 3: Kiểm tra hệ thống hiển thị trang "Chọn địa chỉ nhận hàng" khi nhấn vào vùng chứa địa chỉ nhận hàng</v>
      </c>
      <c r="L239" s="66"/>
      <c r="M239" s="30" t="s">
        <v>3177</v>
      </c>
      <c r="N239" s="38"/>
      <c r="O239" s="12"/>
      <c r="P239" s="38"/>
    </row>
    <row r="240">
      <c r="A240" s="37"/>
      <c r="B240" s="37"/>
      <c r="C240" s="37"/>
      <c r="D240" s="37"/>
      <c r="E240" s="37"/>
      <c r="F240" s="12" t="s">
        <v>3178</v>
      </c>
      <c r="G240" s="56"/>
      <c r="H240" s="12" t="s">
        <v>3179</v>
      </c>
      <c r="I240" s="12" t="s">
        <v>3158</v>
      </c>
      <c r="J240" s="12" t="s">
        <v>3180</v>
      </c>
      <c r="K240" s="13" t="str">
        <f>IFERROR(__xludf.DUMMYFUNCTION("IF(ISBLANK(J240), ""Input test step"", ARRAYFORMULA(TEXTJOIN(CHAR(10), TRUE, (""Step ""&amp; ROW(INDIRECT(""1:"" &amp; COUNTA(SPLIT(J240, CHAR(10))))) &amp; "": "" &amp; TRANSPOSE(SPLIT(J240, CHAR(10)))))))"),"Step 1: Điều hướng đến trang thanh toán
Step 2: Nhấn vào vùng hiển thị địa chỉ để chuyển sang trang ""Chọn địa chỉ giao hàng""
Step 3: Chọn 1 địa chỉ khác với địa chỉ hiện tại
Step 4: Nhấn button ""Back""
Step 5: Kiểm tra hệ thống hiển thị địa chỉ vừa chọ"&amp;"n trên vùng hiển thị địa chỉ giao hàng")</f>
        <v>Step 1: Điều hướng đến trang thanh toán
Step 2: Nhấn vào vùng hiển thị địa chỉ để chuyển sang trang "Chọn địa chỉ giao hàng"
Step 3: Chọn 1 địa chỉ khác với địa chỉ hiện tại
Step 4: Nhấn button "Back"
Step 5: Kiểm tra hệ thống hiển thị địa chỉ vừa chọn trên vùng hiển thị địa chỉ giao hàng</v>
      </c>
      <c r="L240" s="14"/>
      <c r="M240" s="12" t="s">
        <v>3181</v>
      </c>
      <c r="N240" s="38"/>
      <c r="O240" s="12"/>
      <c r="P240" s="38"/>
    </row>
    <row r="241">
      <c r="A241" s="37"/>
      <c r="B241" s="37"/>
      <c r="C241" s="37"/>
      <c r="D241" s="37"/>
      <c r="E241" s="37"/>
      <c r="F241" s="12" t="s">
        <v>3182</v>
      </c>
      <c r="G241" s="56"/>
      <c r="H241" s="12" t="s">
        <v>3183</v>
      </c>
      <c r="I241" s="12" t="s">
        <v>3158</v>
      </c>
      <c r="J241" s="12" t="s">
        <v>3184</v>
      </c>
      <c r="K241" s="13" t="str">
        <f>IFERROR(__xludf.DUMMYFUNCTION("IF(ISBLANK(J241), ""Input test step"", ARRAYFORMULA(TEXTJOIN(CHAR(10), TRUE, (""Step ""&amp; ROW(INDIRECT(""1:"" &amp; COUNTA(SPLIT(J241, CHAR(10))))) &amp; "": "" &amp; TRANSPOSE(SPLIT(J241, CHAR(10)))))))"),"Step 1: Điều hướng đến trang thanh toán
Step 2: Nhấn vào vùng hiển thị địa chỉ để chuyển sang trang ""Chọn địa chỉ giao hàng""
Step 3: Chọn địa chỉ bất kì
Step 4: Kiểm tra Hệ thống hiển thị trang ""Chỉnh sửa chi tiết địa chỉ""")</f>
        <v>Step 1: Điều hướng đến trang thanh toán
Step 2: Nhấn vào vùng hiển thị địa chỉ để chuyển sang trang "Chọn địa chỉ giao hàng"
Step 3: Chọn địa chỉ bất kì
Step 4: Kiểm tra Hệ thống hiển thị trang "Chỉnh sửa chi tiết địa chỉ"</v>
      </c>
      <c r="L241" s="14"/>
      <c r="M241" s="12" t="s">
        <v>3185</v>
      </c>
      <c r="N241" s="38"/>
      <c r="O241" s="12"/>
      <c r="P241" s="38"/>
    </row>
    <row r="242">
      <c r="A242" s="37"/>
      <c r="B242" s="37"/>
      <c r="C242" s="37"/>
      <c r="D242" s="37"/>
      <c r="E242" s="37"/>
      <c r="F242" s="12" t="s">
        <v>3186</v>
      </c>
      <c r="G242" s="57"/>
      <c r="H242" s="12" t="s">
        <v>3187</v>
      </c>
      <c r="I242" s="12" t="s">
        <v>3158</v>
      </c>
      <c r="J242" s="12" t="s">
        <v>3188</v>
      </c>
      <c r="K242" s="13" t="str">
        <f>IFERROR(__xludf.DUMMYFUNCTION("IF(ISBLANK(J242), ""Input test step"", ARRAYFORMULA(TEXTJOIN(CHAR(10), TRUE, (""Step ""&amp; ROW(INDIRECT(""1:"" &amp; COUNTA(SPLIT(J242, CHAR(10))))) &amp; "": "" &amp; TRANSPOSE(SPLIT(J242, CHAR(10)))))))"),"Step 1: Điều hướng đến trang thanh toán
Step 2: Nhấn vào vùng hiển thị địa chỉ để chuyển sang trang ""Chọn địa chỉ giao hàng""
Step 3: Chọn địa chỉ bất kì
Step 4: Kiểm tra hệ thống hiển thị chính xác thông tin địa chỉ đó")</f>
        <v>Step 1: Điều hướng đến trang thanh toán
Step 2: Nhấn vào vùng hiển thị địa chỉ để chuyển sang trang "Chọn địa chỉ giao hàng"
Step 3: Chọn địa chỉ bất kì
Step 4: Kiểm tra hệ thống hiển thị chính xác thông tin địa chỉ đó</v>
      </c>
      <c r="L242" s="14"/>
      <c r="M242" s="12" t="s">
        <v>3189</v>
      </c>
      <c r="N242" s="38"/>
      <c r="O242" s="12"/>
      <c r="P242" s="38"/>
    </row>
    <row r="243">
      <c r="A243" s="37"/>
      <c r="B243" s="37"/>
      <c r="C243" s="37"/>
      <c r="D243" s="37"/>
      <c r="E243" s="37"/>
      <c r="F243" s="12" t="s">
        <v>3190</v>
      </c>
      <c r="G243" s="55" t="s">
        <v>274</v>
      </c>
      <c r="H243" s="12" t="s">
        <v>3191</v>
      </c>
      <c r="I243" s="12" t="s">
        <v>3158</v>
      </c>
      <c r="J243" s="12" t="s">
        <v>3192</v>
      </c>
      <c r="K243" s="13" t="str">
        <f>IFERROR(__xludf.DUMMYFUNCTION("IF(ISBLANK(J243), ""Input test step"", ARRAYFORMULA(TEXTJOIN(CHAR(10), TRUE, (""Step ""&amp; ROW(INDIRECT(""1:"" &amp; COUNTA(SPLIT(J243, CHAR(10))))) &amp; "": "" &amp; TRANSPOSE(SPLIT(J243, CHAR(10)))))))"),"Step 1: Điều hướng đến trang thanh toán
Step 2: Đếm số sản phẩm có trong danh sách thanh toán
Step 3: Kiểm tra hiển thị đúng số lượng sản phẩm tương ứng với số sản phẩm có trong danh sach thanh toán")</f>
        <v>Step 1: Điều hướng đến trang thanh toán
Step 2: Đếm số sản phẩm có trong danh sách thanh toán
Step 3: Kiểm tra hiển thị đúng số lượng sản phẩm tương ứng với số sản phẩm có trong danh sach thanh toán</v>
      </c>
      <c r="L243" s="14"/>
      <c r="M243" s="12" t="s">
        <v>3193</v>
      </c>
      <c r="N243" s="38"/>
      <c r="O243" s="12"/>
      <c r="P243" s="38"/>
    </row>
    <row r="244">
      <c r="A244" s="37"/>
      <c r="B244" s="37"/>
      <c r="C244" s="37"/>
      <c r="D244" s="37"/>
      <c r="E244" s="37"/>
      <c r="F244" s="12" t="s">
        <v>3194</v>
      </c>
      <c r="G244" s="57"/>
      <c r="H244" s="12" t="s">
        <v>3195</v>
      </c>
      <c r="I244" s="12" t="s">
        <v>3158</v>
      </c>
      <c r="J244" s="12" t="s">
        <v>3196</v>
      </c>
      <c r="K244" s="13" t="str">
        <f>IFERROR(__xludf.DUMMYFUNCTION("IF(ISBLANK(J244), ""Input test step"", ARRAYFORMULA(TEXTJOIN(CHAR(10), TRUE, (""Step ""&amp; ROW(INDIRECT(""1:"" &amp; COUNTA(SPLIT(J244, CHAR(10))))) &amp; "": "" &amp; TRANSPOSE(SPLIT(J244, CHAR(10)))))))"),"Step 1: Điều hướng đến trang thanh toán
Step 2: Kiểm tra hiển thị đúng thông tin của mỗi sản phẩm trong danh sách thanh toán")</f>
        <v>Step 1: Điều hướng đến trang thanh toán
Step 2: Kiểm tra hiển thị đúng thông tin của mỗi sản phẩm trong danh sách thanh toán</v>
      </c>
      <c r="L244" s="14"/>
      <c r="M244" s="12" t="s">
        <v>3197</v>
      </c>
      <c r="N244" s="38"/>
      <c r="O244" s="12"/>
      <c r="P244" s="38"/>
    </row>
    <row r="245">
      <c r="A245" s="37"/>
      <c r="B245" s="37"/>
      <c r="C245" s="37"/>
      <c r="D245" s="37"/>
      <c r="E245" s="37"/>
      <c r="F245" s="12" t="s">
        <v>3198</v>
      </c>
      <c r="G245" s="55" t="s">
        <v>1569</v>
      </c>
      <c r="H245" s="12" t="s">
        <v>3199</v>
      </c>
      <c r="I245" s="12" t="s">
        <v>3158</v>
      </c>
      <c r="J245" s="12" t="s">
        <v>3200</v>
      </c>
      <c r="K245" s="13" t="str">
        <f>IFERROR(__xludf.DUMMYFUNCTION("IF(ISBLANK(J245), ""Input test step"", ARRAYFORMULA(TEXTJOIN(CHAR(10), TRUE, (""Step ""&amp; ROW(INDIRECT(""1:"" &amp; COUNTA(SPLIT(J245, CHAR(10))))) &amp; "": "" &amp; TRANSPOSE(SPLIT(J245, CHAR(10)))))))"),"Step 1: Điều hướng đến trang giỏ hàng
Step 2: Nhấn vào vùng chọn voucher
Step 3: Chọn voucher để áp dụng cho đơn hàng
Step 4: Nhấn button sử dụng
Step 5: Nhấn button ""Đặt hàng""
Step 6: Nhấn vào vùng hiển thị voucher
Step 7: Kiểm tra có đúng với voucher "&amp;"đã chọn trước đó
Step 8: Nhấn button close để đóng trang
Step 9: Kiểm tra hiển thị đúng số tiền áp dụng với voucher đã chọn trước đó")</f>
        <v>Step 1: Điều hướng đến trang giỏ hàng
Step 2: Nhấn vào vùng chọn voucher
Step 3: Chọn voucher để áp dụng cho đơn hàng
Step 4: Nhấn button sử dụng
Step 5: Nhấn button "Đặt hàng"
Step 6: Nhấn vào vùng hiển thị voucher
Step 7: Kiểm tra có đúng với voucher đã chọn trước đó
Step 8: Nhấn button close để đóng trang
Step 9: Kiểm tra hiển thị đúng số tiền áp dụng với voucher đã chọn trước đó</v>
      </c>
      <c r="L245" s="14"/>
      <c r="M245" s="12" t="s">
        <v>3201</v>
      </c>
      <c r="N245" s="38"/>
      <c r="O245" s="12"/>
      <c r="P245" s="38"/>
    </row>
    <row r="246">
      <c r="A246" s="37"/>
      <c r="B246" s="37"/>
      <c r="C246" s="37"/>
      <c r="D246" s="37"/>
      <c r="E246" s="37"/>
      <c r="F246" s="12" t="s">
        <v>3202</v>
      </c>
      <c r="G246" s="57"/>
      <c r="H246" s="12" t="s">
        <v>3203</v>
      </c>
      <c r="I246" s="12" t="s">
        <v>3158</v>
      </c>
      <c r="J246" s="12" t="s">
        <v>3204</v>
      </c>
      <c r="K246" s="13" t="str">
        <f>IFERROR(__xludf.DUMMYFUNCTION("IF(ISBLANK(J246), ""Input test step"", ARRAYFORMULA(TEXTJOIN(CHAR(10), TRUE, (""Step ""&amp; ROW(INDIRECT(""1:"" &amp; COUNTA(SPLIT(J246, CHAR(10))))) &amp; "": "" &amp; TRANSPOSE(SPLIT(J246, CHAR(10)))))))"),"Step 1: Điều hướng đến trang ""Thanh toán""
Step 2: Nhấn vào vùng hiển thị voucher
Step 3: Chọn voucher mã vận chuyển và voucher giảm giá phù hợp
Step 4: Nhấn button ""Sử dụng""
Step 5: Kiểm tra hiển thị đúng text giảm vận chuyển và giảm giá ")</f>
        <v>Step 1: Điều hướng đến trang "Thanh toán"
Step 2: Nhấn vào vùng hiển thị voucher
Step 3: Chọn voucher mã vận chuyển và voucher giảm giá phù hợp
Step 4: Nhấn button "Sử dụng"
Step 5: Kiểm tra hiển thị đúng text giảm vận chuyển và giảm giá </v>
      </c>
      <c r="L246" s="14"/>
      <c r="M246" s="12" t="s">
        <v>3205</v>
      </c>
      <c r="N246" s="38"/>
      <c r="O246" s="12"/>
      <c r="P246" s="38"/>
    </row>
    <row r="247">
      <c r="A247" s="37"/>
      <c r="B247" s="37"/>
      <c r="C247" s="37"/>
      <c r="D247" s="37"/>
      <c r="E247" s="37"/>
      <c r="F247" s="12" t="s">
        <v>3206</v>
      </c>
      <c r="G247" s="55" t="s">
        <v>1031</v>
      </c>
      <c r="H247" s="12" t="s">
        <v>3207</v>
      </c>
      <c r="I247" s="12" t="s">
        <v>3158</v>
      </c>
      <c r="J247" s="12" t="s">
        <v>3208</v>
      </c>
      <c r="K247" s="13" t="str">
        <f>IFERROR(__xludf.DUMMYFUNCTION("IF(ISBLANK(J247), ""Input test step"", ARRAYFORMULA(TEXTJOIN(CHAR(10), TRUE, (""Step ""&amp; ROW(INDIRECT(""1:"" &amp; COUNTA(SPLIT(J247, CHAR(10))))) &amp; "": "" &amp; TRANSPOSE(SPLIT(J247, CHAR(10)))))))"),"Step 1: Điều hướng đến trang ""Thanh toán""
Step 2: Kiểm tra hiển thị tổng tiền hàng tương ứng với tổng số tiền sản phẩm nhân với số lương của mỗi sản phẩm đó")</f>
        <v>Step 1: Điều hướng đến trang "Thanh toán"
Step 2: Kiểm tra hiển thị tổng tiền hàng tương ứng với tổng số tiền sản phẩm nhân với số lương của mỗi sản phẩm đó</v>
      </c>
      <c r="L247" s="14"/>
      <c r="M247" s="12" t="s">
        <v>3209</v>
      </c>
      <c r="N247" s="38"/>
      <c r="O247" s="12"/>
      <c r="P247" s="38"/>
    </row>
    <row r="248">
      <c r="A248" s="37"/>
      <c r="B248" s="37"/>
      <c r="C248" s="37"/>
      <c r="D248" s="37"/>
      <c r="E248" s="37"/>
      <c r="F248" s="12" t="s">
        <v>3210</v>
      </c>
      <c r="G248" s="56"/>
      <c r="H248" s="12" t="s">
        <v>3211</v>
      </c>
      <c r="I248" s="12" t="s">
        <v>3158</v>
      </c>
      <c r="J248" s="12" t="s">
        <v>3212</v>
      </c>
      <c r="K248" s="13" t="str">
        <f>IFERROR(__xludf.DUMMYFUNCTION("IF(ISBLANK(J248), ""Input test step"", ARRAYFORMULA(TEXTJOIN(CHAR(10), TRUE, (""Step ""&amp; ROW(INDIRECT(""1:"" &amp; COUNTA(SPLIT(J248, CHAR(10))))) &amp; "": "" &amp; TRANSPOSE(SPLIT(J248, CHAR(10)))))))"),"Step 1: Điều hướng đến trang ""Thanh toán""
Step 2: Kiểm tra và xác nhận tổng giảm giá bằng số tiền đơn hàng nhân với phần trăm giảm giá của mã giảm giá")</f>
        <v>Step 1: Điều hướng đến trang "Thanh toán"
Step 2: Kiểm tra và xác nhận tổng giảm giá bằng số tiền đơn hàng nhân với phần trăm giảm giá của mã giảm giá</v>
      </c>
      <c r="L248" s="14"/>
      <c r="M248" s="12" t="s">
        <v>3213</v>
      </c>
      <c r="N248" s="38"/>
      <c r="O248" s="12"/>
      <c r="P248" s="38"/>
    </row>
    <row r="249">
      <c r="A249" s="37"/>
      <c r="B249" s="37"/>
      <c r="C249" s="37"/>
      <c r="D249" s="37"/>
      <c r="E249" s="37"/>
      <c r="F249" s="12" t="s">
        <v>3214</v>
      </c>
      <c r="G249" s="56"/>
      <c r="H249" s="30" t="s">
        <v>3215</v>
      </c>
      <c r="I249" s="30" t="s">
        <v>3158</v>
      </c>
      <c r="J249" s="30" t="s">
        <v>3216</v>
      </c>
      <c r="K249" s="65" t="str">
        <f>IFERROR(__xludf.DUMMYFUNCTION("IF(ISBLANK(J249), ""Input test step"", ARRAYFORMULA(TEXTJOIN(CHAR(10), TRUE, (""Step ""&amp; ROW(INDIRECT(""1:"" &amp; COUNTA(SPLIT(J249, CHAR(10))))) &amp; "": "" &amp; TRANSPOSE(SPLIT(J249, CHAR(10)))))))"),"Step 1: Điều hướng đến trang ""Thanh toán""
Step 2: Kiểm tra tổng giảm giá bằng số tiền ưu đãi phí vận chuyển và mã giảm giá sản phẩm")</f>
        <v>Step 1: Điều hướng đến trang "Thanh toán"
Step 2: Kiểm tra tổng giảm giá bằng số tiền ưu đãi phí vận chuyển và mã giảm giá sản phẩm</v>
      </c>
      <c r="L249" s="66" t="s">
        <v>3217</v>
      </c>
      <c r="M249" s="30" t="s">
        <v>3218</v>
      </c>
      <c r="N249" s="38"/>
      <c r="O249" s="12"/>
      <c r="P249" s="38"/>
    </row>
    <row r="250">
      <c r="A250" s="37"/>
      <c r="B250" s="37"/>
      <c r="C250" s="37"/>
      <c r="D250" s="37"/>
      <c r="E250" s="37"/>
      <c r="F250" s="12" t="s">
        <v>3219</v>
      </c>
      <c r="G250" s="57"/>
      <c r="H250" s="12" t="s">
        <v>3220</v>
      </c>
      <c r="I250" s="12" t="s">
        <v>3158</v>
      </c>
      <c r="J250" s="12" t="s">
        <v>3221</v>
      </c>
      <c r="K250" s="13" t="str">
        <f>IFERROR(__xludf.DUMMYFUNCTION("IF(ISBLANK(J250), ""Input test step"", ARRAYFORMULA(TEXTJOIN(CHAR(10), TRUE, (""Step ""&amp; ROW(INDIRECT(""1:"" &amp; COUNTA(SPLIT(J250, CHAR(10))))) &amp; "": "" &amp; TRANSPOSE(SPLIT(J250, CHAR(10)))))))"),"Step 1: Điều hướng đến trang ""Thanh toán""
Step 2: Kiểm tra và xác nhận tổng giảm giá bằng với số tiền giảm khi áp dụng khi áp dụng mã giảm giá và mã vận chuyển")</f>
        <v>Step 1: Điều hướng đến trang "Thanh toán"
Step 2: Kiểm tra và xác nhận tổng giảm giá bằng với số tiền giảm khi áp dụng khi áp dụng mã giảm giá và mã vận chuyển</v>
      </c>
      <c r="L250" s="14"/>
      <c r="M250" s="12" t="s">
        <v>3222</v>
      </c>
      <c r="N250" s="38"/>
      <c r="O250" s="12"/>
      <c r="P250" s="38"/>
    </row>
    <row r="251">
      <c r="A251" s="37"/>
      <c r="B251" s="37"/>
      <c r="C251" s="37"/>
      <c r="D251" s="37"/>
      <c r="E251" s="37"/>
      <c r="F251" s="12" t="s">
        <v>3223</v>
      </c>
      <c r="G251" s="55" t="s">
        <v>1590</v>
      </c>
      <c r="H251" s="12" t="s">
        <v>3224</v>
      </c>
      <c r="I251" s="12" t="s">
        <v>3158</v>
      </c>
      <c r="J251" s="12" t="s">
        <v>3225</v>
      </c>
      <c r="K251" s="13" t="str">
        <f>IFERROR(__xludf.DUMMYFUNCTION("IF(ISBLANK(J251), ""Input test step"", ARRAYFORMULA(TEXTJOIN(CHAR(10), TRUE, (""Step ""&amp; ROW(INDIRECT(""1:"" &amp; COUNTA(SPLIT(J251, CHAR(10))))) &amp; "": "" &amp; TRANSPOSE(SPLIT(J251, CHAR(10)))))))"),"Step 1: Điều hướng đến trang ""Thanh toán""
Step 2: Nhấn button ""Đặt hàng""
Step 3: Kiểm tra và xác nhận hệ thống hiển thị thông báo ""Đặt hàng thành công"" khi nhấn vào button ""Đặt hàng""")</f>
        <v>Step 1: Điều hướng đến trang "Thanh toán"
Step 2: Nhấn button "Đặt hàng"
Step 3: Kiểm tra và xác nhận hệ thống hiển thị thông báo "Đặt hàng thành công" khi nhấn vào button "Đặt hàng"</v>
      </c>
      <c r="L251" s="14"/>
      <c r="M251" s="12" t="s">
        <v>3226</v>
      </c>
      <c r="N251" s="38"/>
      <c r="O251" s="12"/>
      <c r="P251" s="38"/>
    </row>
    <row r="252">
      <c r="A252" s="37"/>
      <c r="B252" s="37"/>
      <c r="C252" s="37"/>
      <c r="D252" s="37"/>
      <c r="E252" s="37"/>
      <c r="F252" s="12" t="s">
        <v>3227</v>
      </c>
      <c r="G252" s="56"/>
      <c r="H252" s="12" t="s">
        <v>3228</v>
      </c>
      <c r="I252" s="12" t="s">
        <v>3158</v>
      </c>
      <c r="J252" s="12" t="s">
        <v>3229</v>
      </c>
      <c r="K252" s="13" t="str">
        <f>IFERROR(__xludf.DUMMYFUNCTION("IF(ISBLANK(J252), ""Input test step"", ARRAYFORMULA(TEXTJOIN(CHAR(10), TRUE, (""Step ""&amp; ROW(INDIRECT(""1:"" &amp; COUNTA(SPLIT(J252, CHAR(10))))) &amp; "": "" &amp; TRANSPOSE(SPLIT(J252, CHAR(10)))))))"),"Step 1: Điều hướng đến trang ""Thanh toán""
Step 2: Nhấn button ""Đặt hàng""
Step 3: Kiểm tra và xác nhận hệ thống hiển thị loading... khi nhấn vào button ""Đặt hàng""")</f>
        <v>Step 1: Điều hướng đến trang "Thanh toán"
Step 2: Nhấn button "Đặt hàng"
Step 3: Kiểm tra và xác nhận hệ thống hiển thị loading... khi nhấn vào button "Đặt hàng"</v>
      </c>
      <c r="L252" s="14"/>
      <c r="M252" s="12" t="s">
        <v>3230</v>
      </c>
      <c r="N252" s="38"/>
      <c r="O252" s="12"/>
      <c r="P252" s="38"/>
    </row>
    <row r="253">
      <c r="A253" s="37"/>
      <c r="B253" s="37"/>
      <c r="C253" s="37"/>
      <c r="D253" s="37"/>
      <c r="E253" s="37"/>
      <c r="F253" s="12" t="s">
        <v>3231</v>
      </c>
      <c r="G253" s="57"/>
      <c r="H253" s="12" t="s">
        <v>3232</v>
      </c>
      <c r="I253" s="12" t="s">
        <v>3158</v>
      </c>
      <c r="J253" s="12" t="s">
        <v>3233</v>
      </c>
      <c r="K253" s="13" t="str">
        <f>IFERROR(__xludf.DUMMYFUNCTION("IF(ISBLANK(J253), ""Input test step"", ARRAYFORMULA(TEXTJOIN(CHAR(10), TRUE, (""Step ""&amp; ROW(INDIRECT(""1:"" &amp; COUNTA(SPLIT(J253, CHAR(10))))) &amp; "": "" &amp; TRANSPOSE(SPLIT(J253, CHAR(10)))))))"),"Step 1: Điều hướng đến trang ""Thanh toán""
Step 2: Nhấn button ""Đặt hàng""
Step 3: Kiểm tra và xác nhận hệ thống hiển thị thông báo yêu cầu người dùng cung cấp địa chỉ nếu chưa cung cấp địa chỉ nào")</f>
        <v>Step 1: Điều hướng đến trang "Thanh toán"
Step 2: Nhấn button "Đặt hàng"
Step 3: Kiểm tra và xác nhận hệ thống hiển thị thông báo yêu cầu người dùng cung cấp địa chỉ nếu chưa cung cấp địa chỉ nào</v>
      </c>
      <c r="L253" s="14"/>
      <c r="M253" s="12" t="s">
        <v>3234</v>
      </c>
      <c r="N253" s="38"/>
      <c r="O253" s="12"/>
      <c r="P253" s="38"/>
    </row>
    <row r="254">
      <c r="A254" s="37"/>
      <c r="B254" s="37"/>
      <c r="C254" s="37"/>
      <c r="D254" s="37"/>
      <c r="E254" s="37"/>
      <c r="F254" s="12" t="s">
        <v>3235</v>
      </c>
      <c r="G254" s="105" t="s">
        <v>3236</v>
      </c>
      <c r="H254" s="45" t="s">
        <v>3237</v>
      </c>
      <c r="I254" s="12"/>
      <c r="J254" s="12" t="s">
        <v>3238</v>
      </c>
      <c r="K254" s="13" t="str">
        <f>IFERROR(__xludf.DUMMYFUNCTION("IF(ISBLANK(J254), ""Input test step"", ARRAYFORMULA(TEXTJOIN(CHAR(10), TRUE, (""Step ""&amp; ROW(INDIRECT(""1:"" &amp; COUNTA(SPLIT(J254, CHAR(10))))) &amp; "": "" &amp; TRANSPOSE(SPLIT(J254, CHAR(10)))))))"),"Step 1: Đăng nhập vào tài khoản
Step 2: Chọn tab Cá nhân 
Step 3: Chọn Đơn hàng --&gt; xem tất cả 
Step 4: Chuyển từ tab Tất cả  hoặc Chờ xác nhận hoặc Đang xử lý hoặc Đang giao  hoặc Đã giao hoặc Đã huỷ")</f>
        <v>Step 1: Đăng nhập vào tài khoản
Step 2: Chọn tab Cá nhân 
Step 3: Chọn Đơn hàng --&gt; xem tất cả 
Step 4: Chuyển từ tab Tất cả  hoặc Chờ xác nhận hoặc Đang xử lý hoặc Đang giao  hoặc Đã giao hoặc Đã huỷ</v>
      </c>
      <c r="L254" s="38"/>
      <c r="M254" s="22" t="s">
        <v>1696</v>
      </c>
      <c r="N254" s="38"/>
      <c r="O254" s="12" t="s">
        <v>1</v>
      </c>
      <c r="P254" s="38"/>
    </row>
    <row r="255">
      <c r="A255" s="37"/>
      <c r="B255" s="37"/>
      <c r="C255" s="37"/>
      <c r="D255" s="37"/>
      <c r="E255" s="37"/>
      <c r="F255" s="12" t="s">
        <v>3239</v>
      </c>
      <c r="G255" s="56"/>
      <c r="H255" s="45" t="s">
        <v>3240</v>
      </c>
      <c r="I255" s="12" t="s">
        <v>2333</v>
      </c>
      <c r="J255" s="12" t="s">
        <v>3241</v>
      </c>
      <c r="K255" s="13" t="str">
        <f>IFERROR(__xludf.DUMMYFUNCTION("IF(ISBLANK(J255), ""Input test step"", ARRAYFORMULA(TEXTJOIN(CHAR(10), TRUE, (""Step ""&amp; ROW(INDIRECT(""1:"" &amp; COUNTA(SPLIT(J255, CHAR(10))))) &amp; "": "" &amp; TRANSPOSE(SPLIT(J255, CHAR(10)))))))"),"Step 1: Đăng nhập vào tài khoản
Step 2: Chọn tab Cá nhân 
Step 3: Chọn Đơn hàng --&gt; xem tất cả 
Step 4: Chọn tab "" Tất cả ""
Step 5: Kiểm tra danh sách đơn hàng")</f>
        <v>Step 1: Đăng nhập vào tài khoản
Step 2: Chọn tab Cá nhân 
Step 3: Chọn Đơn hàng --&gt; xem tất cả 
Step 4: Chọn tab " Tất cả "
Step 5: Kiểm tra danh sách đơn hàng</v>
      </c>
      <c r="L255" s="38"/>
      <c r="M255" s="73" t="s">
        <v>3242</v>
      </c>
      <c r="N255" s="38"/>
      <c r="O255" s="12" t="s">
        <v>1</v>
      </c>
      <c r="P255" s="38"/>
    </row>
    <row r="256">
      <c r="A256" s="37"/>
      <c r="B256" s="37"/>
      <c r="C256" s="37"/>
      <c r="D256" s="37"/>
      <c r="E256" s="37"/>
      <c r="F256" s="12" t="s">
        <v>3243</v>
      </c>
      <c r="G256" s="56"/>
      <c r="H256" s="45" t="s">
        <v>3244</v>
      </c>
      <c r="I256" s="12" t="s">
        <v>2333</v>
      </c>
      <c r="J256" s="12" t="s">
        <v>3245</v>
      </c>
      <c r="K256" s="13" t="str">
        <f>IFERROR(__xludf.DUMMYFUNCTION("IF(ISBLANK(J256), ""Input test step"", ARRAYFORMULA(TEXTJOIN(CHAR(10), TRUE, (""Step ""&amp; ROW(INDIRECT(""1:"" &amp; COUNTA(SPLIT(J256, CHAR(10))))) &amp; "": "" &amp; TRANSPOSE(SPLIT(J256, CHAR(10)))))))"),"Step 1: Đăng nhập vào tài khoản
Step 2: Chọn tab Cá nhân 
Step 3: Chọn Đơn hàng --&gt; xem tất cả 
Step 4: Chọn tab "" Tất cả ""
Step 5: Kiểm tra thanh load page khi load lại danh sách đơn hàng")</f>
        <v>Step 1: Đăng nhập vào tài khoản
Step 2: Chọn tab Cá nhân 
Step 3: Chọn Đơn hàng --&gt; xem tất cả 
Step 4: Chọn tab " Tất cả "
Step 5: Kiểm tra thanh load page khi load lại danh sách đơn hàng</v>
      </c>
      <c r="L256" s="38"/>
      <c r="M256" s="45" t="s">
        <v>3246</v>
      </c>
      <c r="N256" s="38"/>
      <c r="O256" s="12"/>
      <c r="P256" s="38"/>
    </row>
    <row r="257">
      <c r="A257" s="37"/>
      <c r="B257" s="37"/>
      <c r="C257" s="37"/>
      <c r="D257" s="37"/>
      <c r="E257" s="37"/>
      <c r="F257" s="12" t="s">
        <v>3247</v>
      </c>
      <c r="G257" s="57"/>
      <c r="H257" s="73" t="s">
        <v>3248</v>
      </c>
      <c r="I257" s="12" t="s">
        <v>3249</v>
      </c>
      <c r="J257" s="12" t="s">
        <v>3250</v>
      </c>
      <c r="K257" s="13" t="str">
        <f>IFERROR(__xludf.DUMMYFUNCTION("IF(ISBLANK(J257), ""Input test step"", ARRAYFORMULA(TEXTJOIN(CHAR(10), TRUE, (""Step ""&amp; ROW(INDIRECT(""1:"" &amp; COUNTA(SPLIT(J257, CHAR(10))))) &amp; "": "" &amp; TRANSPOSE(SPLIT(J257, CHAR(10)))))))"),"Step 1: Đăng nhập vào tài khoản
Step 2: Chọn tab Cá nhân 
Step 3: Chọn Đơn hàng --&gt; xem tất cả 
Step 4: Chọn tab "" Tất cả ""
Step 5: Kiểm tra hiển thị không có danh sách đơn hàng")</f>
        <v>Step 1: Đăng nhập vào tài khoản
Step 2: Chọn tab Cá nhân 
Step 3: Chọn Đơn hàng --&gt; xem tất cả 
Step 4: Chọn tab " Tất cả "
Step 5: Kiểm tra hiển thị không có danh sách đơn hàng</v>
      </c>
      <c r="L257" s="38"/>
      <c r="M257" s="73" t="s">
        <v>3251</v>
      </c>
      <c r="N257" s="38"/>
      <c r="O257" s="12"/>
      <c r="P257" s="38"/>
    </row>
    <row r="258">
      <c r="A258" s="37"/>
      <c r="B258" s="37"/>
      <c r="C258" s="37"/>
      <c r="D258" s="37"/>
      <c r="E258" s="37"/>
      <c r="F258" s="12" t="s">
        <v>3252</v>
      </c>
      <c r="G258" s="105" t="s">
        <v>3253</v>
      </c>
      <c r="H258" s="45" t="s">
        <v>3240</v>
      </c>
      <c r="I258" s="12" t="s">
        <v>2333</v>
      </c>
      <c r="J258" s="12" t="s">
        <v>3254</v>
      </c>
      <c r="K258" s="13" t="str">
        <f>IFERROR(__xludf.DUMMYFUNCTION("IF(ISBLANK(J258), ""Input test step"", ARRAYFORMULA(TEXTJOIN(CHAR(10), TRUE, (""Step ""&amp; ROW(INDIRECT(""1:"" &amp; COUNTA(SPLIT(J258, CHAR(10))))) &amp; "": "" &amp; TRANSPOSE(SPLIT(J258, CHAR(10)))))))"),"Step 1: Đăng nhập vào tài khoản
Step 2: Chọn tab Cá nhân 
Step 3: Chọn Đơn hàng --&gt; xem tất cả 
Step 4: Chọn tab "" Chờ xác nhận ""
Step 5: Kiểm tra danh sách đơn hàng")</f>
        <v>Step 1: Đăng nhập vào tài khoản
Step 2: Chọn tab Cá nhân 
Step 3: Chọn Đơn hàng --&gt; xem tất cả 
Step 4: Chọn tab " Chờ xác nhận "
Step 5: Kiểm tra danh sách đơn hàng</v>
      </c>
      <c r="L258" s="38"/>
      <c r="M258" s="73" t="s">
        <v>3242</v>
      </c>
      <c r="N258" s="38"/>
      <c r="O258" s="12" t="s">
        <v>1</v>
      </c>
      <c r="P258" s="38"/>
    </row>
    <row r="259">
      <c r="A259" s="37"/>
      <c r="B259" s="37"/>
      <c r="C259" s="37"/>
      <c r="D259" s="37"/>
      <c r="E259" s="37"/>
      <c r="F259" s="12" t="s">
        <v>3255</v>
      </c>
      <c r="G259" s="56"/>
      <c r="H259" s="45" t="s">
        <v>3244</v>
      </c>
      <c r="I259" s="12" t="s">
        <v>2333</v>
      </c>
      <c r="J259" s="12" t="s">
        <v>3256</v>
      </c>
      <c r="K259" s="13" t="str">
        <f>IFERROR(__xludf.DUMMYFUNCTION("IF(ISBLANK(J259), ""Input test step"", ARRAYFORMULA(TEXTJOIN(CHAR(10), TRUE, (""Step ""&amp; ROW(INDIRECT(""1:"" &amp; COUNTA(SPLIT(J259, CHAR(10))))) &amp; "": "" &amp; TRANSPOSE(SPLIT(J259, CHAR(10)))))))"),"Step 1: Đăng nhập vào tài khoản
Step 2: Chọn tab Cá nhân 
Step 3: Chọn Đơn hàng --&gt; xem tất cả 
Step 4: Chọn tab "" Chờ xác nhận  ""
Step 5: Kiểm tra thanh load page khi load lại danh sách đơn hàng")</f>
        <v>Step 1: Đăng nhập vào tài khoản
Step 2: Chọn tab Cá nhân 
Step 3: Chọn Đơn hàng --&gt; xem tất cả 
Step 4: Chọn tab " Chờ xác nhận  "
Step 5: Kiểm tra thanh load page khi load lại danh sách đơn hàng</v>
      </c>
      <c r="L259" s="38"/>
      <c r="M259" s="45" t="s">
        <v>3246</v>
      </c>
      <c r="N259" s="38"/>
      <c r="O259" s="12"/>
      <c r="P259" s="38"/>
    </row>
    <row r="260">
      <c r="A260" s="37"/>
      <c r="B260" s="37"/>
      <c r="C260" s="37"/>
      <c r="D260" s="37"/>
      <c r="E260" s="37"/>
      <c r="F260" s="12" t="s">
        <v>3257</v>
      </c>
      <c r="G260" s="57"/>
      <c r="H260" s="73" t="s">
        <v>3248</v>
      </c>
      <c r="I260" s="12" t="s">
        <v>3249</v>
      </c>
      <c r="J260" s="12" t="s">
        <v>3258</v>
      </c>
      <c r="K260" s="13" t="str">
        <f>IFERROR(__xludf.DUMMYFUNCTION("IF(ISBLANK(J260), ""Input test step"", ARRAYFORMULA(TEXTJOIN(CHAR(10), TRUE, (""Step ""&amp; ROW(INDIRECT(""1:"" &amp; COUNTA(SPLIT(J260, CHAR(10))))) &amp; "": "" &amp; TRANSPOSE(SPLIT(J260, CHAR(10)))))))"),"Step 1: Đăng nhập vào tài khoản
Step 2: Chọn tab Cá nhân 
Step 3: Chọn Đơn hàng --&gt; xem tất cả 
Step 4: Chọn tab "" Chờ xác nhận  ""
Step 5: Kiểm tra hiển thị không có danh sách đơn hàng")</f>
        <v>Step 1: Đăng nhập vào tài khoản
Step 2: Chọn tab Cá nhân 
Step 3: Chọn Đơn hàng --&gt; xem tất cả 
Step 4: Chọn tab " Chờ xác nhận  "
Step 5: Kiểm tra hiển thị không có danh sách đơn hàng</v>
      </c>
      <c r="L260" s="38"/>
      <c r="M260" s="73" t="s">
        <v>3251</v>
      </c>
      <c r="N260" s="38"/>
      <c r="O260" s="12"/>
      <c r="P260" s="38"/>
    </row>
    <row r="261">
      <c r="A261" s="37"/>
      <c r="B261" s="37"/>
      <c r="C261" s="37"/>
      <c r="D261" s="37"/>
      <c r="E261" s="37"/>
      <c r="F261" s="12" t="s">
        <v>3259</v>
      </c>
      <c r="G261" s="105" t="s">
        <v>3260</v>
      </c>
      <c r="H261" s="45" t="s">
        <v>3240</v>
      </c>
      <c r="I261" s="12" t="s">
        <v>2333</v>
      </c>
      <c r="J261" s="12" t="s">
        <v>3261</v>
      </c>
      <c r="K261" s="13" t="str">
        <f>IFERROR(__xludf.DUMMYFUNCTION("IF(ISBLANK(J261), ""Input test step"", ARRAYFORMULA(TEXTJOIN(CHAR(10), TRUE, (""Step ""&amp; ROW(INDIRECT(""1:"" &amp; COUNTA(SPLIT(J261, CHAR(10))))) &amp; "": "" &amp; TRANSPOSE(SPLIT(J261, CHAR(10)))))))"),"Step 1: Đăng nhập vào tài khoản
Step 2: Chọn tab Cá nhân 
Step 3: Chọn Đơn hàng --&gt; xem tất cả 
Step 4: Chọn tab ""  Đang xử lý ""
Step 5: Kiểm tra danh sách đơn hàng")</f>
        <v>Step 1: Đăng nhập vào tài khoản
Step 2: Chọn tab Cá nhân 
Step 3: Chọn Đơn hàng --&gt; xem tất cả 
Step 4: Chọn tab "  Đang xử lý "
Step 5: Kiểm tra danh sách đơn hàng</v>
      </c>
      <c r="L261" s="38"/>
      <c r="M261" s="73" t="s">
        <v>3242</v>
      </c>
      <c r="N261" s="38"/>
      <c r="O261" s="12" t="s">
        <v>1</v>
      </c>
      <c r="P261" s="38"/>
    </row>
    <row r="262">
      <c r="A262" s="37"/>
      <c r="B262" s="37"/>
      <c r="C262" s="37"/>
      <c r="D262" s="37"/>
      <c r="E262" s="37"/>
      <c r="F262" s="12" t="s">
        <v>3262</v>
      </c>
      <c r="G262" s="56"/>
      <c r="H262" s="45" t="s">
        <v>3244</v>
      </c>
      <c r="I262" s="12" t="s">
        <v>2333</v>
      </c>
      <c r="J262" s="12" t="s">
        <v>3263</v>
      </c>
      <c r="K262" s="13" t="str">
        <f>IFERROR(__xludf.DUMMYFUNCTION("IF(ISBLANK(J262), ""Input test step"", ARRAYFORMULA(TEXTJOIN(CHAR(10), TRUE, (""Step ""&amp; ROW(INDIRECT(""1:"" &amp; COUNTA(SPLIT(J262, CHAR(10))))) &amp; "": "" &amp; TRANSPOSE(SPLIT(J262, CHAR(10)))))))"),"Step 1: Đăng nhập vào tài khoản
Step 2: Chọn tab Cá nhân 
Step 3: Chọn Đơn hàng --&gt; xem tất cả 
Step 4: Chọn tab ""  Đang xử lý  ""
Step 5: Kiểm tra thanh load page khi load lại danh sách đơn hàng")</f>
        <v>Step 1: Đăng nhập vào tài khoản
Step 2: Chọn tab Cá nhân 
Step 3: Chọn Đơn hàng --&gt; xem tất cả 
Step 4: Chọn tab "  Đang xử lý  "
Step 5: Kiểm tra thanh load page khi load lại danh sách đơn hàng</v>
      </c>
      <c r="L262" s="38"/>
      <c r="M262" s="45" t="s">
        <v>3246</v>
      </c>
      <c r="N262" s="38"/>
      <c r="O262" s="12"/>
      <c r="P262" s="38"/>
    </row>
    <row r="263">
      <c r="A263" s="37"/>
      <c r="B263" s="37"/>
      <c r="C263" s="37"/>
      <c r="D263" s="37"/>
      <c r="E263" s="37"/>
      <c r="F263" s="12" t="s">
        <v>3264</v>
      </c>
      <c r="G263" s="57"/>
      <c r="H263" s="73" t="s">
        <v>3248</v>
      </c>
      <c r="I263" s="12" t="s">
        <v>3249</v>
      </c>
      <c r="J263" s="12" t="s">
        <v>3265</v>
      </c>
      <c r="K263" s="13" t="str">
        <f>IFERROR(__xludf.DUMMYFUNCTION("IF(ISBLANK(J263), ""Input test step"", ARRAYFORMULA(TEXTJOIN(CHAR(10), TRUE, (""Step ""&amp; ROW(INDIRECT(""1:"" &amp; COUNTA(SPLIT(J263, CHAR(10))))) &amp; "": "" &amp; TRANSPOSE(SPLIT(J263, CHAR(10)))))))"),"Step 1: Đăng nhập vào tài khoản
Step 2: Chọn tab Cá nhân 
Step 3: Chọn Đơn hàng --&gt; xem tất cả 
Step 4: Chọn tab ""  Đang xử lý  ""
Step 5: Kiểm tra hiển thị không có danh sách đơn hàng")</f>
        <v>Step 1: Đăng nhập vào tài khoản
Step 2: Chọn tab Cá nhân 
Step 3: Chọn Đơn hàng --&gt; xem tất cả 
Step 4: Chọn tab "  Đang xử lý  "
Step 5: Kiểm tra hiển thị không có danh sách đơn hàng</v>
      </c>
      <c r="L263" s="38"/>
      <c r="M263" s="73" t="s">
        <v>3251</v>
      </c>
      <c r="N263" s="38"/>
      <c r="O263" s="12"/>
      <c r="P263" s="38"/>
    </row>
    <row r="264">
      <c r="A264" s="37"/>
      <c r="B264" s="37"/>
      <c r="C264" s="37"/>
      <c r="D264" s="37"/>
      <c r="E264" s="37"/>
      <c r="F264" s="12" t="s">
        <v>3266</v>
      </c>
      <c r="G264" s="105" t="s">
        <v>3267</v>
      </c>
      <c r="H264" s="45" t="s">
        <v>3240</v>
      </c>
      <c r="I264" s="12" t="s">
        <v>2333</v>
      </c>
      <c r="J264" s="12" t="s">
        <v>3268</v>
      </c>
      <c r="K264" s="13" t="str">
        <f>IFERROR(__xludf.DUMMYFUNCTION("IF(ISBLANK(J264), ""Input test step"", ARRAYFORMULA(TEXTJOIN(CHAR(10), TRUE, (""Step ""&amp; ROW(INDIRECT(""1:"" &amp; COUNTA(SPLIT(J264, CHAR(10))))) &amp; "": "" &amp; TRANSPOSE(SPLIT(J264, CHAR(10)))))))"),"Step 1: Đăng nhập vào tài khoản
Step 2: Chọn tab Cá nhân 
Step 3: Chọn Đơn hàng --&gt; xem tất cả 
Step 4: Chọn tab ""  Đang giao ""
Step 5: Kiểm tra danh sách đơn hàng")</f>
        <v>Step 1: Đăng nhập vào tài khoản
Step 2: Chọn tab Cá nhân 
Step 3: Chọn Đơn hàng --&gt; xem tất cả 
Step 4: Chọn tab "  Đang giao "
Step 5: Kiểm tra danh sách đơn hàng</v>
      </c>
      <c r="L264" s="38"/>
      <c r="M264" s="73" t="s">
        <v>3242</v>
      </c>
      <c r="N264" s="38"/>
      <c r="O264" s="12" t="s">
        <v>1</v>
      </c>
      <c r="P264" s="38"/>
    </row>
    <row r="265">
      <c r="A265" s="37"/>
      <c r="B265" s="37"/>
      <c r="C265" s="37"/>
      <c r="D265" s="37"/>
      <c r="E265" s="37"/>
      <c r="F265" s="12" t="s">
        <v>3269</v>
      </c>
      <c r="G265" s="56"/>
      <c r="H265" s="45" t="s">
        <v>3244</v>
      </c>
      <c r="I265" s="12" t="s">
        <v>2333</v>
      </c>
      <c r="J265" s="12" t="s">
        <v>3270</v>
      </c>
      <c r="K265" s="13" t="str">
        <f>IFERROR(__xludf.DUMMYFUNCTION("IF(ISBLANK(J265), ""Input test step"", ARRAYFORMULA(TEXTJOIN(CHAR(10), TRUE, (""Step ""&amp; ROW(INDIRECT(""1:"" &amp; COUNTA(SPLIT(J265, CHAR(10))))) &amp; "": "" &amp; TRANSPOSE(SPLIT(J265, CHAR(10)))))))"),"Step 1: Đăng nhập vào tài khoản
Step 2: Chọn tab Cá nhân 
Step 3: Chọn Đơn hàng --&gt; xem tất cả 
Step 4: Chọn tab ""  Đang giao  ""
Step 5: Kiểm tra thanh load page khi load lại danh sách đơn hàng")</f>
        <v>Step 1: Đăng nhập vào tài khoản
Step 2: Chọn tab Cá nhân 
Step 3: Chọn Đơn hàng --&gt; xem tất cả 
Step 4: Chọn tab "  Đang giao  "
Step 5: Kiểm tra thanh load page khi load lại danh sách đơn hàng</v>
      </c>
      <c r="L265" s="38"/>
      <c r="M265" s="45" t="s">
        <v>3246</v>
      </c>
      <c r="N265" s="38"/>
      <c r="O265" s="12"/>
      <c r="P265" s="38"/>
    </row>
    <row r="266">
      <c r="A266" s="37"/>
      <c r="B266" s="37"/>
      <c r="C266" s="37"/>
      <c r="D266" s="37"/>
      <c r="E266" s="37"/>
      <c r="F266" s="12" t="s">
        <v>3271</v>
      </c>
      <c r="G266" s="57"/>
      <c r="H266" s="73" t="s">
        <v>3248</v>
      </c>
      <c r="I266" s="12" t="s">
        <v>3249</v>
      </c>
      <c r="J266" s="12" t="s">
        <v>3272</v>
      </c>
      <c r="K266" s="13" t="str">
        <f>IFERROR(__xludf.DUMMYFUNCTION("IF(ISBLANK(J266), ""Input test step"", ARRAYFORMULA(TEXTJOIN(CHAR(10), TRUE, (""Step ""&amp; ROW(INDIRECT(""1:"" &amp; COUNTA(SPLIT(J266, CHAR(10))))) &amp; "": "" &amp; TRANSPOSE(SPLIT(J266, CHAR(10)))))))"),"Step 1: Đăng nhập vào tài khoản
Step 2: Chọn tab Cá nhân 
Step 3: Chọn Đơn hàng --&gt; xem tất cả 
Step 4: Chọn tab ""  Đang giao ""
Step 5: Kiểm tra hiển thị không có danh sách đơn hàng")</f>
        <v>Step 1: Đăng nhập vào tài khoản
Step 2: Chọn tab Cá nhân 
Step 3: Chọn Đơn hàng --&gt; xem tất cả 
Step 4: Chọn tab "  Đang giao "
Step 5: Kiểm tra hiển thị không có danh sách đơn hàng</v>
      </c>
      <c r="L266" s="38"/>
      <c r="M266" s="73" t="s">
        <v>3251</v>
      </c>
      <c r="N266" s="38"/>
      <c r="O266" s="12"/>
      <c r="P266" s="38"/>
    </row>
    <row r="267">
      <c r="A267" s="37"/>
      <c r="B267" s="37"/>
      <c r="C267" s="37"/>
      <c r="D267" s="37"/>
      <c r="E267" s="37"/>
      <c r="F267" s="12" t="s">
        <v>3273</v>
      </c>
      <c r="G267" s="105" t="s">
        <v>3274</v>
      </c>
      <c r="H267" s="45" t="s">
        <v>3240</v>
      </c>
      <c r="I267" s="12" t="s">
        <v>2333</v>
      </c>
      <c r="J267" s="12" t="s">
        <v>3275</v>
      </c>
      <c r="K267" s="13" t="str">
        <f>IFERROR(__xludf.DUMMYFUNCTION("IF(ISBLANK(J267), ""Input test step"", ARRAYFORMULA(TEXTJOIN(CHAR(10), TRUE, (""Step ""&amp; ROW(INDIRECT(""1:"" &amp; COUNTA(SPLIT(J267, CHAR(10))))) &amp; "": "" &amp; TRANSPOSE(SPLIT(J267, CHAR(10)))))))"),"Step 1: Đăng nhập vào tài khoản
Step 2: Chọn tab Cá nhân 
Step 3: Chọn Đơn hàng --&gt; xem tất cả 
Step 4: Chọn tab ""  Đã giao ""
Step 5: Kiểm tra danh sách đơn hàng")</f>
        <v>Step 1: Đăng nhập vào tài khoản
Step 2: Chọn tab Cá nhân 
Step 3: Chọn Đơn hàng --&gt; xem tất cả 
Step 4: Chọn tab "  Đã giao "
Step 5: Kiểm tra danh sách đơn hàng</v>
      </c>
      <c r="L267" s="38"/>
      <c r="M267" s="73" t="s">
        <v>3242</v>
      </c>
      <c r="N267" s="38"/>
      <c r="O267" s="12"/>
      <c r="P267" s="38"/>
    </row>
    <row r="268">
      <c r="A268" s="37"/>
      <c r="B268" s="37"/>
      <c r="C268" s="37"/>
      <c r="D268" s="37"/>
      <c r="E268" s="37"/>
      <c r="F268" s="12" t="s">
        <v>3276</v>
      </c>
      <c r="G268" s="56"/>
      <c r="H268" s="45" t="s">
        <v>3244</v>
      </c>
      <c r="I268" s="12" t="s">
        <v>2333</v>
      </c>
      <c r="J268" s="12" t="s">
        <v>3277</v>
      </c>
      <c r="K268" s="13" t="str">
        <f>IFERROR(__xludf.DUMMYFUNCTION("IF(ISBLANK(J268), ""Input test step"", ARRAYFORMULA(TEXTJOIN(CHAR(10), TRUE, (""Step ""&amp; ROW(INDIRECT(""1:"" &amp; COUNTA(SPLIT(J268, CHAR(10))))) &amp; "": "" &amp; TRANSPOSE(SPLIT(J268, CHAR(10)))))))"),"Step 1: Đăng nhập vào tài khoản
Step 2: Chọn tab Cá nhân 
Step 3: Chọn Đơn hàng --&gt; xem tất cả 
Step 4: Chọn tab ""  Đã giao  ""
Step 5: Kiểm tra thanh load page khi load lại danh sách đơn hàng")</f>
        <v>Step 1: Đăng nhập vào tài khoản
Step 2: Chọn tab Cá nhân 
Step 3: Chọn Đơn hàng --&gt; xem tất cả 
Step 4: Chọn tab "  Đã giao  "
Step 5: Kiểm tra thanh load page khi load lại danh sách đơn hàng</v>
      </c>
      <c r="L268" s="38"/>
      <c r="M268" s="45" t="s">
        <v>3246</v>
      </c>
      <c r="N268" s="38"/>
      <c r="O268" s="12"/>
      <c r="P268" s="38"/>
    </row>
    <row r="269">
      <c r="A269" s="37"/>
      <c r="B269" s="37"/>
      <c r="C269" s="37"/>
      <c r="D269" s="37"/>
      <c r="E269" s="37"/>
      <c r="F269" s="12" t="s">
        <v>3278</v>
      </c>
      <c r="G269" s="57"/>
      <c r="H269" s="73" t="s">
        <v>3248</v>
      </c>
      <c r="I269" s="12" t="s">
        <v>3249</v>
      </c>
      <c r="J269" s="12" t="s">
        <v>3279</v>
      </c>
      <c r="K269" s="13" t="str">
        <f>IFERROR(__xludf.DUMMYFUNCTION("IF(ISBLANK(J269), ""Input test step"", ARRAYFORMULA(TEXTJOIN(CHAR(10), TRUE, (""Step ""&amp; ROW(INDIRECT(""1:"" &amp; COUNTA(SPLIT(J269, CHAR(10))))) &amp; "": "" &amp; TRANSPOSE(SPLIT(J269, CHAR(10)))))))"),"Step 1: Đăng nhập vào tài khoản
Step 2: Chọn tab Cá nhân 
Step 3: Chọn Đơn hàng --&gt; xem tất cả 
Step 4: Chọn tab "" Đã giao ""
Step 5: Kiểm tra hiển thị không có danh sách đơn hàng")</f>
        <v>Step 1: Đăng nhập vào tài khoản
Step 2: Chọn tab Cá nhân 
Step 3: Chọn Đơn hàng --&gt; xem tất cả 
Step 4: Chọn tab " Đã giao "
Step 5: Kiểm tra hiển thị không có danh sách đơn hàng</v>
      </c>
      <c r="L269" s="38"/>
      <c r="M269" s="73" t="s">
        <v>3251</v>
      </c>
      <c r="N269" s="38"/>
      <c r="O269" s="12"/>
      <c r="P269" s="38"/>
    </row>
    <row r="270">
      <c r="A270" s="37"/>
      <c r="B270" s="37"/>
      <c r="C270" s="37"/>
      <c r="D270" s="37"/>
      <c r="E270" s="37"/>
      <c r="F270" s="12" t="s">
        <v>3280</v>
      </c>
      <c r="G270" s="105" t="s">
        <v>3281</v>
      </c>
      <c r="H270" s="45" t="s">
        <v>3240</v>
      </c>
      <c r="I270" s="12" t="s">
        <v>2333</v>
      </c>
      <c r="J270" s="12" t="s">
        <v>3282</v>
      </c>
      <c r="K270" s="13" t="str">
        <f>IFERROR(__xludf.DUMMYFUNCTION("IF(ISBLANK(J270), ""Input test step"", ARRAYFORMULA(TEXTJOIN(CHAR(10), TRUE, (""Step ""&amp; ROW(INDIRECT(""1:"" &amp; COUNTA(SPLIT(J270, CHAR(10))))) &amp; "": "" &amp; TRANSPOSE(SPLIT(J270, CHAR(10)))))))"),"Step 1: Đăng nhập vào tài khoản
Step 2: Chọn tab Cá nhân 
Step 3: Chọn Đơn hàng --&gt; xem tất cả 
Step 4: Chọn tab ""  Đã huỷ ""
Step 5: Kiểm tra danh sách đơn hàng")</f>
        <v>Step 1: Đăng nhập vào tài khoản
Step 2: Chọn tab Cá nhân 
Step 3: Chọn Đơn hàng --&gt; xem tất cả 
Step 4: Chọn tab "  Đã huỷ "
Step 5: Kiểm tra danh sách đơn hàng</v>
      </c>
      <c r="L270" s="38"/>
      <c r="M270" s="73" t="s">
        <v>3242</v>
      </c>
      <c r="N270" s="38"/>
      <c r="O270" s="12"/>
      <c r="P270" s="38"/>
    </row>
    <row r="271">
      <c r="A271" s="37"/>
      <c r="B271" s="37"/>
      <c r="C271" s="37"/>
      <c r="D271" s="37"/>
      <c r="E271" s="37"/>
      <c r="F271" s="12" t="s">
        <v>3283</v>
      </c>
      <c r="G271" s="56"/>
      <c r="H271" s="45" t="s">
        <v>3244</v>
      </c>
      <c r="I271" s="12" t="s">
        <v>2333</v>
      </c>
      <c r="J271" s="12" t="s">
        <v>3284</v>
      </c>
      <c r="K271" s="13" t="str">
        <f>IFERROR(__xludf.DUMMYFUNCTION("IF(ISBLANK(J271), ""Input test step"", ARRAYFORMULA(TEXTJOIN(CHAR(10), TRUE, (""Step ""&amp; ROW(INDIRECT(""1:"" &amp; COUNTA(SPLIT(J271, CHAR(10))))) &amp; "": "" &amp; TRANSPOSE(SPLIT(J271, CHAR(10)))))))"),"Step 1: Đăng nhập vào tài khoản
Step 2: Chọn tab Cá nhân 
Step 3: Chọn Đơn hàng --&gt; xem tất cả 
Step 4: Chọn tab ""  Đã huỷ  ""
Step 5: Kiểm tra thanh load page khi load lại danh sách đơn hàng")</f>
        <v>Step 1: Đăng nhập vào tài khoản
Step 2: Chọn tab Cá nhân 
Step 3: Chọn Đơn hàng --&gt; xem tất cả 
Step 4: Chọn tab "  Đã huỷ  "
Step 5: Kiểm tra thanh load page khi load lại danh sách đơn hàng</v>
      </c>
      <c r="L271" s="38"/>
      <c r="M271" s="45" t="s">
        <v>3246</v>
      </c>
      <c r="N271" s="38"/>
      <c r="O271" s="12"/>
      <c r="P271" s="38"/>
    </row>
    <row r="272">
      <c r="A272" s="37"/>
      <c r="B272" s="37"/>
      <c r="C272" s="37"/>
      <c r="D272" s="37"/>
      <c r="E272" s="37"/>
      <c r="F272" s="12" t="s">
        <v>3285</v>
      </c>
      <c r="G272" s="57"/>
      <c r="H272" s="73" t="s">
        <v>3248</v>
      </c>
      <c r="I272" s="12" t="s">
        <v>3249</v>
      </c>
      <c r="J272" s="12" t="s">
        <v>3286</v>
      </c>
      <c r="K272" s="13" t="str">
        <f>IFERROR(__xludf.DUMMYFUNCTION("IF(ISBLANK(J272), ""Input test step"", ARRAYFORMULA(TEXTJOIN(CHAR(10), TRUE, (""Step ""&amp; ROW(INDIRECT(""1:"" &amp; COUNTA(SPLIT(J272, CHAR(10))))) &amp; "": "" &amp; TRANSPOSE(SPLIT(J272, CHAR(10)))))))"),"Step 1: Đăng nhập vào tài khoản
Step 2: Chọn tab Cá nhân 
Step 3: Chọn Đơn hàng --&gt; xem tất cả 
Step 4: Chọn tab "" Đã huỷ ""
Step 5: Kiểm tra hiển thị không có danh sách đơn hàng")</f>
        <v>Step 1: Đăng nhập vào tài khoản
Step 2: Chọn tab Cá nhân 
Step 3: Chọn Đơn hàng --&gt; xem tất cả 
Step 4: Chọn tab " Đã huỷ "
Step 5: Kiểm tra hiển thị không có danh sách đơn hàng</v>
      </c>
      <c r="L272" s="38"/>
      <c r="M272" s="73" t="s">
        <v>3251</v>
      </c>
      <c r="N272" s="38"/>
      <c r="O272" s="12"/>
      <c r="P272" s="38"/>
    </row>
    <row r="273">
      <c r="A273" s="37"/>
      <c r="B273" s="37"/>
      <c r="C273" s="37"/>
      <c r="D273" s="37"/>
      <c r="E273" s="37"/>
      <c r="F273" s="12" t="s">
        <v>3287</v>
      </c>
      <c r="G273" s="105" t="s">
        <v>3288</v>
      </c>
      <c r="H273" s="12" t="s">
        <v>1612</v>
      </c>
      <c r="I273" s="12"/>
      <c r="J273" s="12" t="s">
        <v>3289</v>
      </c>
      <c r="K273" s="13" t="str">
        <f>IFERROR(__xludf.DUMMYFUNCTION("IF(ISBLANK(J273), ""Input test step"", ARRAYFORMULA(TEXTJOIN(CHAR(10), TRUE, (""Step ""&amp; ROW(INDIRECT(""1:"" &amp; COUNTA(SPLIT(J273, CHAR(10))))) &amp; "": "" &amp; TRANSPOSE(SPLIT(J273, CHAR(10)))))))"),"Step 1: Đăng nhập vào tài khoản
Step 2: Chọn tab Cá nhân 
Step 3: Chọn Đơn hàng --&gt; xem tất cả 
Step 4: Ở màn hình lịch sử đơn hàng chọn vào xem chi tiết đơn hàng
Step 5: Kiểm tra màu sắc, kích thước, cỡ chữ của thanh header "" THÔNG TIN ĐƠN HÀNG """)</f>
        <v>Step 1: Đăng nhập vào tài khoản
Step 2: Chọn tab Cá nhân 
Step 3: Chọn Đơn hàng --&gt; xem tất cả 
Step 4: Ở màn hình lịch sử đơn hàng chọn vào xem chi tiết đơn hàng
Step 5: Kiểm tra màu sắc, kích thước, cỡ chữ của thanh header " THÔNG TIN ĐƠN HÀNG "</v>
      </c>
      <c r="L273" s="14"/>
      <c r="M273" s="12" t="s">
        <v>3290</v>
      </c>
      <c r="N273" s="73" t="s">
        <v>3291</v>
      </c>
      <c r="O273" s="12" t="s">
        <v>2</v>
      </c>
      <c r="P273" s="38"/>
    </row>
    <row r="274">
      <c r="A274" s="37"/>
      <c r="B274" s="37"/>
      <c r="C274" s="37"/>
      <c r="D274" s="37"/>
      <c r="E274" s="37"/>
      <c r="F274" s="12" t="s">
        <v>3292</v>
      </c>
      <c r="G274" s="56"/>
      <c r="H274" s="45" t="s">
        <v>3293</v>
      </c>
      <c r="I274" s="12" t="s">
        <v>2333</v>
      </c>
      <c r="J274" s="12" t="s">
        <v>3294</v>
      </c>
      <c r="K274" s="13" t="str">
        <f>IFERROR(__xludf.DUMMYFUNCTION("IF(ISBLANK(J274), ""Input test step"", ARRAYFORMULA(TEXTJOIN(CHAR(10), TRUE, (""Step ""&amp; ROW(INDIRECT(""1:"" &amp; COUNTA(SPLIT(J274, CHAR(10))))) &amp; "": "" &amp; TRANSPOSE(SPLIT(J274,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v>
      </c>
      <c r="L274" s="38"/>
      <c r="M274" s="73" t="s">
        <v>3295</v>
      </c>
      <c r="N274" s="73" t="s">
        <v>3295</v>
      </c>
      <c r="O274" s="12" t="s">
        <v>1</v>
      </c>
      <c r="P274" s="38"/>
    </row>
    <row r="275">
      <c r="A275" s="37"/>
      <c r="B275" s="37"/>
      <c r="C275" s="37"/>
      <c r="D275" s="37"/>
      <c r="E275" s="37"/>
      <c r="F275" s="12" t="s">
        <v>3296</v>
      </c>
      <c r="G275" s="56"/>
      <c r="H275" s="45" t="s">
        <v>3297</v>
      </c>
      <c r="I275" s="12" t="s">
        <v>2333</v>
      </c>
      <c r="J275" s="12" t="s">
        <v>3298</v>
      </c>
      <c r="K275" s="13" t="str">
        <f>IFERROR(__xludf.DUMMYFUNCTION("IF(ISBLANK(J275), ""Input test step"", ARRAYFORMULA(TEXTJOIN(CHAR(10), TRUE, (""Step ""&amp; ROW(INDIRECT(""1:"" &amp; COUNTA(SPLIT(J275, CHAR(10))))) &amp; "": "" &amp; TRANSPOSE(SPLIT(J275,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"&amp;"6: Kiểm tra mã đơn vị vẩn chuyển của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6: Kiểm tra mã đơn vị vẩn chuyển của đơn hàng </v>
      </c>
      <c r="L275" s="38"/>
      <c r="M275" s="73" t="s">
        <v>3299</v>
      </c>
      <c r="N275" s="73" t="s">
        <v>3299</v>
      </c>
      <c r="O275" s="12" t="s">
        <v>1</v>
      </c>
      <c r="P275" s="38"/>
    </row>
    <row r="276">
      <c r="A276" s="37"/>
      <c r="B276" s="37"/>
      <c r="C276" s="37"/>
      <c r="D276" s="37"/>
      <c r="E276" s="37"/>
      <c r="F276" s="12" t="s">
        <v>3300</v>
      </c>
      <c r="G276" s="56"/>
      <c r="H276" s="45" t="s">
        <v>3301</v>
      </c>
      <c r="I276" s="12" t="s">
        <v>2333</v>
      </c>
      <c r="J276" s="12" t="s">
        <v>3302</v>
      </c>
      <c r="K276" s="13" t="str">
        <f>IFERROR(__xludf.DUMMYFUNCTION("IF(ISBLANK(J276), ""Input test step"", ARRAYFORMULA(TEXTJOIN(CHAR(10), TRUE, (""Step ""&amp; ROW(INDIRECT(""1:"" &amp; COUNTA(SPLIT(J276, CHAR(10))))) &amp; "": "" &amp; TRANSPOSE(SPLIT(J276, CHAR(10)))))))"),"Step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f>
        <v>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v>
      </c>
      <c r="L276" s="38"/>
      <c r="M276" s="45" t="s">
        <v>3303</v>
      </c>
      <c r="N276" s="45" t="s">
        <v>3303</v>
      </c>
      <c r="O276" s="12" t="s">
        <v>1</v>
      </c>
      <c r="P276" s="38"/>
    </row>
    <row r="277">
      <c r="A277" s="37"/>
      <c r="B277" s="37"/>
      <c r="C277" s="37"/>
      <c r="D277" s="37"/>
      <c r="E277" s="37"/>
      <c r="F277" s="12" t="s">
        <v>3304</v>
      </c>
      <c r="G277" s="56"/>
      <c r="H277" s="73" t="s">
        <v>3305</v>
      </c>
      <c r="I277" s="12" t="s">
        <v>2333</v>
      </c>
      <c r="J277" s="12" t="s">
        <v>3306</v>
      </c>
      <c r="K277" s="13" t="str">
        <f>IFERROR(__xludf.DUMMYFUNCTION("IF(ISBLANK(J277), ""Input test step"", ARRAYFORMULA(TEXTJOIN(CHAR(10), TRUE, (""Step ""&amp; ROW(INDIRECT(""1:"" &amp; COUNTA(SPLIT(J277, CHAR(10))))) &amp; "": "" &amp; TRANSPOSE(SPLIT(J277, CHAR(10)))))))"),"Step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đặ"&amp;"t hàng, Chờ đơn vị vận chuyển, Đang vận chuyển, Đã giao ) ")</f>
        <v>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đặt hàng, Chờ đơn vị vận chuyển, Đang vận chuyển, Đã giao ) </v>
      </c>
      <c r="L277" s="38"/>
      <c r="M277" s="73" t="s">
        <v>3307</v>
      </c>
      <c r="N277" s="73" t="s">
        <v>3308</v>
      </c>
      <c r="O277" s="12" t="s">
        <v>2</v>
      </c>
      <c r="P277" s="38"/>
    </row>
    <row r="278">
      <c r="A278" s="37"/>
      <c r="B278" s="37"/>
      <c r="C278" s="37"/>
      <c r="D278" s="37"/>
      <c r="E278" s="37"/>
      <c r="F278" s="12" t="s">
        <v>3309</v>
      </c>
      <c r="G278" s="56"/>
      <c r="H278" s="45" t="s">
        <v>3310</v>
      </c>
      <c r="I278" s="12" t="s">
        <v>2333</v>
      </c>
      <c r="J278" s="12" t="s">
        <v>3311</v>
      </c>
      <c r="K278" s="13" t="str">
        <f>IFERROR(__xludf.DUMMYFUNCTION("IF(ISBLANK(J278), ""Input test step"", ARRAYFORMULA(TEXTJOIN(CHAR(10), TRUE, (""Step ""&amp; ROW(INDIRECT(""1:"" &amp; COUNTA(SPLIT(J278, CHAR(10))))) &amp; "": "" &amp; TRANSPOSE(SPLIT(J278, CHAR(10)))))))"),"Step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n"&amp;"hận")</f>
        <v>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nhận</v>
      </c>
      <c r="L278" s="38"/>
      <c r="M278" s="73" t="s">
        <v>3312</v>
      </c>
      <c r="N278" s="73" t="s">
        <v>3313</v>
      </c>
      <c r="O278" s="12" t="s">
        <v>2</v>
      </c>
      <c r="P278" s="38"/>
    </row>
    <row r="279">
      <c r="A279" s="37"/>
      <c r="B279" s="37"/>
      <c r="C279" s="37"/>
      <c r="D279" s="37"/>
      <c r="E279" s="37"/>
      <c r="F279" s="12" t="s">
        <v>3314</v>
      </c>
      <c r="G279" s="56"/>
      <c r="H279" s="83" t="s">
        <v>3315</v>
      </c>
      <c r="I279" s="12" t="s">
        <v>2333</v>
      </c>
      <c r="J279" s="12" t="s">
        <v>3316</v>
      </c>
      <c r="K279" s="13" t="str">
        <f>IFERROR(__xludf.DUMMYFUNCTION("IF(ISBLANK(J279), ""Input test step"", ARRAYFORMULA(TEXTJOIN(CHAR(10), TRUE, (""Step ""&amp; ROW(INDIRECT(""1:"" &amp; COUNTA(SPLIT(J279, CHAR(10))))) &amp; "": "" &amp; TRANSPOSE(SPLIT(J279, CHAR(10)))))))"),"Step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f>
        <v>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v>
      </c>
      <c r="L279" s="38"/>
      <c r="M279" s="73" t="s">
        <v>3317</v>
      </c>
      <c r="N279" s="73" t="s">
        <v>3318</v>
      </c>
      <c r="O279" s="12" t="s">
        <v>2</v>
      </c>
      <c r="P279" s="38"/>
    </row>
    <row r="280">
      <c r="A280" s="37"/>
      <c r="B280" s="37"/>
      <c r="C280" s="37"/>
      <c r="D280" s="37"/>
      <c r="E280" s="37"/>
      <c r="F280" s="12" t="s">
        <v>3319</v>
      </c>
      <c r="G280" s="56"/>
      <c r="H280" s="45" t="s">
        <v>3320</v>
      </c>
      <c r="I280" s="12" t="s">
        <v>2333</v>
      </c>
      <c r="J280" s="12" t="s">
        <v>3321</v>
      </c>
      <c r="K280" s="13" t="str">
        <f>IFERROR(__xludf.DUMMYFUNCTION("IF(ISBLANK(J280), ""Input test step"", ARRAYFORMULA(TEXTJOIN(CHAR(10), TRUE, (""Step ""&amp; ROW(INDIRECT(""1:"" &amp; COUNTA(SPLIT(J280, CHAR(10))))) &amp; "": "" &amp; TRANSPOSE(SPLIT(J280, CHAR(10)))))))"),"Step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f>
        <v>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v>
      </c>
      <c r="L280" s="38"/>
      <c r="M280" s="73" t="s">
        <v>3322</v>
      </c>
      <c r="N280" s="73" t="s">
        <v>3323</v>
      </c>
      <c r="O280" s="12" t="s">
        <v>2</v>
      </c>
      <c r="P280" s="38"/>
    </row>
    <row r="281">
      <c r="A281" s="37"/>
      <c r="B281" s="37"/>
      <c r="C281" s="37"/>
      <c r="D281" s="37"/>
      <c r="E281" s="37"/>
      <c r="F281" s="12" t="s">
        <v>3324</v>
      </c>
      <c r="G281" s="56"/>
      <c r="H281" s="73" t="s">
        <v>3325</v>
      </c>
      <c r="I281" s="12" t="s">
        <v>2333</v>
      </c>
      <c r="J281" s="12" t="s">
        <v>3326</v>
      </c>
      <c r="K281" s="13" t="str">
        <f>IFERROR(__xludf.DUMMYFUNCTION("IF(ISBLANK(J281), ""Input test step"", ARRAYFORMULA(TEXTJOIN(CHAR(10), TRUE, (""Step ""&amp; ROW(INDIRECT(""1:"" &amp; COUNTA(SPLIT(J281, CHAR(10))))) &amp; "": "" &amp; TRANSPOSE(SPLIT(J281, CHAR(10)))))))"),"Step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ảnh"&amp;", giá cả và số lượng")</f>
        <v>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 giá cả và số lượng</v>
      </c>
      <c r="L281" s="38"/>
      <c r="M281" s="73" t="s">
        <v>3327</v>
      </c>
      <c r="N281" s="73" t="s">
        <v>3327</v>
      </c>
      <c r="O281" s="12" t="s">
        <v>1</v>
      </c>
      <c r="P281" s="38"/>
    </row>
    <row r="282">
      <c r="A282" s="37"/>
      <c r="B282" s="37"/>
      <c r="C282" s="37"/>
      <c r="D282" s="37"/>
      <c r="E282" s="37"/>
      <c r="F282" s="12" t="s">
        <v>3328</v>
      </c>
      <c r="G282" s="56"/>
      <c r="H282" s="45" t="s">
        <v>3329</v>
      </c>
      <c r="I282" s="12" t="s">
        <v>2333</v>
      </c>
      <c r="J282" s="12" t="s">
        <v>3330</v>
      </c>
      <c r="K282" s="13" t="str">
        <f>IFERROR(__xludf.DUMMYFUNCTION("IF(ISBLANK(J282), ""Input test step"", ARRAYFORMULA(TEXTJOIN(CHAR(10), TRUE, (""Step ""&amp; ROW(INDIRECT(""1:"" &amp; COUNTA(SPLIT(J282, CHAR(10))))) &amp; "": "" &amp; TRANSPOSE(SPLIT(J282, CHAR(10)))))))"),"Step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f>
        <v>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v>
      </c>
      <c r="L282" s="38"/>
      <c r="M282" s="73" t="s">
        <v>3331</v>
      </c>
      <c r="N282" s="73" t="s">
        <v>3331</v>
      </c>
      <c r="O282" s="12" t="s">
        <v>1</v>
      </c>
      <c r="P282" s="38"/>
    </row>
    <row r="283">
      <c r="A283" s="37"/>
      <c r="B283" s="37"/>
      <c r="C283" s="37"/>
      <c r="D283" s="37"/>
      <c r="E283" s="37"/>
      <c r="F283" s="12" t="s">
        <v>3332</v>
      </c>
      <c r="G283" s="56"/>
      <c r="H283" s="73" t="s">
        <v>3333</v>
      </c>
      <c r="I283" s="12" t="s">
        <v>2333</v>
      </c>
      <c r="J283" s="12" t="s">
        <v>3334</v>
      </c>
      <c r="K283" s="13" t="str">
        <f>IFERROR(__xludf.DUMMYFUNCTION("IF(ISBLANK(J283), ""Input test step"", ARRAYFORMULA(TEXTJOIN(CHAR(10), TRUE, (""Step ""&amp; ROW(INDIRECT(""1:"" &amp; COUNTA(SPLIT(J283, CHAR(10))))) &amp; "": "" &amp; TRANSPOSE(SPLIT(J283, CHAR(10)))))))"),"Step 1: Đăng nhập vào tài khoản
Step 2: Chọn tab Cá nhân 
Step 3: Chọn Đơn hàng --&gt; xem tất cả 
Step 4: Ở màn hình lịch sử đơn hàng chọn vào xem chi tiết đơn hàng 
Step 5: Ở màn hình thông tin đơn hàng , kiểm tra hiển thị màu sắc, kích thước, cỡ chữ tên s"&amp;"ản phẩm ")</f>
        <v>Step 1: Đăng nhập vào tài khoản
Step 2: Chọn tab Cá nhân 
Step 3: Chọn Đơn hàng --&gt; xem tất cả 
Step 4: Ở màn hình lịch sử đơn hàng chọn vào xem chi tiết đơn hàng 
Step 5: Ở màn hình thông tin đơn hàng , kiểm tra hiển thị màu sắc, kích thước, cỡ chữ tên sản phẩm </v>
      </c>
      <c r="L283" s="38"/>
      <c r="M283" s="73" t="s">
        <v>3335</v>
      </c>
      <c r="N283" s="73" t="s">
        <v>3335</v>
      </c>
      <c r="O283" s="12" t="s">
        <v>1</v>
      </c>
      <c r="P283" s="38"/>
    </row>
    <row r="284">
      <c r="A284" s="37"/>
      <c r="B284" s="37"/>
      <c r="C284" s="37"/>
      <c r="D284" s="37"/>
      <c r="E284" s="37"/>
      <c r="F284" s="12" t="s">
        <v>3336</v>
      </c>
      <c r="G284" s="56"/>
      <c r="H284" s="73" t="s">
        <v>2014</v>
      </c>
      <c r="I284" s="12" t="s">
        <v>2333</v>
      </c>
      <c r="J284" s="12" t="s">
        <v>3337</v>
      </c>
      <c r="K284" s="13" t="str">
        <f>IFERROR(__xludf.DUMMYFUNCTION("IF(ISBLANK(J284), ""Input test step"", ARRAYFORMULA(TEXTJOIN(CHAR(10), TRUE, (""Step ""&amp; ROW(INDIRECT(""1:"" &amp; COUNTA(SPLIT(J284, CHAR(10))))) &amp; "": "" &amp; TRANSPOSE(SPLIT(J284, CHAR(10)))))))"),"Step 1: Đăng nhập vào tài khoản
Step 2: Chọn tab Cá nhân 
Step 3: Chọn Đơn hàng --&gt; xem tất cả 
Step 4: Ở màn hình lịch sử đơn hàng chọn vào xem chi tiết đơn hàng 
Step 5: Ở màn hình thông tin đơn hàng , kiểm tra màu sắc,kích thước, cỡ chữ và đúng  giá gố"&amp;"c của sản phẩm")</f>
        <v>Step 1: Đăng nhập vào tài khoản
Step 2: Chọn tab Cá nhân 
Step 3: Chọn Đơn hàng --&gt; xem tất cả 
Step 4: Ở màn hình lịch sử đơn hàng chọn vào xem chi tiết đơn hàng 
Step 5: Ở màn hình thông tin đơn hàng , kiểm tra màu sắc,kích thước, cỡ chữ và đúng  giá gốc của sản phẩm</v>
      </c>
      <c r="L284" s="38"/>
      <c r="M284" s="73" t="s">
        <v>3338</v>
      </c>
      <c r="N284" s="73" t="s">
        <v>3339</v>
      </c>
      <c r="O284" s="12" t="s">
        <v>2</v>
      </c>
      <c r="P284" s="38"/>
    </row>
    <row r="285">
      <c r="A285" s="37"/>
      <c r="B285" s="37"/>
      <c r="C285" s="37"/>
      <c r="D285" s="37"/>
      <c r="E285" s="37"/>
      <c r="F285" s="12" t="s">
        <v>3340</v>
      </c>
      <c r="G285" s="56"/>
      <c r="H285" s="73" t="s">
        <v>3341</v>
      </c>
      <c r="I285" s="12" t="s">
        <v>2333</v>
      </c>
      <c r="J285" s="12" t="s">
        <v>3342</v>
      </c>
      <c r="K285" s="13" t="str">
        <f>IFERROR(__xludf.DUMMYFUNCTION("IF(ISBLANK(J285), ""Input test step"", ARRAYFORMULA(TEXTJOIN(CHAR(10), TRUE, (""Step ""&amp; ROW(INDIRECT(""1:"" &amp; COUNTA(SPLIT(J285, CHAR(10))))) &amp; "": "" &amp; TRANSPOSE(SPLIT(J285, CHAR(10)))))))"),"Step 1: Đăng nhập vào tài khoản
Step 2: Chọn tab Cá nhân 
Step 3: Chọn Đơn hàng --&gt; xem tất cả 
Step 4: Ở màn hình lịch sử đơn hàng chọn vào xem chi tiết đơn hàng 
Step 5: Ở màn hình thông tin đơn hàng , kiểm tra màu sắc,kích thước, cỡ chữ và đúng  giá sa"&amp;"u giảm của sản phẩm")</f>
        <v>Step 1: Đăng nhập vào tài khoản
Step 2: Chọn tab Cá nhân 
Step 3: Chọn Đơn hàng --&gt; xem tất cả 
Step 4: Ở màn hình lịch sử đơn hàng chọn vào xem chi tiết đơn hàng 
Step 5: Ở màn hình thông tin đơn hàng , kiểm tra màu sắc,kích thước, cỡ chữ và đúng  giá sau giảm của sản phẩm</v>
      </c>
      <c r="L285" s="38"/>
      <c r="M285" s="73" t="s">
        <v>3343</v>
      </c>
      <c r="N285" s="73" t="s">
        <v>3344</v>
      </c>
      <c r="O285" s="12" t="s">
        <v>2</v>
      </c>
      <c r="P285" s="38"/>
    </row>
    <row r="286">
      <c r="A286" s="37"/>
      <c r="B286" s="37"/>
      <c r="C286" s="37"/>
      <c r="D286" s="37"/>
      <c r="E286" s="37"/>
      <c r="F286" s="12" t="s">
        <v>3345</v>
      </c>
      <c r="G286" s="56"/>
      <c r="H286" s="73" t="s">
        <v>3346</v>
      </c>
      <c r="I286" s="12" t="s">
        <v>2333</v>
      </c>
      <c r="J286" s="12" t="s">
        <v>3347</v>
      </c>
      <c r="K286" s="13" t="str">
        <f>IFERROR(__xludf.DUMMYFUNCTION("IF(ISBLANK(J286), ""Input test step"", ARRAYFORMULA(TEXTJOIN(CHAR(10), TRUE, (""Step ""&amp; ROW(INDIRECT(""1:"" &amp; COUNTA(SPLIT(J286, CHAR(10))))) &amp; "": "" &amp; TRANSPOSE(SPLIT(J286, CHAR(10)))))))"),"Step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f>
        <v>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v>
      </c>
      <c r="L286" s="38"/>
      <c r="M286" s="73" t="s">
        <v>3348</v>
      </c>
      <c r="N286" s="73" t="s">
        <v>3349</v>
      </c>
      <c r="O286" s="12" t="s">
        <v>2</v>
      </c>
      <c r="P286" s="38"/>
    </row>
    <row r="287">
      <c r="A287" s="37"/>
      <c r="B287" s="37"/>
      <c r="C287" s="37"/>
      <c r="D287" s="37"/>
      <c r="E287" s="37"/>
      <c r="F287" s="12" t="s">
        <v>3350</v>
      </c>
      <c r="G287" s="56"/>
      <c r="H287" s="83" t="s">
        <v>2291</v>
      </c>
      <c r="I287" s="12" t="s">
        <v>2333</v>
      </c>
      <c r="J287" s="12" t="s">
        <v>3351</v>
      </c>
      <c r="K287" s="13" t="str">
        <f>IFERROR(__xludf.DUMMYFUNCTION("IF(ISBLANK(J287), ""Input test step"", ARRAYFORMULA(TEXTJOIN(CHAR(10), TRUE, (""Step ""&amp; ROW(INDIRECT(""1:"" &amp; COUNTA(SPLIT(J287, CHAR(10))))) &amp; "": "" &amp; TRANSPOSE(SPLIT(J287, CHAR(10)))))))"),"Step 1: Đăng nhập vào tài khoản
Step 2: Chọn tab Cá nhân 
Step 3: Chọn Đơn hàng --&gt; xem tất cả 
Step 4: Ở màn hình lịch sử đơn hàng chọn vào xem chi tiết đơn hàng 
Step 5: Ở màn hình thông tin đơn hàng , kiểm tra tổng tiền hàng")</f>
        <v>Step 1: Đăng nhập vào tài khoản
Step 2: Chọn tab Cá nhân 
Step 3: Chọn Đơn hàng --&gt; xem tất cả 
Step 4: Ở màn hình lịch sử đơn hàng chọn vào xem chi tiết đơn hàng 
Step 5: Ở màn hình thông tin đơn hàng , kiểm tra tổng tiền hàng</v>
      </c>
      <c r="L287" s="38"/>
      <c r="M287" s="45" t="s">
        <v>3352</v>
      </c>
      <c r="N287" s="45" t="s">
        <v>3352</v>
      </c>
      <c r="O287" s="12" t="s">
        <v>1</v>
      </c>
      <c r="P287" s="38"/>
    </row>
    <row r="288">
      <c r="A288" s="37"/>
      <c r="B288" s="37"/>
      <c r="C288" s="37"/>
      <c r="D288" s="37"/>
      <c r="E288" s="37"/>
      <c r="F288" s="12" t="s">
        <v>3353</v>
      </c>
      <c r="G288" s="56"/>
      <c r="H288" s="73" t="s">
        <v>2295</v>
      </c>
      <c r="I288" s="12" t="s">
        <v>2333</v>
      </c>
      <c r="J288" s="12" t="s">
        <v>3354</v>
      </c>
      <c r="K288" s="13" t="str">
        <f>IFERROR(__xludf.DUMMYFUNCTION("IF(ISBLANK(J288), ""Input test step"", ARRAYFORMULA(TEXTJOIN(CHAR(10), TRUE, (""Step ""&amp; ROW(INDIRECT(""1:"" &amp; COUNTA(SPLIT(J288, CHAR(10))))) &amp; "": "" &amp; TRANSPOSE(SPLIT(J288, CHAR(10)))))))"),"Step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f>
        <v>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v>
      </c>
      <c r="L288" s="38"/>
      <c r="M288" s="73" t="s">
        <v>3355</v>
      </c>
      <c r="N288" s="106"/>
      <c r="O288" s="12"/>
      <c r="P288" s="38"/>
    </row>
    <row r="289">
      <c r="A289" s="37"/>
      <c r="B289" s="37"/>
      <c r="C289" s="37"/>
      <c r="D289" s="37"/>
      <c r="E289" s="37"/>
      <c r="F289" s="12" t="s">
        <v>3356</v>
      </c>
      <c r="G289" s="56"/>
      <c r="H289" s="73" t="s">
        <v>3357</v>
      </c>
      <c r="I289" s="12" t="s">
        <v>2333</v>
      </c>
      <c r="J289" s="12" t="s">
        <v>3358</v>
      </c>
      <c r="K289" s="13" t="str">
        <f>IFERROR(__xludf.DUMMYFUNCTION("IF(ISBLANK(J289), ""Input test step"", ARRAYFORMULA(TEXTJOIN(CHAR(10), TRUE, (""Step ""&amp; ROW(INDIRECT(""1:"" &amp; COUNTA(SPLIT(J289, CHAR(10))))) &amp; "": "" &amp; TRANSPOSE(SPLIT(J289, CHAR(10)))))))"),"Step 1: Đăng nhập vào tài khoản
Step 2: Chọn tab Cá nhân 
Step 3: Chọn Đơn hàng --&gt; xem tất cả 
Step 4: Ở màn hình lịch sử đơn hàng chọn vào xem chi tiết đơn hàng 
Step 5: Ở màn hình thông tin đơn hàng , kiểm tra tổng giảm giá")</f>
        <v>Step 1: Đăng nhập vào tài khoản
Step 2: Chọn tab Cá nhân 
Step 3: Chọn Đơn hàng --&gt; xem tất cả 
Step 4: Ở màn hình lịch sử đơn hàng chọn vào xem chi tiết đơn hàng 
Step 5: Ở màn hình thông tin đơn hàng , kiểm tra tổng giảm giá</v>
      </c>
      <c r="L289" s="38"/>
      <c r="M289" s="73" t="s">
        <v>3359</v>
      </c>
      <c r="N289" s="106"/>
      <c r="O289" s="12"/>
      <c r="P289" s="38"/>
    </row>
    <row r="290">
      <c r="A290" s="37"/>
      <c r="B290" s="37"/>
      <c r="C290" s="37"/>
      <c r="D290" s="37"/>
      <c r="E290" s="37"/>
      <c r="F290" s="12" t="s">
        <v>3360</v>
      </c>
      <c r="G290" s="56"/>
      <c r="H290" s="83" t="s">
        <v>3361</v>
      </c>
      <c r="I290" s="12" t="s">
        <v>2333</v>
      </c>
      <c r="J290" s="12" t="s">
        <v>3362</v>
      </c>
      <c r="K290" s="13" t="str">
        <f>IFERROR(__xludf.DUMMYFUNCTION("IF(ISBLANK(J290), ""Input test step"", ARRAYFORMULA(TEXTJOIN(CHAR(10), TRUE, (""Step ""&amp; ROW(INDIRECT(""1:"" &amp; COUNTA(SPLIT(J290, CHAR(10))))) &amp; "": "" &amp; TRANSPOSE(SPLIT(J290, CHAR(10)))))))"),"Step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f>
        <v>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v>
      </c>
      <c r="L290" s="38"/>
      <c r="M290" s="73" t="s">
        <v>3363</v>
      </c>
      <c r="N290" s="106"/>
      <c r="O290" s="12"/>
      <c r="P290" s="38"/>
    </row>
    <row r="291">
      <c r="A291" s="37"/>
      <c r="B291" s="37"/>
      <c r="C291" s="37"/>
      <c r="D291" s="37"/>
      <c r="E291" s="37"/>
      <c r="F291" s="12" t="s">
        <v>3364</v>
      </c>
      <c r="G291" s="57"/>
      <c r="H291" s="12" t="s">
        <v>3365</v>
      </c>
      <c r="I291" s="12" t="s">
        <v>2333</v>
      </c>
      <c r="J291" s="12" t="s">
        <v>3366</v>
      </c>
      <c r="K291" s="13" t="str">
        <f>IFERROR(__xludf.DUMMYFUNCTION("IF(ISBLANK(J291), ""Input test step"", ARRAYFORMULA(TEXTJOIN(CHAR(10), TRUE, (""Step ""&amp; ROW(INDIRECT(""1:"" &amp; COUNTA(SPLIT(J291, CHAR(10))))) &amp; "": "" &amp; TRANSPOSE(SPLIT(J291, CHAR(10)))))))"),"Step 1: Đăng nhập vào tài khoản
Step 2: Chọn tab Cá nhân 
Step 3: Chọn Đơn hàng --&gt; xem tất cả 
Step 4: Ở màn hình lịch sử đơn hàng chọn vào xem chi tiết đơn hàng 
Step 5: Ở màn hình thông tin đơn hàng , kiểm tra khoảng cách giữa các dòng")</f>
        <v>Step 1: Đăng nhập vào tài khoản
Step 2: Chọn tab Cá nhân 
Step 3: Chọn Đơn hàng --&gt; xem tất cả 
Step 4: Ở màn hình lịch sử đơn hàng chọn vào xem chi tiết đơn hàng 
Step 5: Ở màn hình thông tin đơn hàng , kiểm tra khoảng cách giữa các dòng</v>
      </c>
      <c r="L291" s="14" t="s">
        <v>3367</v>
      </c>
      <c r="M291" s="12" t="s">
        <v>3368</v>
      </c>
      <c r="N291" s="73" t="s">
        <v>2385</v>
      </c>
      <c r="O291" s="12" t="s">
        <v>2</v>
      </c>
      <c r="P291" s="38"/>
    </row>
    <row r="292">
      <c r="A292" s="37"/>
      <c r="B292" s="37"/>
      <c r="C292" s="37"/>
      <c r="D292" s="37"/>
      <c r="E292" s="37"/>
      <c r="F292" s="12" t="s">
        <v>3369</v>
      </c>
      <c r="G292" s="105" t="s">
        <v>3370</v>
      </c>
      <c r="H292" s="12" t="s">
        <v>1612</v>
      </c>
      <c r="I292" s="12"/>
      <c r="J292" s="12" t="s">
        <v>3371</v>
      </c>
      <c r="K292" s="13" t="str">
        <f>IFERROR(__xludf.DUMMYFUNCTION("IF(ISBLANK(J292), ""Input test step"", ARRAYFORMULA(TEXTJOIN(CHAR(10), TRUE, (""Step ""&amp; ROW(INDIRECT(""1:"" &amp; COUNTA(SPLIT(J292, CHAR(10))))) &amp; "": "" &amp; TRANSPOSE(SPLIT(J292, CHAR(10)))))))"),"Step 1: Đăng nhập vào tài khoản
Step 2: Chọn tab Cá nhân 
Step 3: Chọn Đơn hàng --&gt; xem tất cả 
Step 4: Ở màn hình lịch sử đơn hàng chọn vào xem chi tiết đơn hàng")</f>
        <v>Step 1: Đăng nhập vào tài khoản
Step 2: Chọn tab Cá nhân 
Step 3: Chọn Đơn hàng --&gt; xem tất cả 
Step 4: Ở màn hình lịch sử đơn hàng chọn vào xem chi tiết đơn hàng</v>
      </c>
      <c r="L292" s="14"/>
      <c r="M292" s="12" t="s">
        <v>1807</v>
      </c>
      <c r="N292" s="73" t="s">
        <v>3291</v>
      </c>
      <c r="O292" s="12" t="s">
        <v>2</v>
      </c>
      <c r="P292" s="38"/>
    </row>
    <row r="293">
      <c r="A293" s="37"/>
      <c r="B293" s="37"/>
      <c r="C293" s="37"/>
      <c r="D293" s="37"/>
      <c r="E293" s="37"/>
      <c r="F293" s="12" t="s">
        <v>3372</v>
      </c>
      <c r="G293" s="56"/>
      <c r="H293" s="45" t="s">
        <v>3293</v>
      </c>
      <c r="I293" s="12" t="s">
        <v>2333</v>
      </c>
      <c r="J293" s="12" t="s">
        <v>3294</v>
      </c>
      <c r="K293" s="13" t="str">
        <f>IFERROR(__xludf.DUMMYFUNCTION("IF(ISBLANK(J293), ""Input test step"", ARRAYFORMULA(TEXTJOIN(CHAR(10), TRUE, (""Step ""&amp; ROW(INDIRECT(""1:"" &amp; COUNTA(SPLIT(J293, CHAR(10))))) &amp; "": "" &amp; TRANSPOSE(SPLIT(J293,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v>
      </c>
      <c r="L293" s="38"/>
      <c r="M293" s="73" t="s">
        <v>3295</v>
      </c>
      <c r="N293" s="73" t="s">
        <v>3295</v>
      </c>
      <c r="O293" s="12" t="s">
        <v>1</v>
      </c>
      <c r="P293" s="38"/>
    </row>
    <row r="294">
      <c r="A294" s="37"/>
      <c r="B294" s="37"/>
      <c r="C294" s="37"/>
      <c r="D294" s="37"/>
      <c r="E294" s="37"/>
      <c r="F294" s="12" t="s">
        <v>3373</v>
      </c>
      <c r="G294" s="56"/>
      <c r="H294" s="45" t="s">
        <v>3297</v>
      </c>
      <c r="I294" s="12" t="s">
        <v>2333</v>
      </c>
      <c r="J294" s="12" t="s">
        <v>3298</v>
      </c>
      <c r="K294" s="13" t="str">
        <f>IFERROR(__xludf.DUMMYFUNCTION("IF(ISBLANK(J294), ""Input test step"", ARRAYFORMULA(TEXTJOIN(CHAR(10), TRUE, (""Step ""&amp; ROW(INDIRECT(""1:"" &amp; COUNTA(SPLIT(J294, CHAR(10))))) &amp; "": "" &amp; TRANSPOSE(SPLIT(J294,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"&amp;"6: Kiểm tra mã đơn vị vẩn chuyển của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6: Kiểm tra mã đơn vị vẩn chuyển của đơn hàng </v>
      </c>
      <c r="L294" s="38"/>
      <c r="M294" s="73" t="s">
        <v>3299</v>
      </c>
      <c r="N294" s="73" t="s">
        <v>3299</v>
      </c>
      <c r="O294" s="12" t="s">
        <v>1</v>
      </c>
      <c r="P294" s="38"/>
    </row>
    <row r="295">
      <c r="A295" s="37"/>
      <c r="B295" s="37"/>
      <c r="C295" s="37"/>
      <c r="D295" s="37"/>
      <c r="E295" s="37"/>
      <c r="F295" s="12" t="s">
        <v>3374</v>
      </c>
      <c r="G295" s="56"/>
      <c r="H295" s="45" t="s">
        <v>3301</v>
      </c>
      <c r="I295" s="12" t="s">
        <v>2333</v>
      </c>
      <c r="J295" s="12" t="s">
        <v>3302</v>
      </c>
      <c r="K295" s="13" t="str">
        <f>IFERROR(__xludf.DUMMYFUNCTION("IF(ISBLANK(J295), ""Input test step"", ARRAYFORMULA(TEXTJOIN(CHAR(10), TRUE, (""Step ""&amp; ROW(INDIRECT(""1:"" &amp; COUNTA(SPLIT(J295, CHAR(10))))) &amp; "": "" &amp; TRANSPOSE(SPLIT(J295, CHAR(10)))))))"),"Step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f>
        <v>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v>
      </c>
      <c r="L295" s="38"/>
      <c r="M295" s="45" t="s">
        <v>3303</v>
      </c>
      <c r="N295" s="45" t="s">
        <v>3303</v>
      </c>
      <c r="O295" s="12" t="s">
        <v>1</v>
      </c>
      <c r="P295" s="38"/>
    </row>
    <row r="296">
      <c r="A296" s="37"/>
      <c r="B296" s="37"/>
      <c r="C296" s="37"/>
      <c r="D296" s="37"/>
      <c r="E296" s="37"/>
      <c r="F296" s="12" t="s">
        <v>3375</v>
      </c>
      <c r="G296" s="56"/>
      <c r="H296" s="73" t="s">
        <v>3305</v>
      </c>
      <c r="I296" s="12" t="s">
        <v>2333</v>
      </c>
      <c r="J296" s="12" t="s">
        <v>3306</v>
      </c>
      <c r="K296" s="13" t="str">
        <f>IFERROR(__xludf.DUMMYFUNCTION("IF(ISBLANK(J296), ""Input test step"", ARRAYFORMULA(TEXTJOIN(CHAR(10), TRUE, (""Step ""&amp; ROW(INDIRECT(""1:"" &amp; COUNTA(SPLIT(J296, CHAR(10))))) &amp; "": "" &amp; TRANSPOSE(SPLIT(J296, CHAR(10)))))))"),"Step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đặ"&amp;"t hàng, Chờ đơn vị vận chuyển, Đang vận chuyển, Đã giao ) ")</f>
        <v>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đặt hàng, Chờ đơn vị vận chuyển, Đang vận chuyển, Đã giao ) </v>
      </c>
      <c r="L296" s="38"/>
      <c r="M296" s="73" t="s">
        <v>3307</v>
      </c>
      <c r="N296" s="73" t="s">
        <v>3291</v>
      </c>
      <c r="O296" s="12" t="s">
        <v>2</v>
      </c>
      <c r="P296" s="38"/>
    </row>
    <row r="297">
      <c r="A297" s="37"/>
      <c r="B297" s="37"/>
      <c r="C297" s="37"/>
      <c r="D297" s="37"/>
      <c r="E297" s="37"/>
      <c r="F297" s="12" t="s">
        <v>3376</v>
      </c>
      <c r="G297" s="56"/>
      <c r="H297" s="45" t="s">
        <v>3310</v>
      </c>
      <c r="I297" s="12" t="s">
        <v>2333</v>
      </c>
      <c r="J297" s="12" t="s">
        <v>3311</v>
      </c>
      <c r="K297" s="13" t="str">
        <f>IFERROR(__xludf.DUMMYFUNCTION("IF(ISBLANK(J297), ""Input test step"", ARRAYFORMULA(TEXTJOIN(CHAR(10), TRUE, (""Step ""&amp; ROW(INDIRECT(""1:"" &amp; COUNTA(SPLIT(J297, CHAR(10))))) &amp; "": "" &amp; TRANSPOSE(SPLIT(J297, CHAR(10)))))))"),"Step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n"&amp;"hận")</f>
        <v>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nhận</v>
      </c>
      <c r="L297" s="38"/>
      <c r="M297" s="73" t="s">
        <v>3312</v>
      </c>
      <c r="N297" s="73" t="s">
        <v>3313</v>
      </c>
      <c r="O297" s="12" t="s">
        <v>2</v>
      </c>
      <c r="P297" s="38"/>
    </row>
    <row r="298">
      <c r="A298" s="37"/>
      <c r="B298" s="37"/>
      <c r="C298" s="37"/>
      <c r="D298" s="37"/>
      <c r="E298" s="37"/>
      <c r="F298" s="12" t="s">
        <v>3377</v>
      </c>
      <c r="G298" s="56"/>
      <c r="H298" s="83" t="s">
        <v>3315</v>
      </c>
      <c r="I298" s="12" t="s">
        <v>2333</v>
      </c>
      <c r="J298" s="12" t="s">
        <v>3316</v>
      </c>
      <c r="K298" s="13" t="str">
        <f>IFERROR(__xludf.DUMMYFUNCTION("IF(ISBLANK(J298), ""Input test step"", ARRAYFORMULA(TEXTJOIN(CHAR(10), TRUE, (""Step ""&amp; ROW(INDIRECT(""1:"" &amp; COUNTA(SPLIT(J298, CHAR(10))))) &amp; "": "" &amp; TRANSPOSE(SPLIT(J298, CHAR(10)))))))"),"Step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f>
        <v>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v>
      </c>
      <c r="L298" s="38"/>
      <c r="M298" s="73" t="s">
        <v>3317</v>
      </c>
      <c r="N298" s="73" t="s">
        <v>3318</v>
      </c>
      <c r="O298" s="12" t="s">
        <v>2</v>
      </c>
      <c r="P298" s="38"/>
    </row>
    <row r="299">
      <c r="A299" s="37"/>
      <c r="B299" s="37"/>
      <c r="C299" s="37"/>
      <c r="D299" s="37"/>
      <c r="E299" s="37"/>
      <c r="F299" s="12" t="s">
        <v>3378</v>
      </c>
      <c r="G299" s="56"/>
      <c r="H299" s="73" t="s">
        <v>3325</v>
      </c>
      <c r="I299" s="12" t="s">
        <v>2333</v>
      </c>
      <c r="J299" s="12" t="s">
        <v>3326</v>
      </c>
      <c r="K299" s="13" t="str">
        <f>IFERROR(__xludf.DUMMYFUNCTION("IF(ISBLANK(J299), ""Input test step"", ARRAYFORMULA(TEXTJOIN(CHAR(10), TRUE, (""Step ""&amp; ROW(INDIRECT(""1:"" &amp; COUNTA(SPLIT(J299, CHAR(10))))) &amp; "": "" &amp; TRANSPOSE(SPLIT(J299, CHAR(10)))))))"),"Step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ảnh"&amp;", giá cả và số lượng")</f>
        <v>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 giá cả và số lượng</v>
      </c>
      <c r="L299" s="38"/>
      <c r="M299" s="73" t="s">
        <v>3327</v>
      </c>
      <c r="N299" s="38"/>
      <c r="O299" s="12"/>
      <c r="P299" s="38"/>
    </row>
    <row r="300">
      <c r="A300" s="37"/>
      <c r="B300" s="37"/>
      <c r="C300" s="37"/>
      <c r="D300" s="37"/>
      <c r="E300" s="37"/>
      <c r="F300" s="12" t="s">
        <v>3379</v>
      </c>
      <c r="G300" s="56"/>
      <c r="H300" s="45" t="s">
        <v>3329</v>
      </c>
      <c r="I300" s="12" t="s">
        <v>2333</v>
      </c>
      <c r="J300" s="12" t="s">
        <v>3330</v>
      </c>
      <c r="K300" s="13" t="str">
        <f>IFERROR(__xludf.DUMMYFUNCTION("IF(ISBLANK(J300), ""Input test step"", ARRAYFORMULA(TEXTJOIN(CHAR(10), TRUE, (""Step ""&amp; ROW(INDIRECT(""1:"" &amp; COUNTA(SPLIT(J300, CHAR(10))))) &amp; "": "" &amp; TRANSPOSE(SPLIT(J300, CHAR(10)))))))"),"Step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f>
        <v>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v>
      </c>
      <c r="L300" s="38"/>
      <c r="M300" s="73" t="s">
        <v>3331</v>
      </c>
      <c r="N300" s="38"/>
      <c r="O300" s="12"/>
      <c r="P300" s="38"/>
    </row>
    <row r="301">
      <c r="A301" s="37"/>
      <c r="B301" s="37"/>
      <c r="C301" s="37"/>
      <c r="D301" s="37"/>
      <c r="E301" s="37"/>
      <c r="F301" s="12" t="s">
        <v>3380</v>
      </c>
      <c r="G301" s="56"/>
      <c r="H301" s="73" t="s">
        <v>3346</v>
      </c>
      <c r="I301" s="12" t="s">
        <v>2333</v>
      </c>
      <c r="J301" s="12" t="s">
        <v>3347</v>
      </c>
      <c r="K301" s="13" t="str">
        <f>IFERROR(__xludf.DUMMYFUNCTION("IF(ISBLANK(J301), ""Input test step"", ARRAYFORMULA(TEXTJOIN(CHAR(10), TRUE, (""Step ""&amp; ROW(INDIRECT(""1:"" &amp; COUNTA(SPLIT(J301, CHAR(10))))) &amp; "": "" &amp; TRANSPOSE(SPLIT(J301, CHAR(10)))))))"),"Step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f>
        <v>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v>
      </c>
      <c r="L301" s="38"/>
      <c r="M301" s="73" t="s">
        <v>3348</v>
      </c>
      <c r="N301" s="38"/>
      <c r="O301" s="12"/>
      <c r="P301" s="38"/>
    </row>
    <row r="302">
      <c r="A302" s="37"/>
      <c r="B302" s="37"/>
      <c r="C302" s="37"/>
      <c r="D302" s="37"/>
      <c r="E302" s="37"/>
      <c r="F302" s="12" t="s">
        <v>3381</v>
      </c>
      <c r="G302" s="56"/>
      <c r="H302" s="83" t="s">
        <v>2291</v>
      </c>
      <c r="I302" s="12" t="s">
        <v>2333</v>
      </c>
      <c r="J302" s="12" t="s">
        <v>3351</v>
      </c>
      <c r="K302" s="13" t="str">
        <f>IFERROR(__xludf.DUMMYFUNCTION("IF(ISBLANK(J302), ""Input test step"", ARRAYFORMULA(TEXTJOIN(CHAR(10), TRUE, (""Step ""&amp; ROW(INDIRECT(""1:"" &amp; COUNTA(SPLIT(J302, CHAR(10))))) &amp; "": "" &amp; TRANSPOSE(SPLIT(J302, CHAR(10)))))))"),"Step 1: Đăng nhập vào tài khoản
Step 2: Chọn tab Cá nhân 
Step 3: Chọn Đơn hàng --&gt; xem tất cả 
Step 4: Ở màn hình lịch sử đơn hàng chọn vào xem chi tiết đơn hàng 
Step 5: Ở màn hình thông tin đơn hàng , kiểm tra tổng tiền hàng")</f>
        <v>Step 1: Đăng nhập vào tài khoản
Step 2: Chọn tab Cá nhân 
Step 3: Chọn Đơn hàng --&gt; xem tất cả 
Step 4: Ở màn hình lịch sử đơn hàng chọn vào xem chi tiết đơn hàng 
Step 5: Ở màn hình thông tin đơn hàng , kiểm tra tổng tiền hàng</v>
      </c>
      <c r="L302" s="38"/>
      <c r="M302" s="45" t="s">
        <v>3352</v>
      </c>
      <c r="N302" s="38"/>
      <c r="O302" s="12"/>
      <c r="P302" s="38"/>
    </row>
    <row r="303">
      <c r="A303" s="37"/>
      <c r="B303" s="37"/>
      <c r="C303" s="37"/>
      <c r="D303" s="37"/>
      <c r="E303" s="37"/>
      <c r="F303" s="12" t="s">
        <v>3382</v>
      </c>
      <c r="G303" s="56"/>
      <c r="H303" s="73" t="s">
        <v>2295</v>
      </c>
      <c r="I303" s="12" t="s">
        <v>2333</v>
      </c>
      <c r="J303" s="12" t="s">
        <v>3354</v>
      </c>
      <c r="K303" s="13" t="str">
        <f>IFERROR(__xludf.DUMMYFUNCTION("IF(ISBLANK(J303), ""Input test step"", ARRAYFORMULA(TEXTJOIN(CHAR(10), TRUE, (""Step ""&amp; ROW(INDIRECT(""1:"" &amp; COUNTA(SPLIT(J303, CHAR(10))))) &amp; "": "" &amp; TRANSPOSE(SPLIT(J303, CHAR(10)))))))"),"Step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f>
        <v>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v>
      </c>
      <c r="L303" s="38"/>
      <c r="M303" s="73" t="s">
        <v>3355</v>
      </c>
      <c r="N303" s="38"/>
      <c r="O303" s="12"/>
      <c r="P303" s="38"/>
    </row>
    <row r="304">
      <c r="A304" s="37"/>
      <c r="B304" s="37"/>
      <c r="C304" s="37"/>
      <c r="D304" s="37"/>
      <c r="E304" s="37"/>
      <c r="F304" s="12" t="s">
        <v>3383</v>
      </c>
      <c r="G304" s="56"/>
      <c r="H304" s="73" t="s">
        <v>3357</v>
      </c>
      <c r="I304" s="12" t="s">
        <v>2333</v>
      </c>
      <c r="J304" s="12" t="s">
        <v>3358</v>
      </c>
      <c r="K304" s="13" t="str">
        <f>IFERROR(__xludf.DUMMYFUNCTION("IF(ISBLANK(J304), ""Input test step"", ARRAYFORMULA(TEXTJOIN(CHAR(10), TRUE, (""Step ""&amp; ROW(INDIRECT(""1:"" &amp; COUNTA(SPLIT(J304, CHAR(10))))) &amp; "": "" &amp; TRANSPOSE(SPLIT(J304, CHAR(10)))))))"),"Step 1: Đăng nhập vào tài khoản
Step 2: Chọn tab Cá nhân 
Step 3: Chọn Đơn hàng --&gt; xem tất cả 
Step 4: Ở màn hình lịch sử đơn hàng chọn vào xem chi tiết đơn hàng 
Step 5: Ở màn hình thông tin đơn hàng , kiểm tra tổng giảm giá")</f>
        <v>Step 1: Đăng nhập vào tài khoản
Step 2: Chọn tab Cá nhân 
Step 3: Chọn Đơn hàng --&gt; xem tất cả 
Step 4: Ở màn hình lịch sử đơn hàng chọn vào xem chi tiết đơn hàng 
Step 5: Ở màn hình thông tin đơn hàng , kiểm tra tổng giảm giá</v>
      </c>
      <c r="L304" s="38"/>
      <c r="M304" s="73" t="s">
        <v>3359</v>
      </c>
      <c r="N304" s="38"/>
      <c r="O304" s="12"/>
      <c r="P304" s="38"/>
    </row>
    <row r="305">
      <c r="A305" s="37"/>
      <c r="B305" s="37"/>
      <c r="C305" s="37"/>
      <c r="D305" s="37"/>
      <c r="E305" s="37"/>
      <c r="F305" s="12" t="s">
        <v>3384</v>
      </c>
      <c r="G305" s="56"/>
      <c r="H305" s="83" t="s">
        <v>3361</v>
      </c>
      <c r="I305" s="12" t="s">
        <v>2333</v>
      </c>
      <c r="J305" s="12" t="s">
        <v>3362</v>
      </c>
      <c r="K305" s="13" t="str">
        <f>IFERROR(__xludf.DUMMYFUNCTION("IF(ISBLANK(J305), ""Input test step"", ARRAYFORMULA(TEXTJOIN(CHAR(10), TRUE, (""Step ""&amp; ROW(INDIRECT(""1:"" &amp; COUNTA(SPLIT(J305, CHAR(10))))) &amp; "": "" &amp; TRANSPOSE(SPLIT(J305, CHAR(10)))))))"),"Step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f>
        <v>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v>
      </c>
      <c r="L305" s="38"/>
      <c r="M305" s="73" t="s">
        <v>3363</v>
      </c>
      <c r="N305" s="38"/>
      <c r="O305" s="12"/>
      <c r="P305" s="38"/>
    </row>
    <row r="306">
      <c r="A306" s="37"/>
      <c r="B306" s="37"/>
      <c r="C306" s="37"/>
      <c r="D306" s="37"/>
      <c r="E306" s="37"/>
      <c r="F306" s="12" t="s">
        <v>3385</v>
      </c>
      <c r="G306" s="56"/>
      <c r="H306" s="45" t="s">
        <v>3386</v>
      </c>
      <c r="I306" s="12" t="s">
        <v>2333</v>
      </c>
      <c r="J306" s="12" t="s">
        <v>3387</v>
      </c>
      <c r="K306" s="13" t="str">
        <f>IFERROR(__xludf.DUMMYFUNCTION("IF(ISBLANK(J306), ""Input test step"", ARRAYFORMULA(TEXTJOIN(CHAR(10), TRUE, (""Step ""&amp; ROW(INDIRECT(""1:"" &amp; COUNTA(SPLIT(J306, CHAR(10))))) &amp; "": "" &amp; TRANSPOSE(SPLIT(J306, CHAR(10)))))))"),"Step 1: Đăng nhập vào tài khoản
Step 2: Chọn tab Cá nhân 
Step 3: Chọn Đơn hàng --&gt; xem tất cả 
Step 4: Ở màn hình lịch sử đơn hàng chọn vào xem chi tiết đơn hàng 
Step 5: Ở màn hình thông tin đơn hàng , kiểm tra mã của đơn hàng")</f>
        <v>Step 1: Đăng nhập vào tài khoản
Step 2: Chọn tab Cá nhân 
Step 3: Chọn Đơn hàng --&gt; xem tất cả 
Step 4: Ở màn hình lịch sử đơn hàng chọn vào xem chi tiết đơn hàng 
Step 5: Ở màn hình thông tin đơn hàng , kiểm tra mã của đơn hàng</v>
      </c>
      <c r="L306" s="38"/>
      <c r="M306" s="45" t="s">
        <v>2339</v>
      </c>
      <c r="N306" s="38"/>
      <c r="O306" s="12"/>
      <c r="P306" s="38"/>
    </row>
    <row r="307">
      <c r="A307" s="37"/>
      <c r="B307" s="37"/>
      <c r="C307" s="37"/>
      <c r="D307" s="37"/>
      <c r="E307" s="37"/>
      <c r="F307" s="12" t="s">
        <v>3388</v>
      </c>
      <c r="G307" s="56"/>
      <c r="H307" s="45" t="s">
        <v>3320</v>
      </c>
      <c r="I307" s="12" t="s">
        <v>2333</v>
      </c>
      <c r="J307" s="12" t="s">
        <v>3321</v>
      </c>
      <c r="K307" s="13" t="str">
        <f>IFERROR(__xludf.DUMMYFUNCTION("IF(ISBLANK(J307), ""Input test step"", ARRAYFORMULA(TEXTJOIN(CHAR(10), TRUE, (""Step ""&amp; ROW(INDIRECT(""1:"" &amp; COUNTA(SPLIT(J307, CHAR(10))))) &amp; "": "" &amp; TRANSPOSE(SPLIT(J307, CHAR(10)))))))"),"Step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f>
        <v>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v>
      </c>
      <c r="L307" s="38"/>
      <c r="M307" s="73" t="s">
        <v>3322</v>
      </c>
      <c r="N307" s="38"/>
      <c r="O307" s="12"/>
      <c r="P307" s="38"/>
    </row>
    <row r="308">
      <c r="A308" s="37"/>
      <c r="B308" s="37"/>
      <c r="C308" s="37"/>
      <c r="D308" s="37"/>
      <c r="E308" s="37"/>
      <c r="F308" s="12" t="s">
        <v>3389</v>
      </c>
      <c r="G308" s="56"/>
      <c r="H308" s="107" t="s">
        <v>3390</v>
      </c>
      <c r="I308" s="12" t="s">
        <v>2333</v>
      </c>
      <c r="J308" s="12" t="s">
        <v>3391</v>
      </c>
      <c r="K308" s="13" t="str">
        <f>IFERROR(__xludf.DUMMYFUNCTION("IF(ISBLANK(J308), ""Input test step"", ARRAYFORMULA(TEXTJOIN(CHAR(10), TRUE, (""Step ""&amp; ROW(INDIRECT(""1:"" &amp; COUNTA(SPLIT(J308, CHAR(10))))) &amp; "": "" &amp; TRANSPOSE(SPLIT(J308, CHAR(10)))))))"),"Step 1: Đăng nhập vào tài khoản
Step 2: Chọn tab Cá nhân 
Step 3: Chọn Đơn hàng --&gt; xem tất cả 
Step 4: Ở màn hình lịch sử đơn hàng chọn vào xem chi tiết đơn hàng 
Step 5: Ở màn hình thông tin đơn hàng , kiểm tra nút "" Huỷ đơn "" hiển thị và kiểm tra tha"&amp;"nh header ""  Chọn lí do hủy """)</f>
        <v>Step 1: Đăng nhập vào tài khoản
Step 2: Chọn tab Cá nhân 
Step 3: Chọn Đơn hàng --&gt; xem tất cả 
Step 4: Ở màn hình lịch sử đơn hàng chọn vào xem chi tiết đơn hàng 
Step 5: Ở màn hình thông tin đơn hàng , kiểm tra nút " Huỷ đơn " hiển thị và kiểm tra thanh header "  Chọn lí do hủy "</v>
      </c>
      <c r="L308" s="38"/>
      <c r="M308" s="73" t="s">
        <v>3392</v>
      </c>
      <c r="N308" s="45" t="s">
        <v>3393</v>
      </c>
      <c r="O308" s="12" t="s">
        <v>2</v>
      </c>
      <c r="P308" s="38"/>
    </row>
    <row r="309">
      <c r="A309" s="37"/>
      <c r="B309" s="37"/>
      <c r="C309" s="37"/>
      <c r="D309" s="37"/>
      <c r="E309" s="37"/>
      <c r="F309" s="12" t="s">
        <v>3394</v>
      </c>
      <c r="G309" s="56"/>
      <c r="H309" s="43" t="s">
        <v>3395</v>
      </c>
      <c r="I309" s="63" t="s">
        <v>2333</v>
      </c>
      <c r="J309" s="43" t="s">
        <v>3396</v>
      </c>
      <c r="K309" s="89" t="str">
        <f>IFERROR(__xludf.DUMMYFUNCTION("IF(ISBLANK(J309), ""Input test step"", ARRAYFORMULA(TEXTJOIN(CHAR(10), TRUE, (""Step ""&amp; ROW(INDIRECT(""1:"" &amp; COUNTA(SPLIT(J309, CHAR(10))))) &amp; "": "" &amp; TRANSPOSE(SPLIT(J309, CHAR(10)))))))"),"Step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h"&amp;"ủy
Step 6: Hiển thị dòng text :  "" Vui lòng chọn lí do .. thay đổi sau đó "" --&gt; kiểm tra dòng text, kích thước màu sắc, cỡ chữ")</f>
        <v>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hủy
Step 6: Hiển thị dòng text :  " Vui lòng chọn lí do .. thay đổi sau đó " --&gt; kiểm tra dòng text, kích thước màu sắc, cỡ chữ</v>
      </c>
      <c r="L309" s="108"/>
      <c r="M309" s="43" t="s">
        <v>3397</v>
      </c>
      <c r="N309" s="38"/>
      <c r="O309" s="12"/>
      <c r="P309" s="38"/>
    </row>
    <row r="310">
      <c r="A310" s="37"/>
      <c r="B310" s="37"/>
      <c r="C310" s="37"/>
      <c r="D310" s="37"/>
      <c r="E310" s="37"/>
      <c r="F310" s="12" t="s">
        <v>3398</v>
      </c>
      <c r="G310" s="56"/>
      <c r="H310" s="12" t="s">
        <v>3399</v>
      </c>
      <c r="I310" s="63" t="s">
        <v>2333</v>
      </c>
      <c r="J310" s="43" t="s">
        <v>3400</v>
      </c>
      <c r="K310" s="89" t="str">
        <f>IFERROR(__xludf.DUMMYFUNCTION("IF(ISBLANK(J310), ""Input test step"", ARRAYFORMULA(TEXTJOIN(CHAR(10), TRUE, (""Step ""&amp; ROW(INDIRECT(""1:"" &amp; COUNTA(SPLIT(J310, CHAR(10))))) &amp; "": "" &amp; TRANSPOSE(SPLIT(J310, CHAR(10)))))))"),"Step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h"&amp;"ủy
Step 6: Kiểm tra hiển thị những lí do hủy hàng ")</f>
        <v>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hủy
Step 6: Kiểm tra hiển thị những lí do hủy hàng </v>
      </c>
      <c r="L310" s="14" t="s">
        <v>3401</v>
      </c>
      <c r="M310" s="12" t="s">
        <v>3402</v>
      </c>
      <c r="N310" s="38"/>
      <c r="O310" s="12"/>
      <c r="P310" s="38"/>
    </row>
    <row r="311">
      <c r="A311" s="37"/>
      <c r="B311" s="37"/>
      <c r="C311" s="37"/>
      <c r="D311" s="37"/>
      <c r="E311" s="37"/>
      <c r="F311" s="12" t="s">
        <v>3403</v>
      </c>
      <c r="G311" s="56"/>
      <c r="H311" s="12" t="s">
        <v>3404</v>
      </c>
      <c r="I311" s="63" t="s">
        <v>2333</v>
      </c>
      <c r="J311" s="43" t="s">
        <v>3405</v>
      </c>
      <c r="K311" s="89" t="str">
        <f>IFERROR(__xludf.DUMMYFUNCTION("IF(ISBLANK(J311), ""Input test step"", ARRAYFORMULA(TEXTJOIN(CHAR(10), TRUE, (""Step ""&amp; ROW(INDIRECT(""1:"" &amp; COUNTA(SPLIT(J311, CHAR(10))))) &amp; "": "" &amp; TRANSPOSE(SPLIT(J311, CHAR(10)))))))"),"Step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h"&amp;"ủy
Step 6: Kiểm tra hiển thị khi nhấn button chọn lí do hủy ( button hiển thị màu vàng và nếu không chọn sẽ hiển thị màu trắng )
Step 7: Nhấn Hủy đơn")</f>
        <v>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hủy
Step 6: Kiểm tra hiển thị khi nhấn button chọn lí do hủy ( button hiển thị màu vàng và nếu không chọn sẽ hiển thị màu trắng )
Step 7: Nhấn Hủy đơn</v>
      </c>
      <c r="L311" s="14"/>
      <c r="M311" s="12" t="s">
        <v>3406</v>
      </c>
      <c r="N311" s="73" t="s">
        <v>3407</v>
      </c>
      <c r="O311" s="12" t="s">
        <v>2</v>
      </c>
      <c r="P311" s="38"/>
    </row>
    <row r="312">
      <c r="A312" s="37"/>
      <c r="B312" s="37"/>
      <c r="C312" s="37"/>
      <c r="D312" s="37"/>
      <c r="E312" s="37"/>
      <c r="F312" s="12" t="s">
        <v>3408</v>
      </c>
      <c r="G312" s="56"/>
      <c r="H312" s="12" t="s">
        <v>3409</v>
      </c>
      <c r="I312" s="63" t="s">
        <v>2333</v>
      </c>
      <c r="J312" s="43" t="s">
        <v>3410</v>
      </c>
      <c r="K312" s="89" t="str">
        <f>IFERROR(__xludf.DUMMYFUNCTION("IF(ISBLANK(J312), ""Input test step"", ARRAYFORMULA(TEXTJOIN(CHAR(10), TRUE, (""Step ""&amp; ROW(INDIRECT(""1:"" &amp; COUNTA(SPLIT(J312, CHAR(10))))) &amp; "": "" &amp; TRANSPOSE(SPLIT(J312, CHAR(10)))))))"),"Step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h"&amp;"ủy
Step 6: Kiểm tra hiển thị nhấn chọn tất cả các lí do hủy
Step 7: Nhấn Hủy đơn")</f>
        <v>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hủy
Step 6: Kiểm tra hiển thị nhấn chọn tất cả các lí do hủy
Step 7: Nhấn Hủy đơn</v>
      </c>
      <c r="L312" s="14"/>
      <c r="M312" s="12" t="s">
        <v>3411</v>
      </c>
      <c r="N312" s="38"/>
      <c r="O312" s="12"/>
      <c r="P312" s="38"/>
    </row>
    <row r="313">
      <c r="A313" s="37"/>
      <c r="B313" s="37"/>
      <c r="C313" s="37"/>
      <c r="D313" s="37"/>
      <c r="E313" s="37"/>
      <c r="F313" s="12" t="s">
        <v>3412</v>
      </c>
      <c r="G313" s="56"/>
      <c r="H313" s="12" t="s">
        <v>3413</v>
      </c>
      <c r="I313" s="63" t="s">
        <v>2333</v>
      </c>
      <c r="J313" s="43" t="s">
        <v>3414</v>
      </c>
      <c r="K313" s="89" t="str">
        <f>IFERROR(__xludf.DUMMYFUNCTION("IF(ISBLANK(J313), ""Input test step"", ARRAYFORMULA(TEXTJOIN(CHAR(10), TRUE, (""Step ""&amp; ROW(INDIRECT(""1:"" &amp; COUNTA(SPLIT(J313, CHAR(10))))) &amp; "": "" &amp; TRANSPOSE(SPLIT(J313, CHAR(10)))))))"),"Step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h"&amp;"ủy
Step 6: Kiểm tra hiển thị khi không chọn lí do hủy nào
Step 7: Nhấn Hủy đơn")</f>
        <v>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hủy
Step 6: Kiểm tra hiển thị khi không chọn lí do hủy nào
Step 7: Nhấn Hủy đơn</v>
      </c>
      <c r="L313" s="14"/>
      <c r="M313" s="12" t="s">
        <v>3415</v>
      </c>
      <c r="N313" s="38"/>
      <c r="O313" s="12"/>
      <c r="P313" s="38"/>
    </row>
    <row r="314">
      <c r="A314" s="37"/>
      <c r="B314" s="37"/>
      <c r="C314" s="37"/>
      <c r="D314" s="37"/>
      <c r="E314" s="37"/>
      <c r="F314" s="12" t="s">
        <v>3416</v>
      </c>
      <c r="G314" s="56"/>
      <c r="H314" s="12" t="s">
        <v>3417</v>
      </c>
      <c r="I314" s="63" t="s">
        <v>2333</v>
      </c>
      <c r="J314" s="43" t="s">
        <v>3418</v>
      </c>
      <c r="K314" s="89" t="str">
        <f>IFERROR(__xludf.DUMMYFUNCTION("IF(ISBLANK(J314), ""Input test step"", ARRAYFORMULA(TEXTJOIN(CHAR(10), TRUE, (""Step ""&amp; ROW(INDIRECT(""1:"" &amp; COUNTA(SPLIT(J314, CHAR(10))))) &amp; "": "" &amp; TRANSPOSE(SPLIT(J314, CHAR(10)))))))"),"Step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h"&amp;"ủy
Step 6: Nhấn nút X để tắt cửa sổ "" Chọn lý do hủy """)</f>
        <v>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hủy
Step 6: Nhấn nút X để tắt cửa sổ " Chọn lý do hủy "</v>
      </c>
      <c r="L314" s="14"/>
      <c r="M314" s="12" t="s">
        <v>3419</v>
      </c>
      <c r="N314" s="38"/>
      <c r="O314" s="12"/>
      <c r="P314" s="38"/>
    </row>
    <row r="315">
      <c r="A315" s="37"/>
      <c r="B315" s="37"/>
      <c r="C315" s="37"/>
      <c r="D315" s="37"/>
      <c r="E315" s="37"/>
      <c r="F315" s="12" t="s">
        <v>3420</v>
      </c>
      <c r="G315" s="57"/>
      <c r="H315" s="12" t="s">
        <v>3421</v>
      </c>
      <c r="I315" s="63" t="s">
        <v>2333</v>
      </c>
      <c r="J315" s="43" t="s">
        <v>3422</v>
      </c>
      <c r="K315" s="89" t="str">
        <f>IFERROR(__xludf.DUMMYFUNCTION("IF(ISBLANK(J315), ""Input test step"", ARRAYFORMULA(TEXTJOIN(CHAR(10), TRUE, (""Step ""&amp; ROW(INDIRECT(""1:"" &amp; COUNTA(SPLIT(J315, CHAR(10))))) &amp; "": "" &amp; TRANSPOSE(SPLIT(J315, CHAR(10)))))))"),"Step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h"&amp;"ủy
Step 6: Nhấn chọn 1 lí do hủy đơn hàng và nhấn Đóng")</f>
        <v>Step 1: Đăng nhập vào tài khoản
Step 2: Chọn tab Cá nhân 
Step 3: Chọn Đơn hàng --&gt; xem tất cả 
Step 4: Ở màn hình lịch sử đơn hàng chọn vào xem chi tiết đơn hàng 
Step 5: Ở màn hình thông tin đơn hàng , nhấn vào nút hủy hàng để hiển thị bảng chọn lý do hủy
Step 6: Nhấn chọn 1 lí do hủy đơn hàng và nhấn Đóng</v>
      </c>
      <c r="L315" s="14"/>
      <c r="M315" s="12" t="s">
        <v>3423</v>
      </c>
      <c r="N315" s="38"/>
      <c r="O315" s="12"/>
      <c r="P315" s="38"/>
    </row>
    <row r="316">
      <c r="A316" s="37"/>
      <c r="B316" s="37"/>
      <c r="C316" s="37"/>
      <c r="D316" s="37"/>
      <c r="E316" s="37"/>
      <c r="F316" s="12" t="s">
        <v>3424</v>
      </c>
      <c r="G316" s="105" t="s">
        <v>3425</v>
      </c>
      <c r="H316" s="12" t="s">
        <v>1612</v>
      </c>
      <c r="I316" s="12"/>
      <c r="J316" s="12" t="s">
        <v>3371</v>
      </c>
      <c r="K316" s="13" t="str">
        <f>IFERROR(__xludf.DUMMYFUNCTION("IF(ISBLANK(J316), ""Input test step"", ARRAYFORMULA(TEXTJOIN(CHAR(10), TRUE, (""Step ""&amp; ROW(INDIRECT(""1:"" &amp; COUNTA(SPLIT(J316, CHAR(10))))) &amp; "": "" &amp; TRANSPOSE(SPLIT(J316, CHAR(10)))))))"),"Step 1: Đăng nhập vào tài khoản
Step 2: Chọn tab Cá nhân 
Step 3: Chọn Đơn hàng --&gt; xem tất cả 
Step 4: Ở màn hình lịch sử đơn hàng chọn vào xem chi tiết đơn hàng")</f>
        <v>Step 1: Đăng nhập vào tài khoản
Step 2: Chọn tab Cá nhân 
Step 3: Chọn Đơn hàng --&gt; xem tất cả 
Step 4: Ở màn hình lịch sử đơn hàng chọn vào xem chi tiết đơn hàng</v>
      </c>
      <c r="L316" s="14"/>
      <c r="M316" s="12" t="s">
        <v>1807</v>
      </c>
      <c r="N316" s="73" t="s">
        <v>3291</v>
      </c>
      <c r="O316" s="12" t="s">
        <v>2</v>
      </c>
      <c r="P316" s="38"/>
    </row>
    <row r="317">
      <c r="A317" s="37"/>
      <c r="B317" s="37"/>
      <c r="C317" s="37"/>
      <c r="D317" s="37"/>
      <c r="E317" s="37"/>
      <c r="F317" s="12" t="s">
        <v>3426</v>
      </c>
      <c r="G317" s="56"/>
      <c r="H317" s="45" t="s">
        <v>3293</v>
      </c>
      <c r="I317" s="12" t="s">
        <v>2333</v>
      </c>
      <c r="J317" s="12" t="s">
        <v>3294</v>
      </c>
      <c r="K317" s="13" t="str">
        <f>IFERROR(__xludf.DUMMYFUNCTION("IF(ISBLANK(J317), ""Input test step"", ARRAYFORMULA(TEXTJOIN(CHAR(10), TRUE, (""Step ""&amp; ROW(INDIRECT(""1:"" &amp; COUNTA(SPLIT(J317, CHAR(10))))) &amp; "": "" &amp; TRANSPOSE(SPLIT(J317,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v>
      </c>
      <c r="L317" s="38"/>
      <c r="M317" s="73" t="s">
        <v>3295</v>
      </c>
      <c r="N317" s="73" t="s">
        <v>3427</v>
      </c>
      <c r="O317" s="12" t="s">
        <v>2</v>
      </c>
    </row>
    <row r="318">
      <c r="A318" s="37"/>
      <c r="B318" s="37"/>
      <c r="C318" s="37"/>
      <c r="D318" s="37"/>
      <c r="E318" s="37"/>
      <c r="F318" s="12" t="s">
        <v>3428</v>
      </c>
      <c r="G318" s="56"/>
      <c r="H318" s="45" t="s">
        <v>3297</v>
      </c>
      <c r="I318" s="12" t="s">
        <v>2333</v>
      </c>
      <c r="J318" s="12" t="s">
        <v>3298</v>
      </c>
      <c r="K318" s="13" t="str">
        <f>IFERROR(__xludf.DUMMYFUNCTION("IF(ISBLANK(J318), ""Input test step"", ARRAYFORMULA(TEXTJOIN(CHAR(10), TRUE, (""Step ""&amp; ROW(INDIRECT(""1:"" &amp; COUNTA(SPLIT(J318, CHAR(10))))) &amp; "": "" &amp; TRANSPOSE(SPLIT(J318,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"&amp;"6: Kiểm tra mã đơn vị vẩn chuyển của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6: Kiểm tra mã đơn vị vẩn chuyển của đơn hàng </v>
      </c>
      <c r="L318" s="38"/>
      <c r="M318" s="73" t="s">
        <v>3299</v>
      </c>
      <c r="N318" s="73" t="s">
        <v>3299</v>
      </c>
      <c r="O318" s="12" t="s">
        <v>1</v>
      </c>
    </row>
    <row r="319">
      <c r="A319" s="37"/>
      <c r="B319" s="37"/>
      <c r="C319" s="37"/>
      <c r="D319" s="37"/>
      <c r="E319" s="37"/>
      <c r="F319" s="12" t="s">
        <v>3429</v>
      </c>
      <c r="G319" s="56"/>
      <c r="H319" s="45" t="s">
        <v>3301</v>
      </c>
      <c r="I319" s="12" t="s">
        <v>2333</v>
      </c>
      <c r="J319" s="12" t="s">
        <v>3302</v>
      </c>
      <c r="K319" s="13" t="str">
        <f>IFERROR(__xludf.DUMMYFUNCTION("IF(ISBLANK(J319), ""Input test step"", ARRAYFORMULA(TEXTJOIN(CHAR(10), TRUE, (""Step ""&amp; ROW(INDIRECT(""1:"" &amp; COUNTA(SPLIT(J319, CHAR(10))))) &amp; "": "" &amp; TRANSPOSE(SPLIT(J319, CHAR(10)))))))"),"Step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f>
        <v>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v>
      </c>
      <c r="L319" s="38"/>
      <c r="M319" s="45" t="s">
        <v>3303</v>
      </c>
      <c r="N319" s="38"/>
      <c r="O319" s="12"/>
    </row>
    <row r="320">
      <c r="A320" s="37"/>
      <c r="B320" s="37"/>
      <c r="C320" s="37"/>
      <c r="D320" s="37"/>
      <c r="E320" s="37"/>
      <c r="F320" s="12" t="s">
        <v>3430</v>
      </c>
      <c r="G320" s="56"/>
      <c r="H320" s="73" t="s">
        <v>3305</v>
      </c>
      <c r="I320" s="12" t="s">
        <v>2333</v>
      </c>
      <c r="J320" s="12" t="s">
        <v>3306</v>
      </c>
      <c r="K320" s="13" t="str">
        <f>IFERROR(__xludf.DUMMYFUNCTION("IF(ISBLANK(J320), ""Input test step"", ARRAYFORMULA(TEXTJOIN(CHAR(10), TRUE, (""Step ""&amp; ROW(INDIRECT(""1:"" &amp; COUNTA(SPLIT(J320, CHAR(10))))) &amp; "": "" &amp; TRANSPOSE(SPLIT(J320, CHAR(10)))))))"),"Step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đặ"&amp;"t hàng, Chờ đơn vị vận chuyển, Đang vận chuyển, Đã giao ) ")</f>
        <v>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đặt hàng, Chờ đơn vị vận chuyển, Đang vận chuyển, Đã giao ) </v>
      </c>
      <c r="L320" s="38"/>
      <c r="M320" s="73" t="s">
        <v>3307</v>
      </c>
      <c r="N320" s="38"/>
      <c r="O320" s="12"/>
    </row>
    <row r="321">
      <c r="A321" s="37"/>
      <c r="B321" s="37"/>
      <c r="C321" s="37"/>
      <c r="D321" s="37"/>
      <c r="E321" s="37"/>
      <c r="F321" s="12" t="s">
        <v>3431</v>
      </c>
      <c r="G321" s="56"/>
      <c r="H321" s="45" t="s">
        <v>3310</v>
      </c>
      <c r="I321" s="12" t="s">
        <v>2333</v>
      </c>
      <c r="J321" s="12" t="s">
        <v>3311</v>
      </c>
      <c r="K321" s="13" t="str">
        <f>IFERROR(__xludf.DUMMYFUNCTION("IF(ISBLANK(J321), ""Input test step"", ARRAYFORMULA(TEXTJOIN(CHAR(10), TRUE, (""Step ""&amp; ROW(INDIRECT(""1:"" &amp; COUNTA(SPLIT(J321, CHAR(10))))) &amp; "": "" &amp; TRANSPOSE(SPLIT(J321, CHAR(10)))))))"),"Step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n"&amp;"hận")</f>
        <v>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nhận</v>
      </c>
      <c r="L321" s="38"/>
      <c r="M321" s="73" t="s">
        <v>3312</v>
      </c>
      <c r="N321" s="38"/>
      <c r="O321" s="12"/>
    </row>
    <row r="322">
      <c r="A322" s="37"/>
      <c r="B322" s="37"/>
      <c r="C322" s="37"/>
      <c r="D322" s="37"/>
      <c r="E322" s="37"/>
      <c r="F322" s="12" t="s">
        <v>3432</v>
      </c>
      <c r="G322" s="56"/>
      <c r="H322" s="83" t="s">
        <v>3315</v>
      </c>
      <c r="I322" s="12" t="s">
        <v>2333</v>
      </c>
      <c r="J322" s="12" t="s">
        <v>3316</v>
      </c>
      <c r="K322" s="13" t="str">
        <f>IFERROR(__xludf.DUMMYFUNCTION("IF(ISBLANK(J322), ""Input test step"", ARRAYFORMULA(TEXTJOIN(CHAR(10), TRUE, (""Step ""&amp; ROW(INDIRECT(""1:"" &amp; COUNTA(SPLIT(J322, CHAR(10))))) &amp; "": "" &amp; TRANSPOSE(SPLIT(J322, CHAR(10)))))))"),"Step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f>
        <v>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v>
      </c>
      <c r="L322" s="38"/>
      <c r="M322" s="73" t="s">
        <v>3317</v>
      </c>
      <c r="N322" s="38"/>
      <c r="O322" s="12"/>
    </row>
    <row r="323">
      <c r="A323" s="37"/>
      <c r="B323" s="37"/>
      <c r="C323" s="37"/>
      <c r="D323" s="37"/>
      <c r="E323" s="37"/>
      <c r="F323" s="12" t="s">
        <v>3433</v>
      </c>
      <c r="G323" s="56"/>
      <c r="H323" s="73" t="s">
        <v>3325</v>
      </c>
      <c r="I323" s="12" t="s">
        <v>2333</v>
      </c>
      <c r="J323" s="12" t="s">
        <v>3326</v>
      </c>
      <c r="K323" s="13" t="str">
        <f>IFERROR(__xludf.DUMMYFUNCTION("IF(ISBLANK(J323), ""Input test step"", ARRAYFORMULA(TEXTJOIN(CHAR(10), TRUE, (""Step ""&amp; ROW(INDIRECT(""1:"" &amp; COUNTA(SPLIT(J323, CHAR(10))))) &amp; "": "" &amp; TRANSPOSE(SPLIT(J323, CHAR(10)))))))"),"Step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ảnh"&amp;", giá cả và số lượng")</f>
        <v>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 giá cả và số lượng</v>
      </c>
      <c r="L323" s="38"/>
      <c r="M323" s="73" t="s">
        <v>3327</v>
      </c>
      <c r="N323" s="38"/>
      <c r="O323" s="12"/>
    </row>
    <row r="324">
      <c r="A324" s="37"/>
      <c r="B324" s="37"/>
      <c r="C324" s="37"/>
      <c r="D324" s="37"/>
      <c r="E324" s="37"/>
      <c r="F324" s="12" t="s">
        <v>3434</v>
      </c>
      <c r="G324" s="56"/>
      <c r="H324" s="45" t="s">
        <v>3329</v>
      </c>
      <c r="I324" s="12" t="s">
        <v>2333</v>
      </c>
      <c r="J324" s="12" t="s">
        <v>3330</v>
      </c>
      <c r="K324" s="13" t="str">
        <f>IFERROR(__xludf.DUMMYFUNCTION("IF(ISBLANK(J324), ""Input test step"", ARRAYFORMULA(TEXTJOIN(CHAR(10), TRUE, (""Step ""&amp; ROW(INDIRECT(""1:"" &amp; COUNTA(SPLIT(J324, CHAR(10))))) &amp; "": "" &amp; TRANSPOSE(SPLIT(J324, CHAR(10)))))))"),"Step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f>
        <v>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v>
      </c>
      <c r="L324" s="38"/>
      <c r="M324" s="73" t="s">
        <v>3331</v>
      </c>
      <c r="N324" s="38"/>
      <c r="O324" s="12"/>
    </row>
    <row r="325">
      <c r="A325" s="37"/>
      <c r="B325" s="37"/>
      <c r="C325" s="37"/>
      <c r="D325" s="37"/>
      <c r="E325" s="37"/>
      <c r="F325" s="12" t="s">
        <v>3435</v>
      </c>
      <c r="G325" s="56"/>
      <c r="H325" s="73" t="s">
        <v>3346</v>
      </c>
      <c r="I325" s="12" t="s">
        <v>2333</v>
      </c>
      <c r="J325" s="12" t="s">
        <v>3347</v>
      </c>
      <c r="K325" s="13" t="str">
        <f>IFERROR(__xludf.DUMMYFUNCTION("IF(ISBLANK(J325), ""Input test step"", ARRAYFORMULA(TEXTJOIN(CHAR(10), TRUE, (""Step ""&amp; ROW(INDIRECT(""1:"" &amp; COUNTA(SPLIT(J325, CHAR(10))))) &amp; "": "" &amp; TRANSPOSE(SPLIT(J325, CHAR(10)))))))"),"Step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f>
        <v>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v>
      </c>
      <c r="L325" s="38"/>
      <c r="M325" s="73" t="s">
        <v>3348</v>
      </c>
      <c r="N325" s="38"/>
      <c r="O325" s="12"/>
    </row>
    <row r="326">
      <c r="A326" s="37"/>
      <c r="B326" s="37"/>
      <c r="C326" s="37"/>
      <c r="D326" s="37"/>
      <c r="E326" s="37"/>
      <c r="F326" s="12" t="s">
        <v>3436</v>
      </c>
      <c r="G326" s="56"/>
      <c r="H326" s="83" t="s">
        <v>2291</v>
      </c>
      <c r="I326" s="12" t="s">
        <v>2333</v>
      </c>
      <c r="J326" s="12" t="s">
        <v>3351</v>
      </c>
      <c r="K326" s="13" t="str">
        <f>IFERROR(__xludf.DUMMYFUNCTION("IF(ISBLANK(J326), ""Input test step"", ARRAYFORMULA(TEXTJOIN(CHAR(10), TRUE, (""Step ""&amp; ROW(INDIRECT(""1:"" &amp; COUNTA(SPLIT(J326, CHAR(10))))) &amp; "": "" &amp; TRANSPOSE(SPLIT(J326, CHAR(10)))))))"),"Step 1: Đăng nhập vào tài khoản
Step 2: Chọn tab Cá nhân 
Step 3: Chọn Đơn hàng --&gt; xem tất cả 
Step 4: Ở màn hình lịch sử đơn hàng chọn vào xem chi tiết đơn hàng 
Step 5: Ở màn hình thông tin đơn hàng , kiểm tra tổng tiền hàng")</f>
        <v>Step 1: Đăng nhập vào tài khoản
Step 2: Chọn tab Cá nhân 
Step 3: Chọn Đơn hàng --&gt; xem tất cả 
Step 4: Ở màn hình lịch sử đơn hàng chọn vào xem chi tiết đơn hàng 
Step 5: Ở màn hình thông tin đơn hàng , kiểm tra tổng tiền hàng</v>
      </c>
      <c r="L326" s="38"/>
      <c r="M326" s="45" t="s">
        <v>3352</v>
      </c>
      <c r="N326" s="38"/>
      <c r="O326" s="12"/>
    </row>
    <row r="327">
      <c r="A327" s="37"/>
      <c r="B327" s="37"/>
      <c r="C327" s="37"/>
      <c r="D327" s="37"/>
      <c r="E327" s="37"/>
      <c r="F327" s="12" t="s">
        <v>3437</v>
      </c>
      <c r="G327" s="56"/>
      <c r="H327" s="73" t="s">
        <v>2295</v>
      </c>
      <c r="I327" s="12" t="s">
        <v>2333</v>
      </c>
      <c r="J327" s="12" t="s">
        <v>3354</v>
      </c>
      <c r="K327" s="13" t="str">
        <f>IFERROR(__xludf.DUMMYFUNCTION("IF(ISBLANK(J327), ""Input test step"", ARRAYFORMULA(TEXTJOIN(CHAR(10), TRUE, (""Step ""&amp; ROW(INDIRECT(""1:"" &amp; COUNTA(SPLIT(J327, CHAR(10))))) &amp; "": "" &amp; TRANSPOSE(SPLIT(J327, CHAR(10)))))))"),"Step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f>
        <v>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v>
      </c>
      <c r="L327" s="38"/>
      <c r="M327" s="73" t="s">
        <v>3355</v>
      </c>
      <c r="N327" s="38"/>
      <c r="O327" s="12"/>
    </row>
    <row r="328">
      <c r="A328" s="37"/>
      <c r="B328" s="37"/>
      <c r="C328" s="37"/>
      <c r="D328" s="37"/>
      <c r="E328" s="37"/>
      <c r="F328" s="12" t="s">
        <v>3438</v>
      </c>
      <c r="G328" s="56"/>
      <c r="H328" s="73" t="s">
        <v>3357</v>
      </c>
      <c r="I328" s="12" t="s">
        <v>2333</v>
      </c>
      <c r="J328" s="12" t="s">
        <v>3358</v>
      </c>
      <c r="K328" s="13" t="str">
        <f>IFERROR(__xludf.DUMMYFUNCTION("IF(ISBLANK(J328), ""Input test step"", ARRAYFORMULA(TEXTJOIN(CHAR(10), TRUE, (""Step ""&amp; ROW(INDIRECT(""1:"" &amp; COUNTA(SPLIT(J328, CHAR(10))))) &amp; "": "" &amp; TRANSPOSE(SPLIT(J328, CHAR(10)))))))"),"Step 1: Đăng nhập vào tài khoản
Step 2: Chọn tab Cá nhân 
Step 3: Chọn Đơn hàng --&gt; xem tất cả 
Step 4: Ở màn hình lịch sử đơn hàng chọn vào xem chi tiết đơn hàng 
Step 5: Ở màn hình thông tin đơn hàng , kiểm tra tổng giảm giá")</f>
        <v>Step 1: Đăng nhập vào tài khoản
Step 2: Chọn tab Cá nhân 
Step 3: Chọn Đơn hàng --&gt; xem tất cả 
Step 4: Ở màn hình lịch sử đơn hàng chọn vào xem chi tiết đơn hàng 
Step 5: Ở màn hình thông tin đơn hàng , kiểm tra tổng giảm giá</v>
      </c>
      <c r="L328" s="38"/>
      <c r="M328" s="73" t="s">
        <v>3359</v>
      </c>
      <c r="N328" s="38"/>
      <c r="O328" s="12"/>
    </row>
    <row r="329">
      <c r="A329" s="37"/>
      <c r="B329" s="37"/>
      <c r="C329" s="37"/>
      <c r="D329" s="37"/>
      <c r="E329" s="37"/>
      <c r="F329" s="12" t="s">
        <v>3439</v>
      </c>
      <c r="G329" s="56"/>
      <c r="H329" s="83" t="s">
        <v>3361</v>
      </c>
      <c r="I329" s="12" t="s">
        <v>2333</v>
      </c>
      <c r="J329" s="12" t="s">
        <v>3362</v>
      </c>
      <c r="K329" s="13" t="str">
        <f>IFERROR(__xludf.DUMMYFUNCTION("IF(ISBLANK(J329), ""Input test step"", ARRAYFORMULA(TEXTJOIN(CHAR(10), TRUE, (""Step ""&amp; ROW(INDIRECT(""1:"" &amp; COUNTA(SPLIT(J329, CHAR(10))))) &amp; "": "" &amp; TRANSPOSE(SPLIT(J329, CHAR(10)))))))"),"Step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f>
        <v>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v>
      </c>
      <c r="L329" s="38"/>
      <c r="M329" s="73" t="s">
        <v>3363</v>
      </c>
      <c r="N329" s="38"/>
      <c r="O329" s="12"/>
    </row>
    <row r="330">
      <c r="A330" s="37"/>
      <c r="B330" s="37"/>
      <c r="C330" s="37"/>
      <c r="D330" s="37"/>
      <c r="E330" s="37"/>
      <c r="F330" s="12" t="s">
        <v>3440</v>
      </c>
      <c r="G330" s="56"/>
      <c r="H330" s="45" t="s">
        <v>3386</v>
      </c>
      <c r="I330" s="12" t="s">
        <v>2333</v>
      </c>
      <c r="J330" s="12" t="s">
        <v>3387</v>
      </c>
      <c r="K330" s="13" t="str">
        <f>IFERROR(__xludf.DUMMYFUNCTION("IF(ISBLANK(J330), ""Input test step"", ARRAYFORMULA(TEXTJOIN(CHAR(10), TRUE, (""Step ""&amp; ROW(INDIRECT(""1:"" &amp; COUNTA(SPLIT(J330, CHAR(10))))) &amp; "": "" &amp; TRANSPOSE(SPLIT(J330, CHAR(10)))))))"),"Step 1: Đăng nhập vào tài khoản
Step 2: Chọn tab Cá nhân 
Step 3: Chọn Đơn hàng --&gt; xem tất cả 
Step 4: Ở màn hình lịch sử đơn hàng chọn vào xem chi tiết đơn hàng 
Step 5: Ở màn hình thông tin đơn hàng , kiểm tra mã của đơn hàng")</f>
        <v>Step 1: Đăng nhập vào tài khoản
Step 2: Chọn tab Cá nhân 
Step 3: Chọn Đơn hàng --&gt; xem tất cả 
Step 4: Ở màn hình lịch sử đơn hàng chọn vào xem chi tiết đơn hàng 
Step 5: Ở màn hình thông tin đơn hàng , kiểm tra mã của đơn hàng</v>
      </c>
      <c r="L330" s="38"/>
      <c r="M330" s="45" t="s">
        <v>2339</v>
      </c>
      <c r="N330" s="38"/>
      <c r="O330" s="12"/>
    </row>
    <row r="331">
      <c r="A331" s="37"/>
      <c r="B331" s="37"/>
      <c r="C331" s="37"/>
      <c r="D331" s="37"/>
      <c r="E331" s="37"/>
      <c r="F331" s="12" t="s">
        <v>3441</v>
      </c>
      <c r="G331" s="57"/>
      <c r="H331" s="45" t="s">
        <v>3320</v>
      </c>
      <c r="I331" s="12" t="s">
        <v>2333</v>
      </c>
      <c r="J331" s="12" t="s">
        <v>3321</v>
      </c>
      <c r="K331" s="13" t="str">
        <f>IFERROR(__xludf.DUMMYFUNCTION("IF(ISBLANK(J331), ""Input test step"", ARRAYFORMULA(TEXTJOIN(CHAR(10), TRUE, (""Step ""&amp; ROW(INDIRECT(""1:"" &amp; COUNTA(SPLIT(J331, CHAR(10))))) &amp; "": "" &amp; TRANSPOSE(SPLIT(J331, CHAR(10)))))))"),"Step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f>
        <v>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v>
      </c>
      <c r="L331" s="38"/>
      <c r="M331" s="73" t="s">
        <v>3322</v>
      </c>
      <c r="N331" s="38"/>
      <c r="O331" s="12"/>
    </row>
    <row r="332">
      <c r="A332" s="37"/>
      <c r="B332" s="37"/>
      <c r="C332" s="37"/>
      <c r="D332" s="37"/>
      <c r="E332" s="37"/>
      <c r="F332" s="12" t="s">
        <v>3442</v>
      </c>
      <c r="G332" s="105" t="s">
        <v>3443</v>
      </c>
      <c r="H332" s="12" t="s">
        <v>1612</v>
      </c>
      <c r="I332" s="12"/>
      <c r="J332" s="12" t="s">
        <v>3371</v>
      </c>
      <c r="K332" s="13" t="str">
        <f>IFERROR(__xludf.DUMMYFUNCTION("IF(ISBLANK(J332), ""Input test step"", ARRAYFORMULA(TEXTJOIN(CHAR(10), TRUE, (""Step ""&amp; ROW(INDIRECT(""1:"" &amp; COUNTA(SPLIT(J332, CHAR(10))))) &amp; "": "" &amp; TRANSPOSE(SPLIT(J332, CHAR(10)))))))"),"Step 1: Đăng nhập vào tài khoản
Step 2: Chọn tab Cá nhân 
Step 3: Chọn Đơn hàng --&gt; xem tất cả 
Step 4: Ở màn hình lịch sử đơn hàng chọn vào xem chi tiết đơn hàng")</f>
        <v>Step 1: Đăng nhập vào tài khoản
Step 2: Chọn tab Cá nhân 
Step 3: Chọn Đơn hàng --&gt; xem tất cả 
Step 4: Ở màn hình lịch sử đơn hàng chọn vào xem chi tiết đơn hàng</v>
      </c>
      <c r="L332" s="14"/>
      <c r="M332" s="12" t="s">
        <v>1807</v>
      </c>
      <c r="N332" s="73" t="s">
        <v>3291</v>
      </c>
      <c r="O332" s="12" t="s">
        <v>2</v>
      </c>
    </row>
    <row r="333">
      <c r="A333" s="37"/>
      <c r="B333" s="37"/>
      <c r="C333" s="37"/>
      <c r="D333" s="37"/>
      <c r="E333" s="37"/>
      <c r="F333" s="12" t="s">
        <v>3444</v>
      </c>
      <c r="G333" s="56"/>
      <c r="H333" s="45" t="s">
        <v>3293</v>
      </c>
      <c r="I333" s="12" t="s">
        <v>2333</v>
      </c>
      <c r="J333" s="12" t="s">
        <v>3294</v>
      </c>
      <c r="K333" s="13" t="str">
        <f>IFERROR(__xludf.DUMMYFUNCTION("IF(ISBLANK(J333), ""Input test step"", ARRAYFORMULA(TEXTJOIN(CHAR(10), TRUE, (""Step ""&amp; ROW(INDIRECT(""1:"" &amp; COUNTA(SPLIT(J333, CHAR(10))))) &amp; "": "" &amp; TRANSPOSE(SPLIT(J333,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v>
      </c>
      <c r="L333" s="38"/>
      <c r="M333" s="73" t="s">
        <v>3295</v>
      </c>
      <c r="N333" s="38"/>
      <c r="O333" s="12"/>
    </row>
    <row r="334">
      <c r="A334" s="37"/>
      <c r="B334" s="37"/>
      <c r="C334" s="37"/>
      <c r="D334" s="37"/>
      <c r="E334" s="37"/>
      <c r="F334" s="12" t="s">
        <v>3445</v>
      </c>
      <c r="G334" s="56"/>
      <c r="H334" s="45" t="s">
        <v>3297</v>
      </c>
      <c r="I334" s="12" t="s">
        <v>2333</v>
      </c>
      <c r="J334" s="12" t="s">
        <v>3298</v>
      </c>
      <c r="K334" s="13" t="str">
        <f>IFERROR(__xludf.DUMMYFUNCTION("IF(ISBLANK(J334), ""Input test step"", ARRAYFORMULA(TEXTJOIN(CHAR(10), TRUE, (""Step ""&amp; ROW(INDIRECT(""1:"" &amp; COUNTA(SPLIT(J334, CHAR(10))))) &amp; "": "" &amp; TRANSPOSE(SPLIT(J334,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"&amp;"6: Kiểm tra mã đơn vị vẩn chuyển của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6: Kiểm tra mã đơn vị vẩn chuyển của đơn hàng </v>
      </c>
      <c r="L334" s="38"/>
      <c r="M334" s="73" t="s">
        <v>3299</v>
      </c>
      <c r="N334" s="38"/>
      <c r="O334" s="12"/>
    </row>
    <row r="335">
      <c r="A335" s="37"/>
      <c r="B335" s="37"/>
      <c r="C335" s="37"/>
      <c r="D335" s="37"/>
      <c r="E335" s="37"/>
      <c r="F335" s="12" t="s">
        <v>3446</v>
      </c>
      <c r="G335" s="56"/>
      <c r="H335" s="45" t="s">
        <v>3301</v>
      </c>
      <c r="I335" s="12" t="s">
        <v>2333</v>
      </c>
      <c r="J335" s="12" t="s">
        <v>3302</v>
      </c>
      <c r="K335" s="13" t="str">
        <f>IFERROR(__xludf.DUMMYFUNCTION("IF(ISBLANK(J335), ""Input test step"", ARRAYFORMULA(TEXTJOIN(CHAR(10), TRUE, (""Step ""&amp; ROW(INDIRECT(""1:"" &amp; COUNTA(SPLIT(J335, CHAR(10))))) &amp; "": "" &amp; TRANSPOSE(SPLIT(J335, CHAR(10)))))))"),"Step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f>
        <v>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v>
      </c>
      <c r="L335" s="38"/>
      <c r="M335" s="45" t="s">
        <v>3303</v>
      </c>
      <c r="N335" s="38"/>
      <c r="O335" s="12"/>
    </row>
    <row r="336">
      <c r="A336" s="37"/>
      <c r="B336" s="37"/>
      <c r="C336" s="37"/>
      <c r="D336" s="37"/>
      <c r="E336" s="37"/>
      <c r="F336" s="12" t="s">
        <v>3447</v>
      </c>
      <c r="G336" s="56"/>
      <c r="H336" s="73" t="s">
        <v>3305</v>
      </c>
      <c r="I336" s="12" t="s">
        <v>2333</v>
      </c>
      <c r="J336" s="12" t="s">
        <v>3306</v>
      </c>
      <c r="K336" s="13" t="str">
        <f>IFERROR(__xludf.DUMMYFUNCTION("IF(ISBLANK(J336), ""Input test step"", ARRAYFORMULA(TEXTJOIN(CHAR(10), TRUE, (""Step ""&amp; ROW(INDIRECT(""1:"" &amp; COUNTA(SPLIT(J336, CHAR(10))))) &amp; "": "" &amp; TRANSPOSE(SPLIT(J336, CHAR(10)))))))"),"Step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đặ"&amp;"t hàng, Chờ đơn vị vận chuyển, Đang vận chuyển, Đã giao ) ")</f>
        <v>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đặt hàng, Chờ đơn vị vận chuyển, Đang vận chuyển, Đã giao ) </v>
      </c>
      <c r="L336" s="38"/>
      <c r="M336" s="73" t="s">
        <v>3307</v>
      </c>
      <c r="N336" s="38"/>
      <c r="O336" s="12"/>
    </row>
    <row r="337">
      <c r="A337" s="37"/>
      <c r="B337" s="37"/>
      <c r="C337" s="37"/>
      <c r="D337" s="37"/>
      <c r="E337" s="37"/>
      <c r="F337" s="12" t="s">
        <v>3448</v>
      </c>
      <c r="G337" s="56"/>
      <c r="H337" s="45" t="s">
        <v>3310</v>
      </c>
      <c r="I337" s="12" t="s">
        <v>2333</v>
      </c>
      <c r="J337" s="12" t="s">
        <v>3311</v>
      </c>
      <c r="K337" s="13" t="str">
        <f>IFERROR(__xludf.DUMMYFUNCTION("IF(ISBLANK(J337), ""Input test step"", ARRAYFORMULA(TEXTJOIN(CHAR(10), TRUE, (""Step ""&amp; ROW(INDIRECT(""1:"" &amp; COUNTA(SPLIT(J337, CHAR(10))))) &amp; "": "" &amp; TRANSPOSE(SPLIT(J337, CHAR(10)))))))"),"Step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n"&amp;"hận")</f>
        <v>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nhận</v>
      </c>
      <c r="L337" s="38"/>
      <c r="M337" s="73" t="s">
        <v>3312</v>
      </c>
      <c r="N337" s="38"/>
      <c r="O337" s="12"/>
    </row>
    <row r="338">
      <c r="A338" s="37"/>
      <c r="B338" s="37"/>
      <c r="C338" s="37"/>
      <c r="D338" s="37"/>
      <c r="E338" s="37"/>
      <c r="F338" s="12" t="s">
        <v>3449</v>
      </c>
      <c r="G338" s="56"/>
      <c r="H338" s="83" t="s">
        <v>3315</v>
      </c>
      <c r="I338" s="12" t="s">
        <v>2333</v>
      </c>
      <c r="J338" s="12" t="s">
        <v>3316</v>
      </c>
      <c r="K338" s="13" t="str">
        <f>IFERROR(__xludf.DUMMYFUNCTION("IF(ISBLANK(J338), ""Input test step"", ARRAYFORMULA(TEXTJOIN(CHAR(10), TRUE, (""Step ""&amp; ROW(INDIRECT(""1:"" &amp; COUNTA(SPLIT(J338, CHAR(10))))) &amp; "": "" &amp; TRANSPOSE(SPLIT(J338, CHAR(10)))))))"),"Step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f>
        <v>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v>
      </c>
      <c r="L338" s="38"/>
      <c r="M338" s="73" t="s">
        <v>3317</v>
      </c>
      <c r="N338" s="38"/>
      <c r="O338" s="12"/>
    </row>
    <row r="339">
      <c r="A339" s="37"/>
      <c r="B339" s="37"/>
      <c r="C339" s="37"/>
      <c r="D339" s="37"/>
      <c r="E339" s="37"/>
      <c r="F339" s="12" t="s">
        <v>3450</v>
      </c>
      <c r="G339" s="56"/>
      <c r="H339" s="73" t="s">
        <v>3325</v>
      </c>
      <c r="I339" s="12" t="s">
        <v>2333</v>
      </c>
      <c r="J339" s="12" t="s">
        <v>3326</v>
      </c>
      <c r="K339" s="13" t="str">
        <f>IFERROR(__xludf.DUMMYFUNCTION("IF(ISBLANK(J339), ""Input test step"", ARRAYFORMULA(TEXTJOIN(CHAR(10), TRUE, (""Step ""&amp; ROW(INDIRECT(""1:"" &amp; COUNTA(SPLIT(J339, CHAR(10))))) &amp; "": "" &amp; TRANSPOSE(SPLIT(J339, CHAR(10)))))))"),"Step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ảnh"&amp;", giá cả và số lượng")</f>
        <v>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 giá cả và số lượng</v>
      </c>
      <c r="L339" s="38"/>
      <c r="M339" s="73" t="s">
        <v>3327</v>
      </c>
      <c r="N339" s="38"/>
      <c r="O339" s="12"/>
    </row>
    <row r="340">
      <c r="A340" s="37"/>
      <c r="B340" s="37"/>
      <c r="C340" s="37"/>
      <c r="D340" s="37"/>
      <c r="E340" s="37"/>
      <c r="F340" s="12" t="s">
        <v>3451</v>
      </c>
      <c r="G340" s="56"/>
      <c r="H340" s="45" t="s">
        <v>3329</v>
      </c>
      <c r="I340" s="12" t="s">
        <v>2333</v>
      </c>
      <c r="J340" s="12" t="s">
        <v>3330</v>
      </c>
      <c r="K340" s="13" t="str">
        <f>IFERROR(__xludf.DUMMYFUNCTION("IF(ISBLANK(J340), ""Input test step"", ARRAYFORMULA(TEXTJOIN(CHAR(10), TRUE, (""Step ""&amp; ROW(INDIRECT(""1:"" &amp; COUNTA(SPLIT(J340, CHAR(10))))) &amp; "": "" &amp; TRANSPOSE(SPLIT(J340, CHAR(10)))))))"),"Step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f>
        <v>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v>
      </c>
      <c r="L340" s="38"/>
      <c r="M340" s="73" t="s">
        <v>3331</v>
      </c>
      <c r="N340" s="38"/>
      <c r="O340" s="12"/>
    </row>
    <row r="341">
      <c r="A341" s="37"/>
      <c r="B341" s="37"/>
      <c r="C341" s="37"/>
      <c r="D341" s="37"/>
      <c r="E341" s="37"/>
      <c r="F341" s="12" t="s">
        <v>3452</v>
      </c>
      <c r="G341" s="56"/>
      <c r="H341" s="73" t="s">
        <v>3346</v>
      </c>
      <c r="I341" s="12" t="s">
        <v>2333</v>
      </c>
      <c r="J341" s="12" t="s">
        <v>3347</v>
      </c>
      <c r="K341" s="13" t="str">
        <f>IFERROR(__xludf.DUMMYFUNCTION("IF(ISBLANK(J341), ""Input test step"", ARRAYFORMULA(TEXTJOIN(CHAR(10), TRUE, (""Step ""&amp; ROW(INDIRECT(""1:"" &amp; COUNTA(SPLIT(J341, CHAR(10))))) &amp; "": "" &amp; TRANSPOSE(SPLIT(J341, CHAR(10)))))))"),"Step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f>
        <v>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v>
      </c>
      <c r="L341" s="38"/>
      <c r="M341" s="73" t="s">
        <v>3348</v>
      </c>
      <c r="N341" s="38"/>
      <c r="O341" s="12"/>
    </row>
    <row r="342">
      <c r="A342" s="37"/>
      <c r="B342" s="37"/>
      <c r="C342" s="37"/>
      <c r="D342" s="37"/>
      <c r="E342" s="37"/>
      <c r="F342" s="12" t="s">
        <v>3453</v>
      </c>
      <c r="G342" s="56"/>
      <c r="H342" s="83" t="s">
        <v>2291</v>
      </c>
      <c r="I342" s="12" t="s">
        <v>2333</v>
      </c>
      <c r="J342" s="12" t="s">
        <v>3351</v>
      </c>
      <c r="K342" s="13" t="str">
        <f>IFERROR(__xludf.DUMMYFUNCTION("IF(ISBLANK(J342), ""Input test step"", ARRAYFORMULA(TEXTJOIN(CHAR(10), TRUE, (""Step ""&amp; ROW(INDIRECT(""1:"" &amp; COUNTA(SPLIT(J342, CHAR(10))))) &amp; "": "" &amp; TRANSPOSE(SPLIT(J342, CHAR(10)))))))"),"Step 1: Đăng nhập vào tài khoản
Step 2: Chọn tab Cá nhân 
Step 3: Chọn Đơn hàng --&gt; xem tất cả 
Step 4: Ở màn hình lịch sử đơn hàng chọn vào xem chi tiết đơn hàng 
Step 5: Ở màn hình thông tin đơn hàng , kiểm tra tổng tiền hàng")</f>
        <v>Step 1: Đăng nhập vào tài khoản
Step 2: Chọn tab Cá nhân 
Step 3: Chọn Đơn hàng --&gt; xem tất cả 
Step 4: Ở màn hình lịch sử đơn hàng chọn vào xem chi tiết đơn hàng 
Step 5: Ở màn hình thông tin đơn hàng , kiểm tra tổng tiền hàng</v>
      </c>
      <c r="L342" s="38"/>
      <c r="M342" s="45" t="s">
        <v>3352</v>
      </c>
      <c r="N342" s="38"/>
      <c r="O342" s="12"/>
    </row>
    <row r="343">
      <c r="A343" s="37"/>
      <c r="B343" s="37"/>
      <c r="C343" s="37"/>
      <c r="D343" s="37"/>
      <c r="E343" s="37"/>
      <c r="F343" s="12" t="s">
        <v>3454</v>
      </c>
      <c r="G343" s="56"/>
      <c r="H343" s="73" t="s">
        <v>2295</v>
      </c>
      <c r="I343" s="12" t="s">
        <v>2333</v>
      </c>
      <c r="J343" s="12" t="s">
        <v>3354</v>
      </c>
      <c r="K343" s="13" t="str">
        <f>IFERROR(__xludf.DUMMYFUNCTION("IF(ISBLANK(J343), ""Input test step"", ARRAYFORMULA(TEXTJOIN(CHAR(10), TRUE, (""Step ""&amp; ROW(INDIRECT(""1:"" &amp; COUNTA(SPLIT(J343, CHAR(10))))) &amp; "": "" &amp; TRANSPOSE(SPLIT(J343, CHAR(10)))))))"),"Step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f>
        <v>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v>
      </c>
      <c r="L343" s="38"/>
      <c r="M343" s="73" t="s">
        <v>3355</v>
      </c>
      <c r="N343" s="38"/>
      <c r="O343" s="12"/>
    </row>
    <row r="344">
      <c r="A344" s="37"/>
      <c r="B344" s="37"/>
      <c r="C344" s="37"/>
      <c r="D344" s="37"/>
      <c r="E344" s="37"/>
      <c r="F344" s="12" t="s">
        <v>3455</v>
      </c>
      <c r="G344" s="56"/>
      <c r="H344" s="73" t="s">
        <v>3357</v>
      </c>
      <c r="I344" s="12" t="s">
        <v>2333</v>
      </c>
      <c r="J344" s="12" t="s">
        <v>3358</v>
      </c>
      <c r="K344" s="13" t="str">
        <f>IFERROR(__xludf.DUMMYFUNCTION("IF(ISBLANK(J344), ""Input test step"", ARRAYFORMULA(TEXTJOIN(CHAR(10), TRUE, (""Step ""&amp; ROW(INDIRECT(""1:"" &amp; COUNTA(SPLIT(J344, CHAR(10))))) &amp; "": "" &amp; TRANSPOSE(SPLIT(J344, CHAR(10)))))))"),"Step 1: Đăng nhập vào tài khoản
Step 2: Chọn tab Cá nhân 
Step 3: Chọn Đơn hàng --&gt; xem tất cả 
Step 4: Ở màn hình lịch sử đơn hàng chọn vào xem chi tiết đơn hàng 
Step 5: Ở màn hình thông tin đơn hàng , kiểm tra tổng giảm giá")</f>
        <v>Step 1: Đăng nhập vào tài khoản
Step 2: Chọn tab Cá nhân 
Step 3: Chọn Đơn hàng --&gt; xem tất cả 
Step 4: Ở màn hình lịch sử đơn hàng chọn vào xem chi tiết đơn hàng 
Step 5: Ở màn hình thông tin đơn hàng , kiểm tra tổng giảm giá</v>
      </c>
      <c r="L344" s="38"/>
      <c r="M344" s="73" t="s">
        <v>3359</v>
      </c>
      <c r="N344" s="38"/>
      <c r="O344" s="12"/>
    </row>
    <row r="345">
      <c r="A345" s="37"/>
      <c r="B345" s="37"/>
      <c r="C345" s="37"/>
      <c r="D345" s="37"/>
      <c r="E345" s="37"/>
      <c r="F345" s="12" t="s">
        <v>3456</v>
      </c>
      <c r="G345" s="56"/>
      <c r="H345" s="83" t="s">
        <v>3361</v>
      </c>
      <c r="I345" s="12" t="s">
        <v>2333</v>
      </c>
      <c r="J345" s="12" t="s">
        <v>3362</v>
      </c>
      <c r="K345" s="13" t="str">
        <f>IFERROR(__xludf.DUMMYFUNCTION("IF(ISBLANK(J345), ""Input test step"", ARRAYFORMULA(TEXTJOIN(CHAR(10), TRUE, (""Step ""&amp; ROW(INDIRECT(""1:"" &amp; COUNTA(SPLIT(J345, CHAR(10))))) &amp; "": "" &amp; TRANSPOSE(SPLIT(J345, CHAR(10)))))))"),"Step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f>
        <v>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v>
      </c>
      <c r="L345" s="38"/>
      <c r="M345" s="73" t="s">
        <v>3363</v>
      </c>
      <c r="N345" s="38"/>
      <c r="O345" s="12"/>
    </row>
    <row r="346">
      <c r="A346" s="37"/>
      <c r="B346" s="37"/>
      <c r="C346" s="37"/>
      <c r="D346" s="37"/>
      <c r="E346" s="37"/>
      <c r="F346" s="12" t="s">
        <v>3457</v>
      </c>
      <c r="G346" s="56"/>
      <c r="H346" s="45" t="s">
        <v>3386</v>
      </c>
      <c r="I346" s="12" t="s">
        <v>2333</v>
      </c>
      <c r="J346" s="12" t="s">
        <v>3387</v>
      </c>
      <c r="K346" s="13" t="str">
        <f>IFERROR(__xludf.DUMMYFUNCTION("IF(ISBLANK(J346), ""Input test step"", ARRAYFORMULA(TEXTJOIN(CHAR(10), TRUE, (""Step ""&amp; ROW(INDIRECT(""1:"" &amp; COUNTA(SPLIT(J346, CHAR(10))))) &amp; "": "" &amp; TRANSPOSE(SPLIT(J346, CHAR(10)))))))"),"Step 1: Đăng nhập vào tài khoản
Step 2: Chọn tab Cá nhân 
Step 3: Chọn Đơn hàng --&gt; xem tất cả 
Step 4: Ở màn hình lịch sử đơn hàng chọn vào xem chi tiết đơn hàng 
Step 5: Ở màn hình thông tin đơn hàng , kiểm tra mã của đơn hàng")</f>
        <v>Step 1: Đăng nhập vào tài khoản
Step 2: Chọn tab Cá nhân 
Step 3: Chọn Đơn hàng --&gt; xem tất cả 
Step 4: Ở màn hình lịch sử đơn hàng chọn vào xem chi tiết đơn hàng 
Step 5: Ở màn hình thông tin đơn hàng , kiểm tra mã của đơn hàng</v>
      </c>
      <c r="L346" s="38"/>
      <c r="M346" s="45" t="s">
        <v>2339</v>
      </c>
      <c r="N346" s="38"/>
      <c r="O346" s="12"/>
    </row>
    <row r="347">
      <c r="A347" s="37"/>
      <c r="B347" s="37"/>
      <c r="C347" s="37"/>
      <c r="D347" s="37"/>
      <c r="E347" s="37"/>
      <c r="F347" s="12" t="s">
        <v>3458</v>
      </c>
      <c r="G347" s="57"/>
      <c r="H347" s="45" t="s">
        <v>3320</v>
      </c>
      <c r="I347" s="12" t="s">
        <v>2333</v>
      </c>
      <c r="J347" s="12" t="s">
        <v>3321</v>
      </c>
      <c r="K347" s="13" t="str">
        <f>IFERROR(__xludf.DUMMYFUNCTION("IF(ISBLANK(J347), ""Input test step"", ARRAYFORMULA(TEXTJOIN(CHAR(10), TRUE, (""Step ""&amp; ROW(INDIRECT(""1:"" &amp; COUNTA(SPLIT(J347, CHAR(10))))) &amp; "": "" &amp; TRANSPOSE(SPLIT(J347, CHAR(10)))))))"),"Step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f>
        <v>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v>
      </c>
      <c r="L347" s="38"/>
      <c r="M347" s="73" t="s">
        <v>3322</v>
      </c>
      <c r="N347" s="38"/>
      <c r="O347" s="12"/>
    </row>
    <row r="348">
      <c r="A348" s="37"/>
      <c r="B348" s="37"/>
      <c r="C348" s="37"/>
      <c r="D348" s="37"/>
      <c r="E348" s="37"/>
      <c r="F348" s="12" t="s">
        <v>3459</v>
      </c>
      <c r="G348" s="105" t="s">
        <v>3460</v>
      </c>
      <c r="H348" s="12" t="s">
        <v>1612</v>
      </c>
      <c r="I348" s="12"/>
      <c r="J348" s="12" t="s">
        <v>3371</v>
      </c>
      <c r="K348" s="13" t="str">
        <f>IFERROR(__xludf.DUMMYFUNCTION("IF(ISBLANK(J348), ""Input test step"", ARRAYFORMULA(TEXTJOIN(CHAR(10), TRUE, (""Step ""&amp; ROW(INDIRECT(""1:"" &amp; COUNTA(SPLIT(J348, CHAR(10))))) &amp; "": "" &amp; TRANSPOSE(SPLIT(J348, CHAR(10)))))))"),"Step 1: Đăng nhập vào tài khoản
Step 2: Chọn tab Cá nhân 
Step 3: Chọn Đơn hàng --&gt; xem tất cả 
Step 4: Ở màn hình lịch sử đơn hàng chọn vào xem chi tiết đơn hàng")</f>
        <v>Step 1: Đăng nhập vào tài khoản
Step 2: Chọn tab Cá nhân 
Step 3: Chọn Đơn hàng --&gt; xem tất cả 
Step 4: Ở màn hình lịch sử đơn hàng chọn vào xem chi tiết đơn hàng</v>
      </c>
      <c r="L348" s="14"/>
      <c r="M348" s="12" t="s">
        <v>1807</v>
      </c>
      <c r="N348" s="38"/>
      <c r="O348" s="12"/>
    </row>
    <row r="349">
      <c r="A349" s="37"/>
      <c r="B349" s="37"/>
      <c r="C349" s="37"/>
      <c r="D349" s="37"/>
      <c r="E349" s="37"/>
      <c r="F349" s="12" t="s">
        <v>3461</v>
      </c>
      <c r="G349" s="56"/>
      <c r="H349" s="45" t="s">
        <v>3293</v>
      </c>
      <c r="I349" s="12" t="s">
        <v>2333</v>
      </c>
      <c r="J349" s="12" t="s">
        <v>3294</v>
      </c>
      <c r="K349" s="13" t="str">
        <f>IFERROR(__xludf.DUMMYFUNCTION("IF(ISBLANK(J349), ""Input test step"", ARRAYFORMULA(TEXTJOIN(CHAR(10), TRUE, (""Step ""&amp; ROW(INDIRECT(""1:"" &amp; COUNTA(SPLIT(J349, CHAR(10))))) &amp; "": "" &amp; TRANSPOSE(SPLIT(J349,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v>
      </c>
      <c r="L349" s="38"/>
      <c r="M349" s="73" t="s">
        <v>3295</v>
      </c>
      <c r="N349" s="38"/>
      <c r="O349" s="12"/>
    </row>
    <row r="350">
      <c r="A350" s="37"/>
      <c r="B350" s="37"/>
      <c r="C350" s="37"/>
      <c r="D350" s="37"/>
      <c r="E350" s="37"/>
      <c r="F350" s="12" t="s">
        <v>3462</v>
      </c>
      <c r="G350" s="56"/>
      <c r="H350" s="45" t="s">
        <v>3297</v>
      </c>
      <c r="I350" s="12" t="s">
        <v>2333</v>
      </c>
      <c r="J350" s="12" t="s">
        <v>3298</v>
      </c>
      <c r="K350" s="13" t="str">
        <f>IFERROR(__xludf.DUMMYFUNCTION("IF(ISBLANK(J350), ""Input test step"", ARRAYFORMULA(TEXTJOIN(CHAR(10), TRUE, (""Step ""&amp; ROW(INDIRECT(""1:"" &amp; COUNTA(SPLIT(J350, CHAR(10))))) &amp; "": "" &amp; TRANSPOSE(SPLIT(J350,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"&amp;"6: Kiểm tra mã đơn vị vẩn chuyển của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6: Kiểm tra mã đơn vị vẩn chuyển của đơn hàng </v>
      </c>
      <c r="L350" s="38"/>
      <c r="M350" s="73" t="s">
        <v>3299</v>
      </c>
      <c r="N350" s="38"/>
      <c r="O350" s="12"/>
    </row>
    <row r="351">
      <c r="A351" s="37"/>
      <c r="B351" s="37"/>
      <c r="C351" s="37"/>
      <c r="D351" s="37"/>
      <c r="E351" s="37"/>
      <c r="F351" s="12" t="s">
        <v>3463</v>
      </c>
      <c r="G351" s="56"/>
      <c r="H351" s="45" t="s">
        <v>3301</v>
      </c>
      <c r="I351" s="12" t="s">
        <v>2333</v>
      </c>
      <c r="J351" s="12" t="s">
        <v>3302</v>
      </c>
      <c r="K351" s="13" t="str">
        <f>IFERROR(__xludf.DUMMYFUNCTION("IF(ISBLANK(J351), ""Input test step"", ARRAYFORMULA(TEXTJOIN(CHAR(10), TRUE, (""Step ""&amp; ROW(INDIRECT(""1:"" &amp; COUNTA(SPLIT(J351, CHAR(10))))) &amp; "": "" &amp; TRANSPOSE(SPLIT(J351, CHAR(10)))))))"),"Step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f>
        <v>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v>
      </c>
      <c r="L351" s="38"/>
      <c r="M351" s="45" t="s">
        <v>3303</v>
      </c>
      <c r="N351" s="38"/>
      <c r="O351" s="12"/>
    </row>
    <row r="352">
      <c r="A352" s="37"/>
      <c r="B352" s="37"/>
      <c r="C352" s="37"/>
      <c r="D352" s="37"/>
      <c r="E352" s="37"/>
      <c r="F352" s="12" t="s">
        <v>3464</v>
      </c>
      <c r="G352" s="56"/>
      <c r="H352" s="73" t="s">
        <v>3305</v>
      </c>
      <c r="I352" s="12" t="s">
        <v>2333</v>
      </c>
      <c r="J352" s="12" t="s">
        <v>3306</v>
      </c>
      <c r="K352" s="13" t="str">
        <f>IFERROR(__xludf.DUMMYFUNCTION("IF(ISBLANK(J352), ""Input test step"", ARRAYFORMULA(TEXTJOIN(CHAR(10), TRUE, (""Step ""&amp; ROW(INDIRECT(""1:"" &amp; COUNTA(SPLIT(J352, CHAR(10))))) &amp; "": "" &amp; TRANSPOSE(SPLIT(J352, CHAR(10)))))))"),"Step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đặ"&amp;"t hàng, Chờ đơn vị vận chuyển, Đang vận chuyển, Đã giao ) ")</f>
        <v>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đặt hàng, Chờ đơn vị vận chuyển, Đang vận chuyển, Đã giao ) </v>
      </c>
      <c r="L352" s="38"/>
      <c r="M352" s="73" t="s">
        <v>3307</v>
      </c>
      <c r="N352" s="38"/>
      <c r="O352" s="12"/>
    </row>
    <row r="353">
      <c r="A353" s="37"/>
      <c r="B353" s="37"/>
      <c r="C353" s="37"/>
      <c r="D353" s="37"/>
      <c r="E353" s="37"/>
      <c r="F353" s="12" t="s">
        <v>3465</v>
      </c>
      <c r="G353" s="56"/>
      <c r="H353" s="45" t="s">
        <v>3310</v>
      </c>
      <c r="I353" s="12" t="s">
        <v>2333</v>
      </c>
      <c r="J353" s="12" t="s">
        <v>3311</v>
      </c>
      <c r="K353" s="13" t="str">
        <f>IFERROR(__xludf.DUMMYFUNCTION("IF(ISBLANK(J353), ""Input test step"", ARRAYFORMULA(TEXTJOIN(CHAR(10), TRUE, (""Step ""&amp; ROW(INDIRECT(""1:"" &amp; COUNTA(SPLIT(J353, CHAR(10))))) &amp; "": "" &amp; TRANSPOSE(SPLIT(J353, CHAR(10)))))))"),"Step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n"&amp;"hận")</f>
        <v>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nhận</v>
      </c>
      <c r="L353" s="38"/>
      <c r="M353" s="73" t="s">
        <v>3312</v>
      </c>
      <c r="N353" s="38"/>
      <c r="O353" s="12"/>
    </row>
    <row r="354">
      <c r="A354" s="37"/>
      <c r="B354" s="37"/>
      <c r="C354" s="37"/>
      <c r="D354" s="37"/>
      <c r="E354" s="37"/>
      <c r="F354" s="12" t="s">
        <v>3466</v>
      </c>
      <c r="G354" s="56"/>
      <c r="H354" s="83" t="s">
        <v>3315</v>
      </c>
      <c r="I354" s="12" t="s">
        <v>2333</v>
      </c>
      <c r="J354" s="12" t="s">
        <v>3316</v>
      </c>
      <c r="K354" s="13" t="str">
        <f>IFERROR(__xludf.DUMMYFUNCTION("IF(ISBLANK(J354), ""Input test step"", ARRAYFORMULA(TEXTJOIN(CHAR(10), TRUE, (""Step ""&amp; ROW(INDIRECT(""1:"" &amp; COUNTA(SPLIT(J354, CHAR(10))))) &amp; "": "" &amp; TRANSPOSE(SPLIT(J354, CHAR(10)))))))"),"Step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f>
        <v>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v>
      </c>
      <c r="L354" s="38"/>
      <c r="M354" s="73" t="s">
        <v>3317</v>
      </c>
      <c r="N354" s="38"/>
      <c r="O354" s="12"/>
    </row>
    <row r="355">
      <c r="A355" s="37"/>
      <c r="B355" s="37"/>
      <c r="C355" s="37"/>
      <c r="D355" s="37"/>
      <c r="E355" s="37"/>
      <c r="F355" s="12" t="s">
        <v>3467</v>
      </c>
      <c r="G355" s="56"/>
      <c r="H355" s="73" t="s">
        <v>3325</v>
      </c>
      <c r="I355" s="12" t="s">
        <v>2333</v>
      </c>
      <c r="J355" s="12" t="s">
        <v>3326</v>
      </c>
      <c r="K355" s="13" t="str">
        <f>IFERROR(__xludf.DUMMYFUNCTION("IF(ISBLANK(J355), ""Input test step"", ARRAYFORMULA(TEXTJOIN(CHAR(10), TRUE, (""Step ""&amp; ROW(INDIRECT(""1:"" &amp; COUNTA(SPLIT(J355, CHAR(10))))) &amp; "": "" &amp; TRANSPOSE(SPLIT(J355, CHAR(10)))))))"),"Step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ảnh"&amp;", giá cả và số lượng")</f>
        <v>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 giá cả và số lượng</v>
      </c>
      <c r="L355" s="38"/>
      <c r="M355" s="73" t="s">
        <v>3327</v>
      </c>
      <c r="N355" s="38"/>
      <c r="O355" s="12"/>
    </row>
    <row r="356">
      <c r="A356" s="37"/>
      <c r="B356" s="37"/>
      <c r="C356" s="37"/>
      <c r="D356" s="37"/>
      <c r="E356" s="37"/>
      <c r="F356" s="12" t="s">
        <v>3468</v>
      </c>
      <c r="G356" s="56"/>
      <c r="H356" s="45" t="s">
        <v>3329</v>
      </c>
      <c r="I356" s="12" t="s">
        <v>2333</v>
      </c>
      <c r="J356" s="12" t="s">
        <v>3330</v>
      </c>
      <c r="K356" s="13" t="str">
        <f>IFERROR(__xludf.DUMMYFUNCTION("IF(ISBLANK(J356), ""Input test step"", ARRAYFORMULA(TEXTJOIN(CHAR(10), TRUE, (""Step ""&amp; ROW(INDIRECT(""1:"" &amp; COUNTA(SPLIT(J356, CHAR(10))))) &amp; "": "" &amp; TRANSPOSE(SPLIT(J356, CHAR(10)))))))"),"Step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f>
        <v>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v>
      </c>
      <c r="L356" s="38"/>
      <c r="M356" s="73" t="s">
        <v>3331</v>
      </c>
      <c r="N356" s="38"/>
      <c r="O356" s="12"/>
    </row>
    <row r="357">
      <c r="A357" s="37"/>
      <c r="B357" s="37"/>
      <c r="C357" s="37"/>
      <c r="D357" s="37"/>
      <c r="E357" s="37"/>
      <c r="F357" s="12" t="s">
        <v>3469</v>
      </c>
      <c r="G357" s="56"/>
      <c r="H357" s="73" t="s">
        <v>3346</v>
      </c>
      <c r="I357" s="12" t="s">
        <v>2333</v>
      </c>
      <c r="J357" s="12" t="s">
        <v>3347</v>
      </c>
      <c r="K357" s="13" t="str">
        <f>IFERROR(__xludf.DUMMYFUNCTION("IF(ISBLANK(J357), ""Input test step"", ARRAYFORMULA(TEXTJOIN(CHAR(10), TRUE, (""Step ""&amp; ROW(INDIRECT(""1:"" &amp; COUNTA(SPLIT(J357, CHAR(10))))) &amp; "": "" &amp; TRANSPOSE(SPLIT(J357, CHAR(10)))))))"),"Step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f>
        <v>Step 1: Đăng nhập vào tài khoản
Step 2: Chọn tab Cá nhân 
Step 3: Chọn Đơn hàng --&gt; xem tất cả 
Step 4: Ở màn hình lịch sử đơn hàng chọn vào xem chi tiết đơn hàng 
Step 5: Ở màn hình thông tin đơn hàng , kiểm tra ghi chú toàn sản phẩm</v>
      </c>
      <c r="L357" s="38"/>
      <c r="M357" s="73" t="s">
        <v>3348</v>
      </c>
      <c r="N357" s="38"/>
      <c r="O357" s="12"/>
    </row>
    <row r="358">
      <c r="A358" s="37"/>
      <c r="B358" s="37"/>
      <c r="C358" s="37"/>
      <c r="D358" s="37"/>
      <c r="E358" s="37"/>
      <c r="F358" s="12" t="s">
        <v>3470</v>
      </c>
      <c r="G358" s="56"/>
      <c r="H358" s="83" t="s">
        <v>2291</v>
      </c>
      <c r="I358" s="12" t="s">
        <v>2333</v>
      </c>
      <c r="J358" s="12" t="s">
        <v>3351</v>
      </c>
      <c r="K358" s="13" t="str">
        <f>IFERROR(__xludf.DUMMYFUNCTION("IF(ISBLANK(J358), ""Input test step"", ARRAYFORMULA(TEXTJOIN(CHAR(10), TRUE, (""Step ""&amp; ROW(INDIRECT(""1:"" &amp; COUNTA(SPLIT(J358, CHAR(10))))) &amp; "": "" &amp; TRANSPOSE(SPLIT(J358, CHAR(10)))))))"),"Step 1: Đăng nhập vào tài khoản
Step 2: Chọn tab Cá nhân 
Step 3: Chọn Đơn hàng --&gt; xem tất cả 
Step 4: Ở màn hình lịch sử đơn hàng chọn vào xem chi tiết đơn hàng 
Step 5: Ở màn hình thông tin đơn hàng , kiểm tra tổng tiền hàng")</f>
        <v>Step 1: Đăng nhập vào tài khoản
Step 2: Chọn tab Cá nhân 
Step 3: Chọn Đơn hàng --&gt; xem tất cả 
Step 4: Ở màn hình lịch sử đơn hàng chọn vào xem chi tiết đơn hàng 
Step 5: Ở màn hình thông tin đơn hàng , kiểm tra tổng tiền hàng</v>
      </c>
      <c r="L358" s="38"/>
      <c r="M358" s="45" t="s">
        <v>3352</v>
      </c>
      <c r="N358" s="38"/>
      <c r="O358" s="12"/>
    </row>
    <row r="359">
      <c r="A359" s="37"/>
      <c r="B359" s="37"/>
      <c r="C359" s="37"/>
      <c r="D359" s="37"/>
      <c r="E359" s="37"/>
      <c r="F359" s="12" t="s">
        <v>3471</v>
      </c>
      <c r="G359" s="56"/>
      <c r="H359" s="73" t="s">
        <v>2295</v>
      </c>
      <c r="I359" s="12" t="s">
        <v>2333</v>
      </c>
      <c r="J359" s="12" t="s">
        <v>3354</v>
      </c>
      <c r="K359" s="13" t="str">
        <f>IFERROR(__xludf.DUMMYFUNCTION("IF(ISBLANK(J359), ""Input test step"", ARRAYFORMULA(TEXTJOIN(CHAR(10), TRUE, (""Step ""&amp; ROW(INDIRECT(""1:"" &amp; COUNTA(SPLIT(J359, CHAR(10))))) &amp; "": "" &amp; TRANSPOSE(SPLIT(J359, CHAR(10)))))))"),"Step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f>
        <v>Step 1: Đăng nhập vào tài khoản
Step 2: Chọn tab Cá nhân 
Step 3: Chọn Đơn hàng --&gt; xem tất cả 
Step 4: Ở màn hình lịch sử đơn hàng chọn vào xem chi tiết đơn hàng 
Step 5: Ở màn hình thông tin đơn hàng , kiểm tra tổng tiền phí vận chuyển</v>
      </c>
      <c r="L359" s="38"/>
      <c r="M359" s="73" t="s">
        <v>3355</v>
      </c>
      <c r="N359" s="38"/>
      <c r="O359" s="12"/>
    </row>
    <row r="360">
      <c r="A360" s="37"/>
      <c r="B360" s="37"/>
      <c r="C360" s="37"/>
      <c r="D360" s="37"/>
      <c r="E360" s="37"/>
      <c r="F360" s="12" t="s">
        <v>3472</v>
      </c>
      <c r="G360" s="56"/>
      <c r="H360" s="73" t="s">
        <v>3357</v>
      </c>
      <c r="I360" s="12" t="s">
        <v>2333</v>
      </c>
      <c r="J360" s="12" t="s">
        <v>3358</v>
      </c>
      <c r="K360" s="13" t="str">
        <f>IFERROR(__xludf.DUMMYFUNCTION("IF(ISBLANK(J360), ""Input test step"", ARRAYFORMULA(TEXTJOIN(CHAR(10), TRUE, (""Step ""&amp; ROW(INDIRECT(""1:"" &amp; COUNTA(SPLIT(J360, CHAR(10))))) &amp; "": "" &amp; TRANSPOSE(SPLIT(J360, CHAR(10)))))))"),"Step 1: Đăng nhập vào tài khoản
Step 2: Chọn tab Cá nhân 
Step 3: Chọn Đơn hàng --&gt; xem tất cả 
Step 4: Ở màn hình lịch sử đơn hàng chọn vào xem chi tiết đơn hàng 
Step 5: Ở màn hình thông tin đơn hàng , kiểm tra tổng giảm giá")</f>
        <v>Step 1: Đăng nhập vào tài khoản
Step 2: Chọn tab Cá nhân 
Step 3: Chọn Đơn hàng --&gt; xem tất cả 
Step 4: Ở màn hình lịch sử đơn hàng chọn vào xem chi tiết đơn hàng 
Step 5: Ở màn hình thông tin đơn hàng , kiểm tra tổng giảm giá</v>
      </c>
      <c r="L360" s="38"/>
      <c r="M360" s="73" t="s">
        <v>3359</v>
      </c>
      <c r="N360" s="38"/>
      <c r="O360" s="12"/>
    </row>
    <row r="361">
      <c r="A361" s="37"/>
      <c r="B361" s="37"/>
      <c r="C361" s="37"/>
      <c r="D361" s="37"/>
      <c r="E361" s="37"/>
      <c r="F361" s="12" t="s">
        <v>3473</v>
      </c>
      <c r="G361" s="56"/>
      <c r="H361" s="83" t="s">
        <v>3361</v>
      </c>
      <c r="I361" s="12" t="s">
        <v>2333</v>
      </c>
      <c r="J361" s="12" t="s">
        <v>3362</v>
      </c>
      <c r="K361" s="13" t="str">
        <f>IFERROR(__xludf.DUMMYFUNCTION("IF(ISBLANK(J361), ""Input test step"", ARRAYFORMULA(TEXTJOIN(CHAR(10), TRUE, (""Step ""&amp; ROW(INDIRECT(""1:"" &amp; COUNTA(SPLIT(J361, CHAR(10))))) &amp; "": "" &amp; TRANSPOSE(SPLIT(J361, CHAR(10)))))))"),"Step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f>
        <v>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v>
      </c>
      <c r="L361" s="38"/>
      <c r="M361" s="73" t="s">
        <v>3363</v>
      </c>
      <c r="N361" s="38"/>
      <c r="O361" s="12"/>
    </row>
    <row r="362">
      <c r="A362" s="37"/>
      <c r="B362" s="37"/>
      <c r="C362" s="37"/>
      <c r="D362" s="37"/>
      <c r="E362" s="37"/>
      <c r="F362" s="12" t="s">
        <v>3474</v>
      </c>
      <c r="G362" s="56"/>
      <c r="H362" s="45" t="s">
        <v>3386</v>
      </c>
      <c r="I362" s="12" t="s">
        <v>2333</v>
      </c>
      <c r="J362" s="12" t="s">
        <v>3387</v>
      </c>
      <c r="K362" s="13" t="str">
        <f>IFERROR(__xludf.DUMMYFUNCTION("IF(ISBLANK(J362), ""Input test step"", ARRAYFORMULA(TEXTJOIN(CHAR(10), TRUE, (""Step ""&amp; ROW(INDIRECT(""1:"" &amp; COUNTA(SPLIT(J362, CHAR(10))))) &amp; "": "" &amp; TRANSPOSE(SPLIT(J362, CHAR(10)))))))"),"Step 1: Đăng nhập vào tài khoản
Step 2: Chọn tab Cá nhân 
Step 3: Chọn Đơn hàng --&gt; xem tất cả 
Step 4: Ở màn hình lịch sử đơn hàng chọn vào xem chi tiết đơn hàng 
Step 5: Ở màn hình thông tin đơn hàng , kiểm tra mã của đơn hàng")</f>
        <v>Step 1: Đăng nhập vào tài khoản
Step 2: Chọn tab Cá nhân 
Step 3: Chọn Đơn hàng --&gt; xem tất cả 
Step 4: Ở màn hình lịch sử đơn hàng chọn vào xem chi tiết đơn hàng 
Step 5: Ở màn hình thông tin đơn hàng , kiểm tra mã của đơn hàng</v>
      </c>
      <c r="L362" s="38"/>
      <c r="M362" s="45" t="s">
        <v>2339</v>
      </c>
      <c r="N362" s="38"/>
      <c r="O362" s="12"/>
    </row>
    <row r="363">
      <c r="A363" s="37"/>
      <c r="B363" s="37"/>
      <c r="C363" s="37"/>
      <c r="D363" s="37"/>
      <c r="E363" s="37"/>
      <c r="F363" s="12" t="s">
        <v>3475</v>
      </c>
      <c r="G363" s="57"/>
      <c r="H363" s="45" t="s">
        <v>3320</v>
      </c>
      <c r="I363" s="12" t="s">
        <v>2333</v>
      </c>
      <c r="J363" s="12" t="s">
        <v>3321</v>
      </c>
      <c r="K363" s="13" t="str">
        <f>IFERROR(__xludf.DUMMYFUNCTION("IF(ISBLANK(J363), ""Input test step"", ARRAYFORMULA(TEXTJOIN(CHAR(10), TRUE, (""Step ""&amp; ROW(INDIRECT(""1:"" &amp; COUNTA(SPLIT(J363, CHAR(10))))) &amp; "": "" &amp; TRANSPOSE(SPLIT(J363, CHAR(10)))))))"),"Step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f>
        <v>Step 1: Đăng nhập vào tài khoản
Step 2: Chọn tab Cá nhân 
Step 3: Chọn Đơn hàng --&gt; xem tất cả 
Step 4: Ở màn hình lịch sử đơn hàng chọn vào xem chi tiết đơn hàng 
Step 5: Ở màn hình thông tin đơn hàng , nhấn chuột vào nút sao chép đơn hàng</v>
      </c>
      <c r="L363" s="38"/>
      <c r="M363" s="73" t="s">
        <v>3322</v>
      </c>
      <c r="N363" s="38"/>
      <c r="O363" s="12"/>
    </row>
    <row r="364">
      <c r="A364" s="37"/>
      <c r="B364" s="37"/>
      <c r="C364" s="37"/>
      <c r="D364" s="37"/>
      <c r="E364" s="37"/>
      <c r="F364" s="12" t="s">
        <v>3476</v>
      </c>
      <c r="G364" s="105" t="s">
        <v>3477</v>
      </c>
      <c r="H364" s="12" t="s">
        <v>1612</v>
      </c>
      <c r="I364" s="12"/>
      <c r="J364" s="12" t="s">
        <v>3371</v>
      </c>
      <c r="K364" s="13" t="str">
        <f>IFERROR(__xludf.DUMMYFUNCTION("IF(ISBLANK(J364), ""Input test step"", ARRAYFORMULA(TEXTJOIN(CHAR(10), TRUE, (""Step ""&amp; ROW(INDIRECT(""1:"" &amp; COUNTA(SPLIT(J364, CHAR(10))))) &amp; "": "" &amp; TRANSPOSE(SPLIT(J364, CHAR(10)))))))"),"Step 1: Đăng nhập vào tài khoản
Step 2: Chọn tab Cá nhân 
Step 3: Chọn Đơn hàng --&gt; xem tất cả 
Step 4: Ở màn hình lịch sử đơn hàng chọn vào xem chi tiết đơn hàng")</f>
        <v>Step 1: Đăng nhập vào tài khoản
Step 2: Chọn tab Cá nhân 
Step 3: Chọn Đơn hàng --&gt; xem tất cả 
Step 4: Ở màn hình lịch sử đơn hàng chọn vào xem chi tiết đơn hàng</v>
      </c>
      <c r="L364" s="14"/>
      <c r="M364" s="12" t="s">
        <v>1807</v>
      </c>
      <c r="N364" s="38"/>
      <c r="O364" s="12"/>
    </row>
    <row r="365">
      <c r="A365" s="37"/>
      <c r="B365" s="37"/>
      <c r="C365" s="37"/>
      <c r="D365" s="37"/>
      <c r="E365" s="37"/>
      <c r="F365" s="12" t="s">
        <v>3478</v>
      </c>
      <c r="G365" s="56"/>
      <c r="H365" s="45" t="s">
        <v>3293</v>
      </c>
      <c r="I365" s="12" t="s">
        <v>2333</v>
      </c>
      <c r="J365" s="12" t="s">
        <v>3294</v>
      </c>
      <c r="K365" s="13" t="str">
        <f>IFERROR(__xludf.DUMMYFUNCTION("IF(ISBLANK(J365), ""Input test step"", ARRAYFORMULA(TEXTJOIN(CHAR(10), TRUE, (""Step ""&amp; ROW(INDIRECT(""1:"" &amp; COUNTA(SPLIT(J365, CHAR(10))))) &amp; "": "" &amp; TRANSPOSE(SPLIT(J365,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v>
      </c>
      <c r="L365" s="38"/>
      <c r="M365" s="73" t="s">
        <v>3295</v>
      </c>
      <c r="N365" s="38"/>
      <c r="O365" s="12"/>
    </row>
    <row r="366">
      <c r="A366" s="37"/>
      <c r="B366" s="37"/>
      <c r="C366" s="37"/>
      <c r="D366" s="37"/>
      <c r="E366" s="37"/>
      <c r="F366" s="12" t="s">
        <v>3479</v>
      </c>
      <c r="G366" s="56"/>
      <c r="H366" s="73" t="s">
        <v>3480</v>
      </c>
      <c r="I366" s="12" t="s">
        <v>2333</v>
      </c>
      <c r="J366" s="12" t="s">
        <v>3481</v>
      </c>
      <c r="K366" s="13" t="str">
        <f>IFERROR(__xludf.DUMMYFUNCTION("IF(ISBLANK(J366), ""Input test step"", ARRAYFORMULA(TEXTJOIN(CHAR(10), TRUE, (""Step ""&amp; ROW(INDIRECT(""1:"" &amp; COUNTA(SPLIT(J366, CHAR(10))))) &amp; "": "" &amp; TRANSPOSE(SPLIT(J366, CHAR(10)))))))"),"Step 1: Đăng nhập vào tài khoản
Step 2: Chọn tab Cá nhân 
Step 3: Chọn Đơn hàng --&gt; xem tất cả 
Step 4: Ở màn hình lịch sử đơn hàng chọn vào xem chi tiết đơn hàng 
Step 5: Ở màn hình thông tin đơn hàng , kiểm tra hiển thị thời gian ( giờ và ngày hủy hàng "&amp;") ")</f>
        <v>Step 1: Đăng nhập vào tài khoản
Step 2: Chọn tab Cá nhân 
Step 3: Chọn Đơn hàng --&gt; xem tất cả 
Step 4: Ở màn hình lịch sử đơn hàng chọn vào xem chi tiết đơn hàng 
Step 5: Ở màn hình thông tin đơn hàng , kiểm tra hiển thị thời gian ( giờ và ngày hủy hàng ) </v>
      </c>
      <c r="L366" s="38"/>
      <c r="M366" s="73" t="s">
        <v>3482</v>
      </c>
      <c r="N366" s="38"/>
      <c r="O366" s="12"/>
    </row>
    <row r="367">
      <c r="A367" s="37"/>
      <c r="B367" s="37"/>
      <c r="C367" s="37"/>
      <c r="D367" s="37"/>
      <c r="E367" s="37"/>
      <c r="F367" s="12" t="s">
        <v>3483</v>
      </c>
      <c r="G367" s="56"/>
      <c r="H367" s="45" t="s">
        <v>3297</v>
      </c>
      <c r="I367" s="12" t="s">
        <v>2333</v>
      </c>
      <c r="J367" s="12" t="s">
        <v>3298</v>
      </c>
      <c r="K367" s="13" t="str">
        <f>IFERROR(__xludf.DUMMYFUNCTION("IF(ISBLANK(J367), ""Input test step"", ARRAYFORMULA(TEXTJOIN(CHAR(10), TRUE, (""Step ""&amp; ROW(INDIRECT(""1:"" &amp; COUNTA(SPLIT(J367, CHAR(10))))) &amp; "": "" &amp; TRANSPOSE(SPLIT(J367, CHAR(10)))))))"),"Step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"&amp;"6: Kiểm tra mã đơn vị vẩn chuyển của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trạng thái ở tab đang chọn 
Step 6: Kiểm tra mã đơn vị vẩn chuyển của đơn hàng </v>
      </c>
      <c r="L367" s="38"/>
      <c r="M367" s="73" t="s">
        <v>3299</v>
      </c>
      <c r="N367" s="38"/>
      <c r="O367" s="12"/>
    </row>
    <row r="368">
      <c r="A368" s="37"/>
      <c r="B368" s="37"/>
      <c r="C368" s="37"/>
      <c r="D368" s="37"/>
      <c r="E368" s="37"/>
      <c r="F368" s="12" t="s">
        <v>3484</v>
      </c>
      <c r="G368" s="56"/>
      <c r="H368" s="45" t="s">
        <v>3301</v>
      </c>
      <c r="I368" s="12" t="s">
        <v>2333</v>
      </c>
      <c r="J368" s="12" t="s">
        <v>3302</v>
      </c>
      <c r="K368" s="13" t="str">
        <f>IFERROR(__xludf.DUMMYFUNCTION("IF(ISBLANK(J368), ""Input test step"", ARRAYFORMULA(TEXTJOIN(CHAR(10), TRUE, (""Step ""&amp; ROW(INDIRECT(""1:"" &amp; COUNTA(SPLIT(J368, CHAR(10))))) &amp; "": "" &amp; TRANSPOSE(SPLIT(J368, CHAR(10)))))))"),"Step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f>
        <v>Step 1: Đăng nhập vào tài khoản
Step 2: Chọn tab Cá nhân 
Step 3: Chọn Đơn hàng --&gt; xem tất cả 
Step 4: Ở màn hình lịch sử đơn hàng chọn vào xem chi tiết đơn hàng 
Step 5: Ở màn hình thông tin đơn hàng , kiểm tra hiển thị thời gian đặt </v>
      </c>
      <c r="L368" s="38"/>
      <c r="M368" s="45" t="s">
        <v>3303</v>
      </c>
      <c r="N368" s="38"/>
      <c r="O368" s="12"/>
    </row>
    <row r="369">
      <c r="A369" s="37"/>
      <c r="B369" s="37"/>
      <c r="C369" s="37"/>
      <c r="D369" s="37"/>
      <c r="E369" s="37"/>
      <c r="F369" s="12" t="s">
        <v>3485</v>
      </c>
      <c r="G369" s="56"/>
      <c r="H369" s="73" t="s">
        <v>3486</v>
      </c>
      <c r="I369" s="12" t="s">
        <v>2333</v>
      </c>
      <c r="J369" s="12" t="s">
        <v>3487</v>
      </c>
      <c r="K369" s="13" t="str">
        <f>IFERROR(__xludf.DUMMYFUNCTION("IF(ISBLANK(J369), ""Input test step"", ARRAYFORMULA(TEXTJOIN(CHAR(10), TRUE, (""Step ""&amp; ROW(INDIRECT(""1:"" &amp; COUNTA(SPLIT(J369, CHAR(10))))) &amp; "": "" &amp; TRANSPOSE(SPLIT(J369, CHAR(10)))))))"),"Step 1: Đăng nhập vào tài khoản
Step 2: Chọn tab Cá nhân 
Step 3: Chọn Đơn hàng --&gt; xem tất cả 
Step 4: Ở màn hình lịch sử đơn hàng chọn vào xem chi tiết đơn hàng 
Step 5: Ở màn hình thông tin đơn hàng , kiểm tra hiển thị lí do hủy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lí do hủy đơn hàng </v>
      </c>
      <c r="L369" s="38"/>
      <c r="M369" s="73" t="s">
        <v>3488</v>
      </c>
      <c r="N369" s="38"/>
      <c r="O369" s="12"/>
    </row>
    <row r="370">
      <c r="A370" s="37"/>
      <c r="B370" s="37"/>
      <c r="C370" s="37"/>
      <c r="D370" s="37"/>
      <c r="E370" s="37"/>
      <c r="F370" s="12" t="s">
        <v>3489</v>
      </c>
      <c r="G370" s="56"/>
      <c r="H370" s="73" t="s">
        <v>3305</v>
      </c>
      <c r="I370" s="12" t="s">
        <v>2333</v>
      </c>
      <c r="J370" s="12" t="s">
        <v>3306</v>
      </c>
      <c r="K370" s="13" t="str">
        <f>IFERROR(__xludf.DUMMYFUNCTION("IF(ISBLANK(J370), ""Input test step"", ARRAYFORMULA(TEXTJOIN(CHAR(10), TRUE, (""Step ""&amp; ROW(INDIRECT(""1:"" &amp; COUNTA(SPLIT(J370, CHAR(10))))) &amp; "": "" &amp; TRANSPOSE(SPLIT(J370, CHAR(10)))))))"),"Step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đặ"&amp;"t hàng, Chờ đơn vị vận chuyển, Đang vận chuyển, Đã giao ) ")</f>
        <v>Step 1: Đăng nhập vào tài khoản
Step 2: Chọn tab Cá nhân 
Step 3: Chọn Đơn hàng --&gt; xem tất cả 
Step 4: Ở màn hình lịch sử đơn hàng chọn vào xem chi tiết đơn hàng 
Step 5: Ở màn hình thông tin đơn hàng , xác minh các trạng thái tiến trình đơn hàng ( Đã đặt hàng, Chờ đơn vị vận chuyển, Đang vận chuyển, Đã giao ) </v>
      </c>
      <c r="L370" s="38"/>
      <c r="M370" s="73" t="s">
        <v>3307</v>
      </c>
      <c r="N370" s="38"/>
      <c r="O370" s="12"/>
    </row>
    <row r="371">
      <c r="A371" s="37"/>
      <c r="B371" s="37"/>
      <c r="C371" s="37"/>
      <c r="D371" s="37"/>
      <c r="E371" s="37"/>
      <c r="F371" s="12" t="s">
        <v>3490</v>
      </c>
      <c r="G371" s="56"/>
      <c r="H371" s="45" t="s">
        <v>3310</v>
      </c>
      <c r="I371" s="12" t="s">
        <v>2333</v>
      </c>
      <c r="J371" s="12" t="s">
        <v>3311</v>
      </c>
      <c r="K371" s="13" t="str">
        <f>IFERROR(__xludf.DUMMYFUNCTION("IF(ISBLANK(J371), ""Input test step"", ARRAYFORMULA(TEXTJOIN(CHAR(10), TRUE, (""Step ""&amp; ROW(INDIRECT(""1:"" &amp; COUNTA(SPLIT(J371, CHAR(10))))) &amp; "": "" &amp; TRANSPOSE(SPLIT(J371, CHAR(10)))))))"),"Step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n"&amp;"hận")</f>
        <v>Step 1: Đăng nhập vào tài khoản
Step 2: Chọn tab Cá nhân 
Step 3: Chọn Đơn hàng --&gt; xem tất cả 
Step 4: Ở màn hình lịch sử đơn hàng chọn vào xem chi tiết đơn hàng 
Step 5: Ở màn hình thông tin đơn hàng , kiểm tra tên , số điện thoại và địa chỉ của người nhận</v>
      </c>
      <c r="L371" s="38"/>
      <c r="M371" s="73" t="s">
        <v>3312</v>
      </c>
      <c r="N371" s="38"/>
      <c r="O371" s="12"/>
    </row>
    <row r="372">
      <c r="A372" s="37"/>
      <c r="B372" s="37"/>
      <c r="C372" s="37"/>
      <c r="D372" s="37"/>
      <c r="E372" s="37"/>
      <c r="F372" s="12" t="s">
        <v>3491</v>
      </c>
      <c r="G372" s="56"/>
      <c r="H372" s="83" t="s">
        <v>3315</v>
      </c>
      <c r="I372" s="12" t="s">
        <v>2333</v>
      </c>
      <c r="J372" s="12" t="s">
        <v>3316</v>
      </c>
      <c r="K372" s="13" t="str">
        <f>IFERROR(__xludf.DUMMYFUNCTION("IF(ISBLANK(J372), ""Input test step"", ARRAYFORMULA(TEXTJOIN(CHAR(10), TRUE, (""Step ""&amp; ROW(INDIRECT(""1:"" &amp; COUNTA(SPLIT(J372, CHAR(10))))) &amp; "": "" &amp; TRANSPOSE(SPLIT(J372, CHAR(10)))))))"),"Step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f>
        <v>Step 1: Đăng nhập vào tài khoản
Step 2: Chọn tab Cá nhân 
Step 3: Chọn Đơn hàng --&gt; xem tất cả 
Step 4: Ở màn hình lịch sử đơn hàng chọn vào xem chi tiết đơn hàng 
Step 5: Ở màn hình thông tin đơn hàng , kiểm tra phần ghi chú đơn hàng</v>
      </c>
      <c r="L372" s="38"/>
      <c r="M372" s="73" t="s">
        <v>3317</v>
      </c>
      <c r="N372" s="38"/>
      <c r="O372" s="12"/>
    </row>
    <row r="373">
      <c r="A373" s="37"/>
      <c r="B373" s="37"/>
      <c r="C373" s="37"/>
      <c r="D373" s="37"/>
      <c r="E373" s="37"/>
      <c r="F373" s="12" t="s">
        <v>3492</v>
      </c>
      <c r="G373" s="56"/>
      <c r="H373" s="73" t="s">
        <v>3386</v>
      </c>
      <c r="I373" s="12" t="s">
        <v>2333</v>
      </c>
      <c r="J373" s="12" t="s">
        <v>3493</v>
      </c>
      <c r="K373" s="13" t="str">
        <f>IFERROR(__xludf.DUMMYFUNCTION("IF(ISBLANK(J373), ""Input test step"", ARRAYFORMULA(TEXTJOIN(CHAR(10), TRUE, (""Step ""&amp; ROW(INDIRECT(""1:"" &amp; COUNTA(SPLIT(J373, CHAR(10))))) &amp; "": "" &amp; TRANSPOSE(SPLIT(J373, CHAR(10)))))))"),"Step 1: Đăng nhập vào tài khoản
Step 2: Chọn tab Cá nhân 
Step 3: Chọn Đơn hàng --&gt; xem tất cả 
Step 4: Ở màn hình lịch sử đơn hàng chọn vào xem chi tiết đơn hàng 
Step 5: Ở màn hình thông tin đơn hàng , kiểm tra mã  đơn hàng ")</f>
        <v>Step 1: Đăng nhập vào tài khoản
Step 2: Chọn tab Cá nhân 
Step 3: Chọn Đơn hàng --&gt; xem tất cả 
Step 4: Ở màn hình lịch sử đơn hàng chọn vào xem chi tiết đơn hàng 
Step 5: Ở màn hình thông tin đơn hàng , kiểm tra mã  đơn hàng </v>
      </c>
      <c r="L373" s="38"/>
      <c r="M373" s="73" t="s">
        <v>2339</v>
      </c>
      <c r="N373" s="38"/>
      <c r="O373" s="12"/>
    </row>
    <row r="374">
      <c r="A374" s="37"/>
      <c r="B374" s="37"/>
      <c r="C374" s="37"/>
      <c r="D374" s="37"/>
      <c r="E374" s="37"/>
      <c r="F374" s="12" t="s">
        <v>3494</v>
      </c>
      <c r="G374" s="56"/>
      <c r="H374" s="73" t="s">
        <v>3495</v>
      </c>
      <c r="I374" s="12" t="s">
        <v>2333</v>
      </c>
      <c r="J374" s="12" t="s">
        <v>3496</v>
      </c>
      <c r="K374" s="13" t="str">
        <f>IFERROR(__xludf.DUMMYFUNCTION("IF(ISBLANK(J374), ""Input test step"", ARRAYFORMULA(TEXTJOIN(CHAR(10), TRUE, (""Step ""&amp; ROW(INDIRECT(""1:"" &amp; COUNTA(SPLIT(J374, CHAR(10))))) &amp; "": "" &amp; TRANSPOSE(SPLIT(J374, CHAR(10)))))))"),"Step 1: Đăng nhập vào tài khoản
Step 2: Chọn tab Cá nhân 
Step 3: Chọn Đơn hàng --&gt; xem tất cả 
Step 4: Ở màn hình lịch sử đơn hàng chọn vào xem chi tiết đơn hàng 
Step 5: Ở màn hình thông tin đơn hàng , kiểm tra nút copy đơn hàng")</f>
        <v>Step 1: Đăng nhập vào tài khoản
Step 2: Chọn tab Cá nhân 
Step 3: Chọn Đơn hàng --&gt; xem tất cả 
Step 4: Ở màn hình lịch sử đơn hàng chọn vào xem chi tiết đơn hàng 
Step 5: Ở màn hình thông tin đơn hàng , kiểm tra nút copy đơn hàng</v>
      </c>
      <c r="L374" s="38"/>
      <c r="M374" s="73" t="s">
        <v>3497</v>
      </c>
      <c r="N374" s="38"/>
      <c r="O374" s="12"/>
    </row>
    <row r="375">
      <c r="A375" s="37"/>
      <c r="B375" s="37"/>
      <c r="C375" s="37"/>
      <c r="D375" s="37"/>
      <c r="E375" s="37"/>
      <c r="F375" s="12" t="s">
        <v>3498</v>
      </c>
      <c r="G375" s="56"/>
      <c r="H375" s="73" t="s">
        <v>3325</v>
      </c>
      <c r="I375" s="12" t="s">
        <v>2333</v>
      </c>
      <c r="J375" s="12" t="s">
        <v>3326</v>
      </c>
      <c r="K375" s="13" t="str">
        <f>IFERROR(__xludf.DUMMYFUNCTION("IF(ISBLANK(J375), ""Input test step"", ARRAYFORMULA(TEXTJOIN(CHAR(10), TRUE, (""Step ""&amp; ROW(INDIRECT(""1:"" &amp; COUNTA(SPLIT(J375, CHAR(10))))) &amp; "": "" &amp; TRANSPOSE(SPLIT(J375, CHAR(10)))))))"),"Step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ảnh"&amp;", giá cả và số lượng")</f>
        <v>Step 1: Đăng nhập vào tài khoản
Step 2: Chọn tab Cá nhân 
Step 3: Chọn Đơn hàng --&gt; xem tất cả 
Step 4: Ở màn hình lịch sử đơn hàng chọn vào xem chi tiết đơn hàng 
Step 5: Ở màn hình thông tin đơn hàng , kiểm tra mỗi sản phẩm hiển thị đầy đủ tên, hình ảnh, giá cả và số lượng</v>
      </c>
      <c r="L375" s="38"/>
      <c r="M375" s="73" t="s">
        <v>3327</v>
      </c>
      <c r="N375" s="38"/>
      <c r="O375" s="12"/>
    </row>
    <row r="376">
      <c r="A376" s="37"/>
      <c r="B376" s="37"/>
      <c r="C376" s="37"/>
      <c r="D376" s="37"/>
      <c r="E376" s="37"/>
      <c r="F376" s="12" t="s">
        <v>3499</v>
      </c>
      <c r="G376" s="56"/>
      <c r="H376" s="45" t="s">
        <v>3329</v>
      </c>
      <c r="I376" s="12" t="s">
        <v>2333</v>
      </c>
      <c r="J376" s="12" t="s">
        <v>3330</v>
      </c>
      <c r="K376" s="13" t="str">
        <f>IFERROR(__xludf.DUMMYFUNCTION("IF(ISBLANK(J376), ""Input test step"", ARRAYFORMULA(TEXTJOIN(CHAR(10), TRUE, (""Step ""&amp; ROW(INDIRECT(""1:"" &amp; COUNTA(SPLIT(J376, CHAR(10))))) &amp; "": "" &amp; TRANSPOSE(SPLIT(J376, CHAR(10)))))))"),"Step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f>
        <v>Step 1: Đăng nhập vào tài khoản
Step 2: Chọn tab Cá nhân 
Step 3: Chọn Đơn hàng --&gt; xem tất cả 
Step 4: Ở màn hình lịch sử đơn hàng chọn vào xem chi tiết đơn hàng 
Step 5: Ở màn hình thông tin đơn hàng , kiểm tra tổng số lượng sản phẩm</v>
      </c>
      <c r="L376" s="38"/>
      <c r="M376" s="73" t="s">
        <v>3331</v>
      </c>
      <c r="N376" s="38"/>
      <c r="O376" s="12"/>
    </row>
    <row r="377">
      <c r="A377" s="37"/>
      <c r="B377" s="37"/>
      <c r="C377" s="37"/>
      <c r="D377" s="37"/>
      <c r="E377" s="37"/>
      <c r="F377" s="12" t="s">
        <v>3500</v>
      </c>
      <c r="G377" s="56"/>
      <c r="H377" s="73" t="s">
        <v>3501</v>
      </c>
      <c r="I377" s="12" t="s">
        <v>2333</v>
      </c>
      <c r="J377" s="12" t="s">
        <v>3502</v>
      </c>
      <c r="K377" s="13" t="str">
        <f>IFERROR(__xludf.DUMMYFUNCTION("IF(ISBLANK(J377), ""Input test step"", ARRAYFORMULA(TEXTJOIN(CHAR(10), TRUE, (""Step ""&amp; ROW(INDIRECT(""1:"" &amp; COUNTA(SPLIT(J377, CHAR(10))))) &amp; "": "" &amp; TRANSPOSE(SPLIT(J377, CHAR(10)))))))"),"Step 1: Đăng nhập vào tài khoản
Step 2: Chọn tab Cá nhân 
Step 3: Chọn Đơn hàng --&gt; xem tất cả 
Step 4: Ở màn hình lịch sử đơn hàng chọn vào xem chi tiết đơn hàng 
Step 5: Ở màn hình thông tin đơn hàng , kiểm tra hình ảnh sản phẩm")</f>
        <v>Step 1: Đăng nhập vào tài khoản
Step 2: Chọn tab Cá nhân 
Step 3: Chọn Đơn hàng --&gt; xem tất cả 
Step 4: Ở màn hình lịch sử đơn hàng chọn vào xem chi tiết đơn hàng 
Step 5: Ở màn hình thông tin đơn hàng , kiểm tra hình ảnh sản phẩm</v>
      </c>
      <c r="L377" s="38"/>
      <c r="M377" s="73" t="s">
        <v>3503</v>
      </c>
      <c r="N377" s="38"/>
      <c r="O377" s="12"/>
    </row>
    <row r="378">
      <c r="A378" s="37"/>
      <c r="B378" s="37"/>
      <c r="C378" s="37"/>
      <c r="D378" s="37"/>
      <c r="E378" s="37"/>
      <c r="F378" s="12" t="s">
        <v>3504</v>
      </c>
      <c r="G378" s="56"/>
      <c r="H378" s="83" t="s">
        <v>3062</v>
      </c>
      <c r="I378" s="12" t="s">
        <v>2333</v>
      </c>
      <c r="J378" s="12" t="s">
        <v>3505</v>
      </c>
      <c r="K378" s="13" t="str">
        <f>IFERROR(__xludf.DUMMYFUNCTION("IF(ISBLANK(J378), ""Input test step"", ARRAYFORMULA(TEXTJOIN(CHAR(10), TRUE, (""Step ""&amp; ROW(INDIRECT(""1:"" &amp; COUNTA(SPLIT(J378, CHAR(10))))) &amp; "": "" &amp; TRANSPOSE(SPLIT(J378, CHAR(10)))))))"),"Step 1: Đăng nhập vào tài khoản
Step 2: Chọn tab Cá nhân 
Step 3: Chọn Đơn hàng --&gt; xem tất cả 
Step 4: Ở màn hình lịch sử đơn hàng chọn vào xem chi tiết đơn hàng 
Step 5: Ở màn hình thông tin đơn hàng , kiểm tra giá gốc sản phẩm")</f>
        <v>Step 1: Đăng nhập vào tài khoản
Step 2: Chọn tab Cá nhân 
Step 3: Chọn Đơn hàng --&gt; xem tất cả 
Step 4: Ở màn hình lịch sử đơn hàng chọn vào xem chi tiết đơn hàng 
Step 5: Ở màn hình thông tin đơn hàng , kiểm tra giá gốc sản phẩm</v>
      </c>
      <c r="L378" s="38"/>
      <c r="M378" s="73" t="s">
        <v>3506</v>
      </c>
      <c r="N378" s="38"/>
      <c r="O378" s="12"/>
    </row>
    <row r="379">
      <c r="A379" s="37"/>
      <c r="B379" s="37"/>
      <c r="C379" s="37"/>
      <c r="D379" s="37"/>
      <c r="E379" s="37"/>
      <c r="F379" s="12" t="s">
        <v>3507</v>
      </c>
      <c r="G379" s="56"/>
      <c r="H379" s="73" t="s">
        <v>3508</v>
      </c>
      <c r="I379" s="12" t="s">
        <v>2333</v>
      </c>
      <c r="J379" s="12" t="s">
        <v>3509</v>
      </c>
      <c r="K379" s="13" t="str">
        <f>IFERROR(__xludf.DUMMYFUNCTION("IF(ISBLANK(J379), ""Input test step"", ARRAYFORMULA(TEXTJOIN(CHAR(10), TRUE, (""Step ""&amp; ROW(INDIRECT(""1:"" &amp; COUNTA(SPLIT(J379, CHAR(10))))) &amp; "": "" &amp; TRANSPOSE(SPLIT(J379, CHAR(10)))))))"),"Step 1: Đăng nhập vào tài khoản
Step 2: Chọn tab Cá nhân 
Step 3: Chọn Đơn hàng --&gt; xem tất cả 
Step 4: Ở màn hình lịch sử đơn hàng chọn vào xem chi tiết đơn hàng 
Step 5: Ở màn hình thông tin đơn hàng , kiểm tra số lượng sản phẩm trên mỗi sản phẩm")</f>
        <v>Step 1: Đăng nhập vào tài khoản
Step 2: Chọn tab Cá nhân 
Step 3: Chọn Đơn hàng --&gt; xem tất cả 
Step 4: Ở màn hình lịch sử đơn hàng chọn vào xem chi tiết đơn hàng 
Step 5: Ở màn hình thông tin đơn hàng , kiểm tra số lượng sản phẩm trên mỗi sản phẩm</v>
      </c>
      <c r="L379" s="38"/>
      <c r="M379" s="73" t="s">
        <v>3510</v>
      </c>
      <c r="N379" s="38"/>
      <c r="O379" s="12"/>
    </row>
    <row r="380">
      <c r="A380" s="37"/>
      <c r="B380" s="37"/>
      <c r="C380" s="37"/>
      <c r="D380" s="37"/>
      <c r="E380" s="37"/>
      <c r="F380" s="12" t="s">
        <v>3511</v>
      </c>
      <c r="G380" s="56"/>
      <c r="H380" s="73" t="s">
        <v>3512</v>
      </c>
      <c r="I380" s="12" t="s">
        <v>2333</v>
      </c>
      <c r="J380" s="12" t="s">
        <v>3513</v>
      </c>
      <c r="K380" s="13" t="str">
        <f>IFERROR(__xludf.DUMMYFUNCTION("IF(ISBLANK(J380), ""Input test step"", ARRAYFORMULA(TEXTJOIN(CHAR(10), TRUE, (""Step ""&amp; ROW(INDIRECT(""1:"" &amp; COUNTA(SPLIT(J380, CHAR(10))))) &amp; "": "" &amp; TRANSPOSE(SPLIT(J380, CHAR(10)))))))"),"Step 1: Đăng nhập vào tài khoản
Step 2: Chọn tab Cá nhân 
Step 3: Chọn Đơn hàng --&gt; xem tất cả 
Step 4: Ở màn hình lịch sử đơn hàng chọn vào xem chi tiết đơn hàng 
Step 5: Ở màn hình thông tin đơn hàng , kiểm tra giá sau giảm giá sản phẩm")</f>
        <v>Step 1: Đăng nhập vào tài khoản
Step 2: Chọn tab Cá nhân 
Step 3: Chọn Đơn hàng --&gt; xem tất cả 
Step 4: Ở màn hình lịch sử đơn hàng chọn vào xem chi tiết đơn hàng 
Step 5: Ở màn hình thông tin đơn hàng , kiểm tra giá sau giảm giá sản phẩm</v>
      </c>
      <c r="L380" s="38"/>
      <c r="M380" s="73" t="s">
        <v>2402</v>
      </c>
      <c r="N380" s="38"/>
      <c r="O380" s="12"/>
    </row>
    <row r="381">
      <c r="A381" s="37"/>
      <c r="B381" s="37"/>
      <c r="C381" s="37"/>
      <c r="D381" s="37"/>
      <c r="E381" s="37"/>
      <c r="F381" s="12" t="s">
        <v>3514</v>
      </c>
      <c r="G381" s="56"/>
      <c r="H381" s="52" t="s">
        <v>3515</v>
      </c>
      <c r="I381" s="12" t="s">
        <v>2333</v>
      </c>
      <c r="J381" s="12" t="s">
        <v>3516</v>
      </c>
      <c r="K381" s="13" t="str">
        <f>IFERROR(__xludf.DUMMYFUNCTION("IF(ISBLANK(J381), ""Input test step"", ARRAYFORMULA(TEXTJOIN(CHAR(10), TRUE, (""Step ""&amp; ROW(INDIRECT(""1:"" &amp; COUNTA(SPLIT(J381, CHAR(10))))) &amp; "": "" &amp; TRANSPOSE(SPLIT(J381, CHAR(10)))))))"),"Step 1: Đăng nhập vào tài khoản
Step 2: Chọn tab Cá nhân 
Step 3: Chọn Đơn hàng --&gt; xem tất cả 
Step 4: Ở màn hình lịch sử đơn hàng chọn vào xem chi tiết đơn hàng 
Step 5: Ở màn hình thông tin đơn hàng , kiểm tra mục "" Yêu cầu bởi "" --&gt;  hiển thị tên kh"&amp;"ách hàng của đơn hàng đó")</f>
        <v>Step 1: Đăng nhập vào tài khoản
Step 2: Chọn tab Cá nhân 
Step 3: Chọn Đơn hàng --&gt; xem tất cả 
Step 4: Ở màn hình lịch sử đơn hàng chọn vào xem chi tiết đơn hàng 
Step 5: Ở màn hình thông tin đơn hàng , kiểm tra mục " Yêu cầu bởi " --&gt;  hiển thị tên khách hàng của đơn hàng đó</v>
      </c>
      <c r="L381" s="38"/>
      <c r="M381" s="73" t="s">
        <v>3517</v>
      </c>
      <c r="N381" s="38"/>
      <c r="O381" s="12"/>
    </row>
    <row r="382">
      <c r="A382" s="37"/>
      <c r="B382" s="37"/>
      <c r="C382" s="37"/>
      <c r="D382" s="37"/>
      <c r="E382" s="37"/>
      <c r="F382" s="12" t="s">
        <v>3518</v>
      </c>
      <c r="G382" s="56"/>
      <c r="H382" s="73" t="s">
        <v>3519</v>
      </c>
      <c r="I382" s="12" t="s">
        <v>2333</v>
      </c>
      <c r="J382" s="12" t="s">
        <v>3520</v>
      </c>
      <c r="K382" s="13" t="str">
        <f>IFERROR(__xludf.DUMMYFUNCTION("IF(ISBLANK(J382), ""Input test step"", ARRAYFORMULA(TEXTJOIN(CHAR(10), TRUE, (""Step ""&amp; ROW(INDIRECT(""1:"" &amp; COUNTA(SPLIT(J382, CHAR(10))))) &amp; "": "" &amp; TRANSPOSE(SPLIT(J382, CHAR(10)))))))"),"Step 1: Đăng nhập vào tài khoản
Step 2: Chọn tab Cá nhân 
Step 3: Chọn Đơn hàng --&gt; xem tất cả 
Step 4: Ở màn hình lịch sử đơn hàng chọn vào xem chi tiết đơn hàng 
Step 5: Ở màn hình thông tin đơn hàng , kiểm tra đơn hàng "" yêu cầu vào lúc "" mấy giờ  - "&amp;"ngày bao nhiêu")</f>
        <v>Step 1: Đăng nhập vào tài khoản
Step 2: Chọn tab Cá nhân 
Step 3: Chọn Đơn hàng --&gt; xem tất cả 
Step 4: Ở màn hình lịch sử đơn hàng chọn vào xem chi tiết đơn hàng 
Step 5: Ở màn hình thông tin đơn hàng , kiểm tra đơn hàng " yêu cầu vào lúc " mấy giờ  - ngày bao nhiêu</v>
      </c>
      <c r="L382" s="38"/>
      <c r="M382" s="73" t="s">
        <v>3521</v>
      </c>
      <c r="N382" s="38"/>
      <c r="O382" s="12"/>
    </row>
    <row r="383">
      <c r="A383" s="37"/>
      <c r="B383" s="37"/>
      <c r="C383" s="37"/>
      <c r="D383" s="37"/>
      <c r="E383" s="37"/>
      <c r="F383" s="12" t="s">
        <v>3522</v>
      </c>
      <c r="G383" s="56"/>
      <c r="H383" s="45" t="s">
        <v>3486</v>
      </c>
      <c r="I383" s="12" t="s">
        <v>2333</v>
      </c>
      <c r="J383" s="12" t="s">
        <v>3487</v>
      </c>
      <c r="K383" s="13" t="str">
        <f>IFERROR(__xludf.DUMMYFUNCTION("IF(ISBLANK(J383), ""Input test step"", ARRAYFORMULA(TEXTJOIN(CHAR(10), TRUE, (""Step ""&amp; ROW(INDIRECT(""1:"" &amp; COUNTA(SPLIT(J383, CHAR(10))))) &amp; "": "" &amp; TRANSPOSE(SPLIT(J383, CHAR(10)))))))"),"Step 1: Đăng nhập vào tài khoản
Step 2: Chọn tab Cá nhân 
Step 3: Chọn Đơn hàng --&gt; xem tất cả 
Step 4: Ở màn hình lịch sử đơn hàng chọn vào xem chi tiết đơn hàng 
Step 5: Ở màn hình thông tin đơn hàng , kiểm tra hiển thị lí do hủy đơn hàng ")</f>
        <v>Step 1: Đăng nhập vào tài khoản
Step 2: Chọn tab Cá nhân 
Step 3: Chọn Đơn hàng --&gt; xem tất cả 
Step 4: Ở màn hình lịch sử đơn hàng chọn vào xem chi tiết đơn hàng 
Step 5: Ở màn hình thông tin đơn hàng , kiểm tra hiển thị lí do hủy đơn hàng </v>
      </c>
      <c r="L383" s="38"/>
      <c r="M383" s="73" t="s">
        <v>3488</v>
      </c>
      <c r="N383" s="38"/>
      <c r="O383" s="12"/>
    </row>
    <row r="384">
      <c r="A384" s="37"/>
      <c r="B384" s="37"/>
      <c r="C384" s="37"/>
      <c r="D384" s="37"/>
      <c r="E384" s="37"/>
      <c r="F384" s="12" t="s">
        <v>3523</v>
      </c>
      <c r="G384" s="57"/>
      <c r="H384" s="47" t="s">
        <v>3524</v>
      </c>
      <c r="I384" s="12" t="s">
        <v>2333</v>
      </c>
      <c r="J384" s="12" t="s">
        <v>3525</v>
      </c>
      <c r="K384" s="13" t="str">
        <f>IFERROR(__xludf.DUMMYFUNCTION("IF(ISBLANK(J384), ""Input test step"", ARRAYFORMULA(TEXTJOIN(CHAR(10), TRUE, (""Step ""&amp; ROW(INDIRECT(""1:"" &amp; COUNTA(SPLIT(J384, CHAR(10))))) &amp; "": "" &amp; TRANSPOSE(SPLIT(J384, CHAR(10)))))))"),"Step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 ( màu sắc, kích th"&amp;"ước, cỡ chữ ) ")</f>
        <v>Step 1: Đăng nhập vào tài khoản
Step 2: Chọn tab Cá nhân 
Step 3: Chọn Đơn hàng --&gt; xem tất cả 
Step 4: Ở màn hình lịch sử đơn hàng chọn vào xem chi tiết đơn hàng 
Step 5: Ở màn hình thông tin đơn hàng , kiểm tra thành tiền của đơn hàng ( màu sắc, kích thước, cỡ chữ ) </v>
      </c>
      <c r="L384" s="38"/>
      <c r="M384" s="73" t="s">
        <v>3526</v>
      </c>
      <c r="N384" s="38"/>
      <c r="O384" s="12"/>
    </row>
    <row r="385">
      <c r="A385" s="37"/>
      <c r="B385" s="37"/>
      <c r="C385" s="37"/>
      <c r="D385" s="37"/>
      <c r="E385" s="37"/>
      <c r="F385" s="38"/>
      <c r="G385" s="38"/>
      <c r="H385" s="38"/>
      <c r="I385" s="38"/>
      <c r="J385" s="38"/>
      <c r="K385" s="13"/>
      <c r="L385" s="38"/>
      <c r="M385" s="38"/>
      <c r="N385" s="38"/>
      <c r="O385" s="38"/>
    </row>
    <row r="386">
      <c r="A386" s="37"/>
      <c r="B386" s="37"/>
      <c r="C386" s="37"/>
      <c r="D386" s="37"/>
      <c r="E386" s="37"/>
      <c r="F386" s="38"/>
      <c r="G386" s="38"/>
      <c r="H386" s="38"/>
      <c r="I386" s="38"/>
      <c r="J386" s="38"/>
      <c r="K386" s="13"/>
      <c r="L386" s="38"/>
      <c r="M386" s="38"/>
      <c r="N386" s="38"/>
      <c r="O386" s="38"/>
    </row>
    <row r="387">
      <c r="A387" s="37"/>
      <c r="B387" s="37"/>
      <c r="C387" s="37"/>
      <c r="D387" s="37"/>
      <c r="E387" s="37"/>
      <c r="F387" s="38"/>
      <c r="G387" s="38"/>
      <c r="H387" s="38"/>
      <c r="I387" s="38"/>
      <c r="J387" s="38"/>
      <c r="K387" s="13"/>
      <c r="L387" s="38"/>
      <c r="M387" s="38"/>
      <c r="N387" s="38"/>
      <c r="O387" s="38"/>
    </row>
    <row r="388">
      <c r="A388" s="37"/>
      <c r="B388" s="37"/>
      <c r="C388" s="37"/>
      <c r="D388" s="37"/>
      <c r="E388" s="37"/>
      <c r="F388" s="38"/>
      <c r="G388" s="38"/>
      <c r="H388" s="38"/>
      <c r="I388" s="38"/>
      <c r="J388" s="38"/>
      <c r="K388" s="13"/>
      <c r="L388" s="38"/>
      <c r="M388" s="38"/>
      <c r="N388" s="38"/>
      <c r="O388" s="38"/>
    </row>
    <row r="389">
      <c r="A389" s="37"/>
      <c r="B389" s="37"/>
      <c r="C389" s="37"/>
      <c r="D389" s="37"/>
      <c r="E389" s="37"/>
      <c r="F389" s="38"/>
      <c r="G389" s="38"/>
      <c r="H389" s="38"/>
      <c r="I389" s="38"/>
      <c r="J389" s="38"/>
      <c r="K389" s="13"/>
      <c r="L389" s="38"/>
      <c r="M389" s="38"/>
      <c r="N389" s="38"/>
      <c r="O389" s="38"/>
    </row>
    <row r="390">
      <c r="A390" s="37"/>
      <c r="B390" s="37"/>
      <c r="C390" s="37"/>
      <c r="D390" s="37"/>
      <c r="E390" s="37"/>
      <c r="F390" s="38"/>
      <c r="G390" s="38"/>
      <c r="H390" s="38"/>
      <c r="I390" s="38"/>
      <c r="J390" s="38"/>
      <c r="K390" s="13"/>
      <c r="L390" s="38"/>
      <c r="M390" s="38"/>
      <c r="N390" s="38"/>
      <c r="O390" s="38"/>
    </row>
    <row r="391">
      <c r="A391" s="37"/>
      <c r="B391" s="37"/>
      <c r="C391" s="37"/>
      <c r="D391" s="37"/>
      <c r="E391" s="37"/>
      <c r="F391" s="38"/>
      <c r="G391" s="38"/>
      <c r="H391" s="38"/>
      <c r="I391" s="38"/>
      <c r="J391" s="38"/>
      <c r="K391" s="13"/>
      <c r="L391" s="38"/>
      <c r="M391" s="38"/>
      <c r="N391" s="38"/>
      <c r="O391" s="38"/>
    </row>
    <row r="392">
      <c r="A392" s="37"/>
      <c r="B392" s="37"/>
      <c r="C392" s="37"/>
      <c r="D392" s="37"/>
      <c r="E392" s="37"/>
      <c r="F392" s="38"/>
      <c r="G392" s="38"/>
      <c r="H392" s="38"/>
      <c r="I392" s="38"/>
      <c r="J392" s="38"/>
      <c r="K392" s="13"/>
      <c r="L392" s="38"/>
      <c r="M392" s="38"/>
      <c r="N392" s="38"/>
      <c r="O392" s="38"/>
    </row>
    <row r="393">
      <c r="A393" s="37"/>
      <c r="B393" s="37"/>
      <c r="C393" s="37"/>
      <c r="D393" s="37"/>
      <c r="E393" s="37"/>
      <c r="F393" s="38"/>
      <c r="G393" s="38"/>
      <c r="H393" s="38"/>
      <c r="I393" s="38"/>
      <c r="J393" s="38"/>
      <c r="K393" s="13"/>
      <c r="L393" s="38"/>
      <c r="M393" s="38"/>
      <c r="N393" s="38"/>
      <c r="O393" s="38"/>
    </row>
    <row r="394">
      <c r="A394" s="37"/>
      <c r="B394" s="37"/>
      <c r="C394" s="37"/>
      <c r="D394" s="37"/>
      <c r="E394" s="37"/>
      <c r="F394" s="38"/>
      <c r="G394" s="38"/>
      <c r="H394" s="38"/>
      <c r="I394" s="38"/>
      <c r="J394" s="38"/>
      <c r="K394" s="13"/>
      <c r="L394" s="38"/>
      <c r="M394" s="38"/>
      <c r="N394" s="38"/>
      <c r="O394" s="38"/>
    </row>
    <row r="395">
      <c r="A395" s="37"/>
      <c r="B395" s="37"/>
      <c r="C395" s="37"/>
      <c r="D395" s="37"/>
      <c r="E395" s="37"/>
      <c r="F395" s="38"/>
      <c r="G395" s="38"/>
      <c r="H395" s="38"/>
      <c r="I395" s="38"/>
      <c r="J395" s="38"/>
      <c r="K395" s="13"/>
      <c r="L395" s="38"/>
      <c r="M395" s="38"/>
      <c r="N395" s="38"/>
      <c r="O395" s="38"/>
    </row>
    <row r="396">
      <c r="A396" s="37"/>
      <c r="B396" s="37"/>
      <c r="C396" s="37"/>
      <c r="D396" s="37"/>
      <c r="E396" s="37"/>
      <c r="F396" s="38"/>
      <c r="G396" s="38"/>
      <c r="H396" s="38"/>
      <c r="I396" s="38"/>
      <c r="J396" s="38"/>
      <c r="K396" s="13"/>
      <c r="L396" s="38"/>
      <c r="M396" s="38"/>
      <c r="N396" s="38"/>
      <c r="O396" s="38"/>
    </row>
    <row r="397">
      <c r="A397" s="37"/>
      <c r="B397" s="37"/>
      <c r="C397" s="37"/>
      <c r="D397" s="37"/>
      <c r="E397" s="37"/>
      <c r="F397" s="38"/>
      <c r="G397" s="38"/>
      <c r="H397" s="38"/>
      <c r="I397" s="38"/>
      <c r="J397" s="38"/>
      <c r="K397" s="13"/>
      <c r="L397" s="38"/>
      <c r="M397" s="38"/>
      <c r="N397" s="38"/>
      <c r="O397" s="38"/>
    </row>
    <row r="398">
      <c r="A398" s="37"/>
      <c r="B398" s="37"/>
      <c r="C398" s="37"/>
      <c r="D398" s="37"/>
      <c r="E398" s="37"/>
      <c r="F398" s="38"/>
      <c r="G398" s="38"/>
      <c r="H398" s="38"/>
      <c r="I398" s="38"/>
      <c r="J398" s="38"/>
      <c r="K398" s="13"/>
      <c r="L398" s="38"/>
      <c r="M398" s="38"/>
      <c r="N398" s="38"/>
      <c r="O398" s="38"/>
    </row>
    <row r="399">
      <c r="A399" s="37"/>
      <c r="B399" s="37"/>
      <c r="C399" s="37"/>
      <c r="D399" s="37"/>
      <c r="E399" s="37"/>
      <c r="F399" s="38"/>
      <c r="G399" s="38"/>
      <c r="H399" s="38"/>
      <c r="I399" s="38"/>
      <c r="J399" s="38"/>
      <c r="K399" s="13"/>
      <c r="L399" s="38"/>
      <c r="M399" s="38"/>
      <c r="N399" s="38"/>
      <c r="O399" s="38"/>
    </row>
    <row r="400">
      <c r="A400" s="37"/>
      <c r="B400" s="37"/>
      <c r="C400" s="37"/>
      <c r="D400" s="37"/>
      <c r="E400" s="37"/>
      <c r="F400" s="38"/>
      <c r="G400" s="38"/>
      <c r="H400" s="38"/>
      <c r="I400" s="38"/>
      <c r="J400" s="38"/>
      <c r="K400" s="13"/>
      <c r="L400" s="38"/>
      <c r="M400" s="38"/>
      <c r="N400" s="38"/>
      <c r="O400" s="38"/>
    </row>
    <row r="401">
      <c r="A401" s="37"/>
      <c r="B401" s="37"/>
      <c r="C401" s="37"/>
      <c r="D401" s="37"/>
      <c r="E401" s="37"/>
      <c r="F401" s="38"/>
      <c r="G401" s="38"/>
      <c r="H401" s="38"/>
      <c r="I401" s="38"/>
      <c r="J401" s="38"/>
      <c r="K401" s="13"/>
      <c r="L401" s="38"/>
      <c r="M401" s="38"/>
      <c r="N401" s="38"/>
      <c r="O401" s="38"/>
    </row>
    <row r="402">
      <c r="A402" s="37"/>
      <c r="B402" s="37"/>
      <c r="C402" s="37"/>
      <c r="D402" s="37"/>
      <c r="E402" s="37"/>
      <c r="F402" s="38"/>
      <c r="G402" s="38"/>
      <c r="H402" s="38"/>
      <c r="I402" s="38"/>
      <c r="J402" s="38"/>
      <c r="K402" s="13"/>
      <c r="L402" s="38"/>
      <c r="M402" s="38"/>
      <c r="N402" s="38"/>
      <c r="O402" s="38"/>
    </row>
    <row r="403">
      <c r="A403" s="37"/>
      <c r="B403" s="37"/>
      <c r="C403" s="37"/>
      <c r="D403" s="37"/>
      <c r="E403" s="37"/>
      <c r="F403" s="38"/>
      <c r="G403" s="38"/>
      <c r="H403" s="38"/>
      <c r="I403" s="38"/>
      <c r="J403" s="38"/>
      <c r="K403" s="13"/>
      <c r="L403" s="38"/>
      <c r="M403" s="38"/>
      <c r="N403" s="38"/>
      <c r="O403" s="38"/>
    </row>
    <row r="404">
      <c r="A404" s="37"/>
      <c r="B404" s="37"/>
      <c r="C404" s="37"/>
      <c r="D404" s="37"/>
      <c r="E404" s="37"/>
      <c r="F404" s="38"/>
      <c r="G404" s="38"/>
      <c r="H404" s="38"/>
      <c r="I404" s="38"/>
      <c r="J404" s="38"/>
      <c r="K404" s="13"/>
      <c r="L404" s="38"/>
      <c r="M404" s="38"/>
      <c r="N404" s="38"/>
      <c r="O404" s="38"/>
    </row>
    <row r="405">
      <c r="A405" s="37"/>
      <c r="B405" s="37"/>
      <c r="C405" s="37"/>
      <c r="D405" s="37"/>
      <c r="E405" s="37"/>
      <c r="F405" s="38"/>
      <c r="G405" s="38"/>
      <c r="H405" s="38"/>
      <c r="I405" s="38"/>
      <c r="J405" s="38"/>
      <c r="K405" s="13"/>
      <c r="L405" s="38"/>
      <c r="M405" s="38"/>
      <c r="N405" s="38"/>
      <c r="O405" s="38"/>
    </row>
    <row r="406">
      <c r="A406" s="37"/>
      <c r="B406" s="37"/>
      <c r="C406" s="37"/>
      <c r="D406" s="37"/>
      <c r="E406" s="37"/>
      <c r="F406" s="38"/>
      <c r="G406" s="38"/>
      <c r="H406" s="38"/>
      <c r="I406" s="38"/>
      <c r="J406" s="38"/>
      <c r="K406" s="13"/>
      <c r="L406" s="38"/>
      <c r="M406" s="38"/>
      <c r="N406" s="38"/>
      <c r="O406" s="38"/>
    </row>
    <row r="407">
      <c r="A407" s="37"/>
      <c r="B407" s="37"/>
      <c r="C407" s="37"/>
      <c r="D407" s="37"/>
      <c r="E407" s="37"/>
      <c r="F407" s="38"/>
      <c r="G407" s="38"/>
      <c r="H407" s="38"/>
      <c r="I407" s="38"/>
      <c r="J407" s="38"/>
      <c r="K407" s="13"/>
      <c r="L407" s="38"/>
      <c r="M407" s="38"/>
      <c r="N407" s="38"/>
      <c r="O407" s="38"/>
    </row>
    <row r="408">
      <c r="A408" s="37"/>
      <c r="B408" s="37"/>
      <c r="C408" s="37"/>
      <c r="D408" s="37"/>
      <c r="E408" s="37"/>
      <c r="F408" s="38"/>
      <c r="G408" s="38"/>
      <c r="H408" s="38"/>
      <c r="I408" s="38"/>
      <c r="J408" s="38"/>
      <c r="K408" s="13"/>
      <c r="L408" s="38"/>
      <c r="M408" s="38"/>
      <c r="N408" s="38"/>
      <c r="O408" s="38"/>
    </row>
    <row r="409">
      <c r="A409" s="37"/>
      <c r="B409" s="37"/>
      <c r="C409" s="37"/>
      <c r="D409" s="37"/>
      <c r="E409" s="37"/>
      <c r="F409" s="38"/>
      <c r="G409" s="38"/>
      <c r="H409" s="38"/>
      <c r="I409" s="38"/>
      <c r="J409" s="38"/>
      <c r="K409" s="13"/>
      <c r="L409" s="38"/>
      <c r="M409" s="38"/>
      <c r="N409" s="38"/>
      <c r="O409" s="38"/>
    </row>
    <row r="410">
      <c r="A410" s="37"/>
      <c r="B410" s="37"/>
      <c r="C410" s="37"/>
      <c r="D410" s="37"/>
      <c r="E410" s="37"/>
      <c r="F410" s="38"/>
      <c r="G410" s="38"/>
      <c r="H410" s="38"/>
      <c r="I410" s="38"/>
      <c r="J410" s="38"/>
      <c r="K410" s="13"/>
      <c r="L410" s="38"/>
      <c r="M410" s="38"/>
      <c r="N410" s="38"/>
      <c r="O410" s="38"/>
    </row>
    <row r="411">
      <c r="A411" s="37"/>
      <c r="B411" s="37"/>
      <c r="C411" s="37"/>
      <c r="D411" s="37"/>
      <c r="E411" s="37"/>
      <c r="F411" s="38"/>
      <c r="G411" s="38"/>
      <c r="H411" s="38"/>
      <c r="I411" s="38"/>
      <c r="J411" s="38"/>
      <c r="K411" s="13"/>
      <c r="L411" s="38"/>
      <c r="M411" s="38"/>
      <c r="N411" s="38"/>
      <c r="O411" s="38"/>
    </row>
    <row r="412">
      <c r="A412" s="37"/>
      <c r="B412" s="37"/>
      <c r="C412" s="37"/>
      <c r="D412" s="37"/>
      <c r="E412" s="37"/>
      <c r="F412" s="38"/>
      <c r="G412" s="38"/>
      <c r="H412" s="38"/>
      <c r="I412" s="38"/>
      <c r="J412" s="38"/>
      <c r="K412" s="13"/>
      <c r="L412" s="38"/>
      <c r="M412" s="38"/>
      <c r="N412" s="38"/>
      <c r="O412" s="38"/>
    </row>
    <row r="413">
      <c r="A413" s="37"/>
      <c r="B413" s="37"/>
      <c r="C413" s="37"/>
      <c r="D413" s="37"/>
      <c r="E413" s="37"/>
      <c r="F413" s="38"/>
      <c r="G413" s="38"/>
      <c r="H413" s="38"/>
      <c r="I413" s="38"/>
      <c r="J413" s="38"/>
      <c r="K413" s="13"/>
      <c r="L413" s="38"/>
      <c r="M413" s="38"/>
      <c r="N413" s="38"/>
      <c r="O413" s="38"/>
    </row>
    <row r="414">
      <c r="A414" s="37"/>
      <c r="B414" s="37"/>
      <c r="C414" s="37"/>
      <c r="D414" s="37"/>
      <c r="E414" s="37"/>
      <c r="F414" s="38"/>
      <c r="G414" s="38"/>
      <c r="H414" s="38"/>
      <c r="I414" s="38"/>
      <c r="J414" s="38"/>
      <c r="K414" s="13"/>
      <c r="L414" s="38"/>
      <c r="M414" s="38"/>
      <c r="N414" s="38"/>
      <c r="O414" s="38"/>
    </row>
    <row r="415">
      <c r="A415" s="37"/>
      <c r="B415" s="37"/>
      <c r="C415" s="37"/>
      <c r="D415" s="37"/>
      <c r="E415" s="37"/>
      <c r="K415" s="48"/>
    </row>
    <row r="416">
      <c r="A416" s="37"/>
      <c r="B416" s="37"/>
      <c r="C416" s="37"/>
      <c r="D416" s="37"/>
      <c r="E416" s="37"/>
      <c r="K416" s="48"/>
    </row>
    <row r="417">
      <c r="A417" s="37"/>
      <c r="B417" s="37"/>
      <c r="C417" s="37"/>
      <c r="D417" s="37"/>
      <c r="E417" s="37"/>
      <c r="K417" s="48"/>
    </row>
    <row r="418">
      <c r="A418" s="37"/>
      <c r="B418" s="37"/>
      <c r="C418" s="37"/>
      <c r="D418" s="37"/>
      <c r="E418" s="37"/>
      <c r="K418" s="48"/>
    </row>
    <row r="419">
      <c r="A419" s="37"/>
      <c r="B419" s="37"/>
      <c r="C419" s="37"/>
      <c r="D419" s="37"/>
      <c r="E419" s="37"/>
      <c r="K419" s="48"/>
    </row>
    <row r="420">
      <c r="A420" s="37"/>
      <c r="B420" s="37"/>
      <c r="C420" s="37"/>
      <c r="D420" s="37"/>
      <c r="E420" s="37"/>
      <c r="K420" s="48"/>
    </row>
    <row r="421">
      <c r="A421" s="37"/>
      <c r="B421" s="37"/>
      <c r="C421" s="37"/>
      <c r="D421" s="37"/>
      <c r="E421" s="37"/>
      <c r="K421" s="48"/>
    </row>
    <row r="422">
      <c r="A422" s="37"/>
      <c r="B422" s="37"/>
      <c r="C422" s="37"/>
      <c r="D422" s="37"/>
      <c r="E422" s="37"/>
      <c r="K422" s="48"/>
    </row>
    <row r="423">
      <c r="A423" s="37"/>
      <c r="B423" s="37"/>
      <c r="C423" s="37"/>
      <c r="D423" s="37"/>
      <c r="E423" s="37"/>
      <c r="K423" s="48"/>
    </row>
    <row r="424">
      <c r="A424" s="37"/>
      <c r="B424" s="37"/>
      <c r="C424" s="37"/>
      <c r="D424" s="37"/>
      <c r="E424" s="37"/>
      <c r="K424" s="48"/>
    </row>
    <row r="425">
      <c r="A425" s="37"/>
      <c r="B425" s="37"/>
      <c r="C425" s="37"/>
      <c r="D425" s="37"/>
      <c r="E425" s="37"/>
      <c r="K425" s="48"/>
    </row>
    <row r="426">
      <c r="A426" s="37"/>
      <c r="B426" s="37"/>
      <c r="C426" s="37"/>
      <c r="D426" s="37"/>
      <c r="E426" s="37"/>
      <c r="K426" s="48"/>
    </row>
    <row r="427">
      <c r="A427" s="37"/>
      <c r="B427" s="37"/>
      <c r="C427" s="37"/>
      <c r="D427" s="37"/>
      <c r="E427" s="37"/>
      <c r="K427" s="48"/>
    </row>
    <row r="428">
      <c r="A428" s="37"/>
      <c r="B428" s="37"/>
      <c r="C428" s="37"/>
      <c r="D428" s="37"/>
      <c r="E428" s="37"/>
      <c r="K428" s="48"/>
    </row>
    <row r="429">
      <c r="A429" s="37"/>
      <c r="B429" s="37"/>
      <c r="C429" s="37"/>
      <c r="D429" s="37"/>
      <c r="E429" s="37"/>
      <c r="K429" s="48"/>
    </row>
    <row r="430">
      <c r="A430" s="37"/>
      <c r="B430" s="37"/>
      <c r="C430" s="37"/>
      <c r="D430" s="37"/>
      <c r="E430" s="37"/>
      <c r="K430" s="48"/>
    </row>
    <row r="431">
      <c r="A431" s="37"/>
      <c r="B431" s="37"/>
      <c r="C431" s="37"/>
      <c r="D431" s="37"/>
      <c r="E431" s="37"/>
      <c r="K431" s="48"/>
    </row>
    <row r="432">
      <c r="A432" s="37"/>
      <c r="B432" s="37"/>
      <c r="C432" s="37"/>
      <c r="D432" s="37"/>
      <c r="E432" s="37"/>
      <c r="K432" s="48"/>
    </row>
    <row r="433">
      <c r="A433" s="37"/>
      <c r="B433" s="37"/>
      <c r="C433" s="37"/>
      <c r="D433" s="37"/>
      <c r="E433" s="37"/>
      <c r="K433" s="48"/>
    </row>
    <row r="434">
      <c r="A434" s="37"/>
      <c r="B434" s="37"/>
      <c r="C434" s="37"/>
      <c r="D434" s="37"/>
      <c r="E434" s="37"/>
      <c r="K434" s="48"/>
    </row>
    <row r="435">
      <c r="A435" s="37"/>
      <c r="B435" s="37"/>
      <c r="C435" s="37"/>
      <c r="D435" s="37"/>
      <c r="E435" s="37"/>
      <c r="K435" s="48"/>
    </row>
    <row r="436">
      <c r="A436" s="37"/>
      <c r="B436" s="37"/>
      <c r="C436" s="37"/>
      <c r="D436" s="37"/>
      <c r="E436" s="37"/>
      <c r="K436" s="48"/>
    </row>
    <row r="437">
      <c r="A437" s="37"/>
      <c r="B437" s="37"/>
      <c r="C437" s="37"/>
      <c r="D437" s="37"/>
      <c r="E437" s="37"/>
      <c r="K437" s="48"/>
    </row>
    <row r="438">
      <c r="A438" s="37"/>
      <c r="B438" s="37"/>
      <c r="C438" s="37"/>
      <c r="D438" s="37"/>
      <c r="E438" s="37"/>
      <c r="K438" s="48"/>
    </row>
    <row r="439">
      <c r="A439" s="37"/>
      <c r="B439" s="37"/>
      <c r="C439" s="37"/>
      <c r="D439" s="37"/>
      <c r="E439" s="37"/>
      <c r="K439" s="48"/>
    </row>
    <row r="440">
      <c r="A440" s="37"/>
      <c r="B440" s="37"/>
      <c r="C440" s="37"/>
      <c r="D440" s="37"/>
      <c r="E440" s="37"/>
      <c r="K440" s="48"/>
    </row>
    <row r="441">
      <c r="A441" s="37"/>
      <c r="B441" s="37"/>
      <c r="C441" s="37"/>
      <c r="D441" s="37"/>
      <c r="E441" s="37"/>
      <c r="K441" s="48"/>
    </row>
    <row r="442">
      <c r="A442" s="37"/>
      <c r="B442" s="37"/>
      <c r="C442" s="37"/>
      <c r="D442" s="37"/>
      <c r="E442" s="37"/>
      <c r="K442" s="48"/>
    </row>
    <row r="443">
      <c r="A443" s="37"/>
      <c r="B443" s="37"/>
      <c r="C443" s="37"/>
      <c r="D443" s="37"/>
      <c r="E443" s="37"/>
      <c r="K443" s="48"/>
    </row>
    <row r="444">
      <c r="A444" s="37"/>
      <c r="B444" s="37"/>
      <c r="C444" s="37"/>
      <c r="D444" s="37"/>
      <c r="E444" s="37"/>
      <c r="K444" s="48"/>
    </row>
    <row r="445">
      <c r="A445" s="37"/>
      <c r="B445" s="37"/>
      <c r="C445" s="37"/>
      <c r="D445" s="37"/>
      <c r="E445" s="37"/>
      <c r="K445" s="48"/>
    </row>
    <row r="446">
      <c r="A446" s="37"/>
      <c r="B446" s="37"/>
      <c r="C446" s="37"/>
      <c r="D446" s="37"/>
      <c r="E446" s="37"/>
      <c r="K446" s="48"/>
    </row>
    <row r="447">
      <c r="A447" s="37"/>
      <c r="B447" s="37"/>
      <c r="C447" s="37"/>
      <c r="D447" s="37"/>
      <c r="E447" s="37"/>
      <c r="K447" s="48"/>
    </row>
    <row r="448">
      <c r="A448" s="37"/>
      <c r="B448" s="37"/>
      <c r="C448" s="37"/>
      <c r="D448" s="37"/>
      <c r="E448" s="37"/>
      <c r="K448" s="48"/>
    </row>
    <row r="449">
      <c r="A449" s="37"/>
      <c r="B449" s="37"/>
      <c r="C449" s="37"/>
      <c r="D449" s="37"/>
      <c r="E449" s="37"/>
      <c r="K449" s="48"/>
    </row>
    <row r="450">
      <c r="A450" s="37"/>
      <c r="B450" s="37"/>
      <c r="C450" s="37"/>
      <c r="D450" s="37"/>
      <c r="E450" s="37"/>
      <c r="K450" s="48"/>
    </row>
    <row r="451">
      <c r="A451" s="37"/>
      <c r="B451" s="37"/>
      <c r="C451" s="37"/>
      <c r="D451" s="37"/>
      <c r="E451" s="37"/>
      <c r="K451" s="48"/>
    </row>
    <row r="452">
      <c r="A452" s="37"/>
      <c r="B452" s="37"/>
      <c r="C452" s="37"/>
      <c r="D452" s="37"/>
      <c r="E452" s="37"/>
      <c r="K452" s="48"/>
    </row>
    <row r="453">
      <c r="A453" s="37"/>
      <c r="B453" s="37"/>
      <c r="C453" s="37"/>
      <c r="D453" s="37"/>
      <c r="E453" s="37"/>
      <c r="K453" s="48"/>
    </row>
    <row r="454">
      <c r="A454" s="37"/>
      <c r="B454" s="37"/>
      <c r="C454" s="37"/>
      <c r="D454" s="37"/>
      <c r="E454" s="37"/>
      <c r="K454" s="48"/>
    </row>
    <row r="455">
      <c r="A455" s="37"/>
      <c r="B455" s="37"/>
      <c r="C455" s="37"/>
      <c r="D455" s="37"/>
      <c r="E455" s="37"/>
      <c r="K455" s="48"/>
    </row>
    <row r="456">
      <c r="A456" s="37"/>
      <c r="B456" s="37"/>
      <c r="C456" s="37"/>
      <c r="D456" s="37"/>
      <c r="E456" s="37"/>
      <c r="K456" s="48"/>
    </row>
    <row r="457">
      <c r="A457" s="37"/>
      <c r="B457" s="37"/>
      <c r="C457" s="37"/>
      <c r="D457" s="37"/>
      <c r="E457" s="37"/>
      <c r="K457" s="48"/>
    </row>
    <row r="458">
      <c r="A458" s="37"/>
      <c r="B458" s="37"/>
      <c r="C458" s="37"/>
      <c r="D458" s="37"/>
      <c r="E458" s="37"/>
      <c r="K458" s="48"/>
    </row>
    <row r="459">
      <c r="A459" s="37"/>
      <c r="B459" s="37"/>
      <c r="C459" s="37"/>
      <c r="D459" s="37"/>
      <c r="E459" s="37"/>
      <c r="K459" s="48"/>
    </row>
    <row r="460">
      <c r="A460" s="37"/>
      <c r="B460" s="37"/>
      <c r="C460" s="37"/>
      <c r="D460" s="37"/>
      <c r="E460" s="37"/>
      <c r="K460" s="48"/>
    </row>
    <row r="461">
      <c r="A461" s="37"/>
      <c r="B461" s="37"/>
      <c r="C461" s="37"/>
      <c r="D461" s="37"/>
      <c r="E461" s="37"/>
      <c r="K461" s="48"/>
    </row>
    <row r="462">
      <c r="A462" s="37"/>
      <c r="B462" s="37"/>
      <c r="C462" s="37"/>
      <c r="D462" s="37"/>
      <c r="E462" s="37"/>
      <c r="K462" s="48"/>
    </row>
    <row r="463">
      <c r="A463" s="37"/>
      <c r="B463" s="37"/>
      <c r="C463" s="37"/>
      <c r="D463" s="37"/>
      <c r="E463" s="37"/>
      <c r="K463" s="48"/>
    </row>
    <row r="464">
      <c r="A464" s="37"/>
      <c r="B464" s="37"/>
      <c r="C464" s="37"/>
      <c r="D464" s="37"/>
      <c r="E464" s="37"/>
      <c r="K464" s="48"/>
    </row>
    <row r="465">
      <c r="A465" s="37"/>
      <c r="B465" s="37"/>
      <c r="C465" s="37"/>
      <c r="D465" s="37"/>
      <c r="E465" s="37"/>
      <c r="K465" s="48"/>
    </row>
    <row r="466">
      <c r="A466" s="37"/>
      <c r="B466" s="37"/>
      <c r="C466" s="37"/>
      <c r="D466" s="37"/>
      <c r="E466" s="37"/>
      <c r="K466" s="48"/>
    </row>
    <row r="467">
      <c r="A467" s="37"/>
      <c r="B467" s="37"/>
      <c r="C467" s="37"/>
      <c r="D467" s="37"/>
      <c r="E467" s="37"/>
      <c r="K467" s="48"/>
    </row>
    <row r="468">
      <c r="A468" s="37"/>
      <c r="B468" s="37"/>
      <c r="C468" s="37"/>
      <c r="D468" s="37"/>
      <c r="E468" s="37"/>
      <c r="K468" s="48"/>
    </row>
    <row r="469">
      <c r="A469" s="37"/>
      <c r="B469" s="37"/>
      <c r="C469" s="37"/>
      <c r="D469" s="37"/>
      <c r="E469" s="37"/>
      <c r="K469" s="48"/>
    </row>
    <row r="470">
      <c r="A470" s="37"/>
      <c r="B470" s="37"/>
      <c r="C470" s="37"/>
      <c r="D470" s="37"/>
      <c r="E470" s="37"/>
      <c r="K470" s="48"/>
    </row>
    <row r="471">
      <c r="A471" s="37"/>
      <c r="B471" s="37"/>
      <c r="C471" s="37"/>
      <c r="D471" s="37"/>
      <c r="E471" s="37"/>
      <c r="K471" s="48"/>
    </row>
    <row r="472">
      <c r="A472" s="37"/>
      <c r="B472" s="37"/>
      <c r="C472" s="37"/>
      <c r="D472" s="37"/>
      <c r="E472" s="37"/>
      <c r="K472" s="48"/>
    </row>
    <row r="473">
      <c r="A473" s="37"/>
      <c r="B473" s="37"/>
      <c r="C473" s="37"/>
      <c r="D473" s="37"/>
      <c r="E473" s="37"/>
      <c r="K473" s="48"/>
    </row>
    <row r="474">
      <c r="A474" s="37"/>
      <c r="B474" s="37"/>
      <c r="C474" s="37"/>
      <c r="D474" s="37"/>
      <c r="E474" s="37"/>
      <c r="K474" s="48"/>
    </row>
    <row r="475">
      <c r="A475" s="37"/>
      <c r="B475" s="37"/>
      <c r="C475" s="37"/>
      <c r="D475" s="37"/>
      <c r="E475" s="37"/>
      <c r="K475" s="48"/>
    </row>
    <row r="476">
      <c r="A476" s="37"/>
      <c r="B476" s="37"/>
      <c r="C476" s="37"/>
      <c r="D476" s="37"/>
      <c r="E476" s="37"/>
      <c r="K476" s="48"/>
    </row>
    <row r="477">
      <c r="A477" s="37"/>
      <c r="B477" s="37"/>
      <c r="C477" s="37"/>
      <c r="D477" s="37"/>
      <c r="E477" s="37"/>
      <c r="K477" s="48"/>
    </row>
    <row r="478">
      <c r="A478" s="37"/>
      <c r="B478" s="37"/>
      <c r="C478" s="37"/>
      <c r="D478" s="37"/>
      <c r="E478" s="37"/>
      <c r="K478" s="48"/>
    </row>
    <row r="479">
      <c r="A479" s="37"/>
      <c r="B479" s="37"/>
      <c r="C479" s="37"/>
      <c r="D479" s="37"/>
      <c r="E479" s="37"/>
      <c r="K479" s="48"/>
    </row>
    <row r="480">
      <c r="A480" s="37"/>
      <c r="B480" s="37"/>
      <c r="C480" s="37"/>
      <c r="D480" s="37"/>
      <c r="E480" s="37"/>
      <c r="K480" s="48"/>
    </row>
    <row r="481">
      <c r="A481" s="37"/>
      <c r="B481" s="37"/>
      <c r="C481" s="37"/>
      <c r="D481" s="37"/>
      <c r="E481" s="37"/>
      <c r="K481" s="48"/>
    </row>
    <row r="482">
      <c r="A482" s="37"/>
      <c r="B482" s="37"/>
      <c r="C482" s="37"/>
      <c r="D482" s="37"/>
      <c r="E482" s="37"/>
      <c r="K482" s="48"/>
    </row>
    <row r="483">
      <c r="A483" s="37"/>
      <c r="B483" s="37"/>
      <c r="C483" s="37"/>
      <c r="D483" s="37"/>
      <c r="E483" s="37"/>
      <c r="K483" s="48"/>
    </row>
    <row r="484">
      <c r="A484" s="37"/>
      <c r="B484" s="37"/>
      <c r="C484" s="37"/>
      <c r="D484" s="37"/>
      <c r="E484" s="37"/>
      <c r="K484" s="48"/>
    </row>
    <row r="485">
      <c r="A485" s="37"/>
      <c r="B485" s="37"/>
      <c r="C485" s="37"/>
      <c r="D485" s="37"/>
      <c r="E485" s="37"/>
      <c r="K485" s="48"/>
    </row>
    <row r="486">
      <c r="A486" s="37"/>
      <c r="B486" s="37"/>
      <c r="C486" s="37"/>
      <c r="D486" s="37"/>
      <c r="E486" s="37"/>
      <c r="K486" s="48"/>
    </row>
    <row r="487">
      <c r="A487" s="37"/>
      <c r="B487" s="37"/>
      <c r="C487" s="37"/>
      <c r="D487" s="37"/>
      <c r="E487" s="37"/>
      <c r="K487" s="48"/>
    </row>
    <row r="488">
      <c r="A488" s="37"/>
      <c r="B488" s="37"/>
      <c r="C488" s="37"/>
      <c r="D488" s="37"/>
      <c r="E488" s="37"/>
      <c r="K488" s="48"/>
    </row>
    <row r="489">
      <c r="A489" s="37"/>
      <c r="B489" s="37"/>
      <c r="C489" s="37"/>
      <c r="D489" s="37"/>
      <c r="E489" s="37"/>
      <c r="K489" s="48"/>
    </row>
    <row r="490">
      <c r="A490" s="37"/>
      <c r="B490" s="37"/>
      <c r="C490" s="37"/>
      <c r="D490" s="37"/>
      <c r="E490" s="37"/>
      <c r="K490" s="48"/>
    </row>
    <row r="491">
      <c r="A491" s="37"/>
      <c r="B491" s="37"/>
      <c r="C491" s="37"/>
      <c r="D491" s="37"/>
      <c r="E491" s="37"/>
      <c r="K491" s="48"/>
    </row>
    <row r="492">
      <c r="A492" s="37"/>
      <c r="B492" s="37"/>
      <c r="C492" s="37"/>
      <c r="D492" s="37"/>
      <c r="E492" s="37"/>
      <c r="K492" s="48"/>
    </row>
    <row r="493">
      <c r="A493" s="37"/>
      <c r="B493" s="37"/>
      <c r="C493" s="37"/>
      <c r="D493" s="37"/>
      <c r="E493" s="37"/>
      <c r="K493" s="48"/>
    </row>
    <row r="494">
      <c r="A494" s="37"/>
      <c r="B494" s="37"/>
      <c r="C494" s="37"/>
      <c r="D494" s="37"/>
      <c r="E494" s="37"/>
      <c r="K494" s="48"/>
    </row>
    <row r="495">
      <c r="A495" s="37"/>
      <c r="B495" s="37"/>
      <c r="C495" s="37"/>
      <c r="D495" s="37"/>
      <c r="E495" s="37"/>
      <c r="K495" s="48"/>
    </row>
    <row r="496">
      <c r="A496" s="37"/>
      <c r="B496" s="37"/>
      <c r="C496" s="37"/>
      <c r="D496" s="37"/>
      <c r="E496" s="37"/>
      <c r="K496" s="48"/>
    </row>
    <row r="497">
      <c r="A497" s="37"/>
      <c r="B497" s="37"/>
      <c r="C497" s="37"/>
      <c r="D497" s="37"/>
      <c r="E497" s="37"/>
      <c r="K497" s="48"/>
    </row>
    <row r="498">
      <c r="A498" s="37"/>
      <c r="B498" s="37"/>
      <c r="C498" s="37"/>
      <c r="D498" s="37"/>
      <c r="E498" s="37"/>
      <c r="K498" s="48"/>
    </row>
    <row r="499">
      <c r="A499" s="37"/>
      <c r="B499" s="37"/>
      <c r="C499" s="37"/>
      <c r="D499" s="37"/>
      <c r="E499" s="37"/>
      <c r="K499" s="48"/>
    </row>
    <row r="500">
      <c r="A500" s="37"/>
      <c r="B500" s="37"/>
      <c r="C500" s="37"/>
      <c r="D500" s="37"/>
      <c r="E500" s="37"/>
      <c r="K500" s="48"/>
    </row>
    <row r="501">
      <c r="A501" s="37"/>
      <c r="B501" s="37"/>
      <c r="C501" s="37"/>
      <c r="D501" s="37"/>
      <c r="E501" s="37"/>
      <c r="K501" s="48"/>
    </row>
    <row r="502">
      <c r="A502" s="37"/>
      <c r="B502" s="37"/>
      <c r="C502" s="37"/>
      <c r="D502" s="37"/>
      <c r="E502" s="37"/>
      <c r="K502" s="48"/>
    </row>
    <row r="503">
      <c r="A503" s="37"/>
      <c r="B503" s="37"/>
      <c r="C503" s="37"/>
      <c r="D503" s="37"/>
      <c r="E503" s="37"/>
      <c r="K503" s="48"/>
    </row>
    <row r="504">
      <c r="A504" s="37"/>
      <c r="B504" s="37"/>
      <c r="C504" s="37"/>
      <c r="D504" s="37"/>
      <c r="E504" s="37"/>
      <c r="K504" s="48"/>
    </row>
    <row r="505">
      <c r="A505" s="37"/>
      <c r="B505" s="37"/>
      <c r="C505" s="37"/>
      <c r="D505" s="37"/>
      <c r="E505" s="37"/>
      <c r="K505" s="48"/>
    </row>
    <row r="506">
      <c r="A506" s="37"/>
      <c r="B506" s="37"/>
      <c r="C506" s="37"/>
      <c r="D506" s="37"/>
      <c r="E506" s="37"/>
      <c r="K506" s="48"/>
    </row>
    <row r="507">
      <c r="A507" s="37"/>
      <c r="B507" s="37"/>
      <c r="C507" s="37"/>
      <c r="D507" s="37"/>
      <c r="E507" s="37"/>
      <c r="K507" s="48"/>
    </row>
    <row r="508">
      <c r="A508" s="37"/>
      <c r="B508" s="37"/>
      <c r="C508" s="37"/>
      <c r="D508" s="37"/>
      <c r="E508" s="37"/>
      <c r="K508" s="48"/>
    </row>
    <row r="509">
      <c r="A509" s="37"/>
      <c r="B509" s="37"/>
      <c r="C509" s="37"/>
      <c r="D509" s="37"/>
      <c r="E509" s="37"/>
      <c r="K509" s="48"/>
    </row>
    <row r="510">
      <c r="A510" s="37"/>
      <c r="B510" s="37"/>
      <c r="C510" s="37"/>
      <c r="D510" s="37"/>
      <c r="E510" s="37"/>
      <c r="K510" s="48"/>
    </row>
    <row r="511">
      <c r="A511" s="37"/>
      <c r="B511" s="37"/>
      <c r="C511" s="37"/>
      <c r="D511" s="37"/>
      <c r="E511" s="37"/>
      <c r="K511" s="48"/>
    </row>
    <row r="512">
      <c r="A512" s="37"/>
      <c r="B512" s="37"/>
      <c r="C512" s="37"/>
      <c r="D512" s="37"/>
      <c r="E512" s="37"/>
      <c r="K512" s="48"/>
    </row>
    <row r="513">
      <c r="A513" s="37"/>
      <c r="B513" s="37"/>
      <c r="C513" s="37"/>
      <c r="D513" s="37"/>
      <c r="E513" s="37"/>
      <c r="K513" s="48"/>
    </row>
    <row r="514">
      <c r="A514" s="37"/>
      <c r="B514" s="37"/>
      <c r="C514" s="37"/>
      <c r="D514" s="37"/>
      <c r="E514" s="37"/>
      <c r="K514" s="48"/>
    </row>
    <row r="515">
      <c r="A515" s="37"/>
      <c r="B515" s="37"/>
      <c r="C515" s="37"/>
      <c r="D515" s="37"/>
      <c r="E515" s="37"/>
      <c r="K515" s="48"/>
    </row>
    <row r="516">
      <c r="A516" s="37"/>
      <c r="B516" s="37"/>
      <c r="C516" s="37"/>
      <c r="D516" s="37"/>
      <c r="E516" s="37"/>
      <c r="K516" s="48"/>
    </row>
    <row r="517">
      <c r="A517" s="37"/>
      <c r="B517" s="37"/>
      <c r="C517" s="37"/>
      <c r="D517" s="37"/>
      <c r="E517" s="37"/>
      <c r="K517" s="48"/>
    </row>
    <row r="518">
      <c r="A518" s="37"/>
      <c r="B518" s="37"/>
      <c r="C518" s="37"/>
      <c r="D518" s="37"/>
      <c r="E518" s="37"/>
      <c r="K518" s="48"/>
    </row>
    <row r="519">
      <c r="A519" s="37"/>
      <c r="B519" s="37"/>
      <c r="C519" s="37"/>
      <c r="D519" s="37"/>
      <c r="E519" s="37"/>
      <c r="K519" s="48"/>
    </row>
    <row r="520">
      <c r="A520" s="37"/>
      <c r="B520" s="37"/>
      <c r="C520" s="37"/>
      <c r="D520" s="37"/>
      <c r="E520" s="37"/>
      <c r="K520" s="48"/>
    </row>
    <row r="521">
      <c r="A521" s="37"/>
      <c r="B521" s="37"/>
      <c r="C521" s="37"/>
      <c r="D521" s="37"/>
      <c r="E521" s="37"/>
      <c r="K521" s="48"/>
    </row>
    <row r="522">
      <c r="A522" s="37"/>
      <c r="B522" s="37"/>
      <c r="C522" s="37"/>
      <c r="D522" s="37"/>
      <c r="E522" s="37"/>
      <c r="K522" s="48"/>
    </row>
    <row r="523">
      <c r="A523" s="37"/>
      <c r="B523" s="37"/>
      <c r="C523" s="37"/>
      <c r="D523" s="37"/>
      <c r="E523" s="37"/>
      <c r="K523" s="48"/>
    </row>
    <row r="524">
      <c r="A524" s="37"/>
      <c r="B524" s="37"/>
      <c r="C524" s="37"/>
      <c r="D524" s="37"/>
      <c r="E524" s="37"/>
      <c r="K524" s="48"/>
    </row>
    <row r="525">
      <c r="A525" s="37"/>
      <c r="B525" s="37"/>
      <c r="C525" s="37"/>
      <c r="D525" s="37"/>
      <c r="E525" s="37"/>
      <c r="K525" s="48"/>
    </row>
    <row r="526">
      <c r="A526" s="37"/>
      <c r="B526" s="37"/>
      <c r="C526" s="37"/>
      <c r="D526" s="37"/>
      <c r="E526" s="37"/>
      <c r="K526" s="48"/>
    </row>
    <row r="527">
      <c r="A527" s="37"/>
      <c r="B527" s="37"/>
      <c r="C527" s="37"/>
      <c r="D527" s="37"/>
      <c r="E527" s="37"/>
      <c r="K527" s="48"/>
    </row>
    <row r="528">
      <c r="A528" s="37"/>
      <c r="B528" s="37"/>
      <c r="C528" s="37"/>
      <c r="D528" s="37"/>
      <c r="E528" s="37"/>
      <c r="K528" s="48"/>
    </row>
    <row r="529">
      <c r="A529" s="37"/>
      <c r="B529" s="37"/>
      <c r="C529" s="37"/>
      <c r="D529" s="37"/>
      <c r="E529" s="37"/>
      <c r="K529" s="48"/>
    </row>
    <row r="530">
      <c r="A530" s="37"/>
      <c r="B530" s="37"/>
      <c r="C530" s="37"/>
      <c r="D530" s="37"/>
      <c r="E530" s="37"/>
      <c r="K530" s="48"/>
    </row>
    <row r="531">
      <c r="A531" s="37"/>
      <c r="B531" s="37"/>
      <c r="C531" s="37"/>
      <c r="D531" s="37"/>
      <c r="E531" s="37"/>
      <c r="K531" s="48"/>
    </row>
    <row r="532">
      <c r="A532" s="37"/>
      <c r="B532" s="37"/>
      <c r="C532" s="37"/>
      <c r="D532" s="37"/>
      <c r="E532" s="37"/>
      <c r="K532" s="48"/>
    </row>
    <row r="533">
      <c r="A533" s="37"/>
      <c r="B533" s="37"/>
      <c r="C533" s="37"/>
      <c r="D533" s="37"/>
      <c r="E533" s="37"/>
      <c r="K533" s="48"/>
    </row>
    <row r="534">
      <c r="A534" s="37"/>
      <c r="B534" s="37"/>
      <c r="C534" s="37"/>
      <c r="D534" s="37"/>
      <c r="E534" s="37"/>
      <c r="K534" s="48"/>
    </row>
    <row r="535">
      <c r="A535" s="37"/>
      <c r="B535" s="37"/>
      <c r="C535" s="37"/>
      <c r="D535" s="37"/>
      <c r="E535" s="37"/>
      <c r="K535" s="48"/>
    </row>
    <row r="536">
      <c r="A536" s="37"/>
      <c r="B536" s="37"/>
      <c r="C536" s="37"/>
      <c r="D536" s="37"/>
      <c r="E536" s="37"/>
      <c r="K536" s="48"/>
    </row>
    <row r="537">
      <c r="A537" s="37"/>
      <c r="B537" s="37"/>
      <c r="C537" s="37"/>
      <c r="D537" s="37"/>
      <c r="E537" s="37"/>
      <c r="K537" s="48"/>
    </row>
    <row r="538">
      <c r="A538" s="37"/>
      <c r="B538" s="37"/>
      <c r="C538" s="37"/>
      <c r="D538" s="37"/>
      <c r="E538" s="37"/>
      <c r="K538" s="48"/>
    </row>
    <row r="539">
      <c r="A539" s="37"/>
      <c r="B539" s="37"/>
      <c r="C539" s="37"/>
      <c r="D539" s="37"/>
      <c r="E539" s="37"/>
      <c r="K539" s="48"/>
    </row>
    <row r="540">
      <c r="A540" s="37"/>
      <c r="B540" s="37"/>
      <c r="C540" s="37"/>
      <c r="D540" s="37"/>
      <c r="E540" s="37"/>
      <c r="K540" s="48"/>
    </row>
    <row r="541">
      <c r="A541" s="37"/>
      <c r="B541" s="37"/>
      <c r="C541" s="37"/>
      <c r="D541" s="37"/>
      <c r="E541" s="37"/>
      <c r="K541" s="48"/>
    </row>
    <row r="542">
      <c r="A542" s="37"/>
      <c r="B542" s="37"/>
      <c r="C542" s="37"/>
      <c r="D542" s="37"/>
      <c r="E542" s="37"/>
      <c r="K542" s="48"/>
    </row>
    <row r="543">
      <c r="A543" s="37"/>
      <c r="B543" s="37"/>
      <c r="C543" s="37"/>
      <c r="D543" s="37"/>
      <c r="E543" s="37"/>
      <c r="K543" s="48"/>
    </row>
    <row r="544">
      <c r="A544" s="37"/>
      <c r="B544" s="37"/>
      <c r="C544" s="37"/>
      <c r="D544" s="37"/>
      <c r="E544" s="37"/>
      <c r="K544" s="48"/>
    </row>
    <row r="545">
      <c r="A545" s="37"/>
      <c r="B545" s="37"/>
      <c r="C545" s="37"/>
      <c r="D545" s="37"/>
      <c r="E545" s="37"/>
      <c r="K545" s="48"/>
    </row>
    <row r="546">
      <c r="A546" s="37"/>
      <c r="B546" s="37"/>
      <c r="C546" s="37"/>
      <c r="D546" s="37"/>
      <c r="E546" s="37"/>
      <c r="K546" s="48"/>
    </row>
    <row r="547">
      <c r="A547" s="37"/>
      <c r="B547" s="37"/>
      <c r="C547" s="37"/>
      <c r="D547" s="37"/>
      <c r="E547" s="37"/>
      <c r="K547" s="48"/>
    </row>
    <row r="548">
      <c r="A548" s="37"/>
      <c r="B548" s="37"/>
      <c r="C548" s="37"/>
      <c r="D548" s="37"/>
      <c r="E548" s="37"/>
      <c r="K548" s="48"/>
    </row>
    <row r="549">
      <c r="A549" s="37"/>
      <c r="B549" s="37"/>
      <c r="C549" s="37"/>
      <c r="D549" s="37"/>
      <c r="E549" s="37"/>
      <c r="K549" s="48"/>
    </row>
    <row r="550">
      <c r="A550" s="37"/>
      <c r="B550" s="37"/>
      <c r="C550" s="37"/>
      <c r="D550" s="37"/>
      <c r="E550" s="37"/>
      <c r="K550" s="48"/>
    </row>
    <row r="551">
      <c r="A551" s="37"/>
      <c r="B551" s="37"/>
      <c r="C551" s="37"/>
      <c r="D551" s="37"/>
      <c r="E551" s="37"/>
      <c r="K551" s="48"/>
    </row>
    <row r="552">
      <c r="A552" s="37"/>
      <c r="B552" s="37"/>
      <c r="C552" s="37"/>
      <c r="D552" s="37"/>
      <c r="E552" s="37"/>
      <c r="K552" s="48"/>
    </row>
    <row r="553">
      <c r="A553" s="37"/>
      <c r="B553" s="37"/>
      <c r="C553" s="37"/>
      <c r="D553" s="37"/>
      <c r="E553" s="37"/>
      <c r="K553" s="48"/>
    </row>
    <row r="554">
      <c r="A554" s="37"/>
      <c r="B554" s="37"/>
      <c r="C554" s="37"/>
      <c r="D554" s="37"/>
      <c r="E554" s="37"/>
      <c r="K554" s="48"/>
    </row>
    <row r="555">
      <c r="A555" s="37"/>
      <c r="B555" s="37"/>
      <c r="C555" s="37"/>
      <c r="D555" s="37"/>
      <c r="E555" s="37"/>
      <c r="K555" s="48"/>
    </row>
    <row r="556">
      <c r="A556" s="37"/>
      <c r="B556" s="37"/>
      <c r="C556" s="37"/>
      <c r="D556" s="37"/>
      <c r="E556" s="37"/>
      <c r="K556" s="48"/>
    </row>
    <row r="557">
      <c r="A557" s="37"/>
      <c r="B557" s="37"/>
      <c r="C557" s="37"/>
      <c r="D557" s="37"/>
      <c r="E557" s="37"/>
      <c r="K557" s="48"/>
    </row>
    <row r="558">
      <c r="A558" s="37"/>
      <c r="B558" s="37"/>
      <c r="C558" s="37"/>
      <c r="D558" s="37"/>
      <c r="E558" s="37"/>
      <c r="K558" s="48"/>
    </row>
    <row r="559">
      <c r="A559" s="37"/>
      <c r="B559" s="37"/>
      <c r="C559" s="37"/>
      <c r="D559" s="37"/>
      <c r="E559" s="37"/>
      <c r="K559" s="48"/>
    </row>
    <row r="560">
      <c r="A560" s="37"/>
      <c r="B560" s="37"/>
      <c r="C560" s="37"/>
      <c r="D560" s="37"/>
      <c r="E560" s="37"/>
      <c r="K560" s="48"/>
    </row>
    <row r="561">
      <c r="A561" s="37"/>
      <c r="B561" s="37"/>
      <c r="C561" s="37"/>
      <c r="D561" s="37"/>
      <c r="E561" s="37"/>
      <c r="K561" s="48"/>
    </row>
    <row r="562">
      <c r="A562" s="37"/>
      <c r="B562" s="37"/>
      <c r="C562" s="37"/>
      <c r="D562" s="37"/>
      <c r="E562" s="37"/>
      <c r="K562" s="48"/>
    </row>
    <row r="563">
      <c r="A563" s="37"/>
      <c r="B563" s="37"/>
      <c r="C563" s="37"/>
      <c r="D563" s="37"/>
      <c r="E563" s="37"/>
      <c r="K563" s="48"/>
    </row>
    <row r="564">
      <c r="A564" s="37"/>
      <c r="B564" s="37"/>
      <c r="C564" s="37"/>
      <c r="D564" s="37"/>
      <c r="E564" s="37"/>
      <c r="K564" s="48"/>
    </row>
    <row r="565">
      <c r="A565" s="37"/>
      <c r="B565" s="37"/>
      <c r="C565" s="37"/>
      <c r="D565" s="37"/>
      <c r="E565" s="37"/>
      <c r="K565" s="48"/>
    </row>
    <row r="566">
      <c r="A566" s="37"/>
      <c r="B566" s="37"/>
      <c r="C566" s="37"/>
      <c r="D566" s="37"/>
      <c r="E566" s="37"/>
      <c r="K566" s="48"/>
    </row>
    <row r="567">
      <c r="A567" s="37"/>
      <c r="B567" s="37"/>
      <c r="C567" s="37"/>
      <c r="D567" s="37"/>
      <c r="E567" s="37"/>
      <c r="K567" s="48"/>
    </row>
    <row r="568">
      <c r="A568" s="37"/>
      <c r="B568" s="37"/>
      <c r="C568" s="37"/>
      <c r="D568" s="37"/>
      <c r="E568" s="37"/>
      <c r="K568" s="48"/>
    </row>
    <row r="569">
      <c r="A569" s="37"/>
      <c r="B569" s="37"/>
      <c r="C569" s="37"/>
      <c r="D569" s="37"/>
      <c r="E569" s="37"/>
      <c r="K569" s="48"/>
    </row>
    <row r="570">
      <c r="A570" s="37"/>
      <c r="B570" s="37"/>
      <c r="C570" s="37"/>
      <c r="D570" s="37"/>
      <c r="E570" s="37"/>
      <c r="K570" s="48"/>
    </row>
    <row r="571">
      <c r="A571" s="37"/>
      <c r="B571" s="37"/>
      <c r="C571" s="37"/>
      <c r="D571" s="37"/>
      <c r="E571" s="37"/>
      <c r="K571" s="48"/>
    </row>
    <row r="572">
      <c r="A572" s="37"/>
      <c r="B572" s="37"/>
      <c r="C572" s="37"/>
      <c r="D572" s="37"/>
      <c r="E572" s="37"/>
      <c r="K572" s="48"/>
    </row>
    <row r="573">
      <c r="A573" s="37"/>
      <c r="B573" s="37"/>
      <c r="C573" s="37"/>
      <c r="D573" s="37"/>
      <c r="E573" s="37"/>
      <c r="K573" s="48"/>
    </row>
    <row r="574">
      <c r="A574" s="37"/>
      <c r="B574" s="37"/>
      <c r="C574" s="37"/>
      <c r="D574" s="37"/>
      <c r="E574" s="37"/>
      <c r="K574" s="48"/>
    </row>
    <row r="575">
      <c r="A575" s="37"/>
      <c r="B575" s="37"/>
      <c r="C575" s="37"/>
      <c r="D575" s="37"/>
      <c r="E575" s="37"/>
      <c r="K575" s="48"/>
    </row>
    <row r="576">
      <c r="A576" s="37"/>
      <c r="B576" s="37"/>
      <c r="C576" s="37"/>
      <c r="D576" s="37"/>
      <c r="E576" s="37"/>
      <c r="K576" s="48"/>
    </row>
    <row r="577">
      <c r="A577" s="37"/>
      <c r="B577" s="37"/>
      <c r="C577" s="37"/>
      <c r="D577" s="37"/>
      <c r="E577" s="37"/>
      <c r="K577" s="48"/>
    </row>
    <row r="578">
      <c r="A578" s="37"/>
      <c r="B578" s="37"/>
      <c r="C578" s="37"/>
      <c r="D578" s="37"/>
      <c r="E578" s="37"/>
      <c r="K578" s="48"/>
    </row>
    <row r="579">
      <c r="A579" s="37"/>
      <c r="B579" s="37"/>
      <c r="C579" s="37"/>
      <c r="D579" s="37"/>
      <c r="E579" s="37"/>
      <c r="K579" s="48"/>
    </row>
    <row r="580">
      <c r="A580" s="37"/>
      <c r="B580" s="37"/>
      <c r="C580" s="37"/>
      <c r="D580" s="37"/>
      <c r="E580" s="37"/>
      <c r="K580" s="48"/>
    </row>
    <row r="581">
      <c r="A581" s="37"/>
      <c r="B581" s="37"/>
      <c r="C581" s="37"/>
      <c r="D581" s="37"/>
      <c r="E581" s="37"/>
      <c r="K581" s="48"/>
    </row>
    <row r="582">
      <c r="A582" s="37"/>
      <c r="B582" s="37"/>
      <c r="C582" s="37"/>
      <c r="D582" s="37"/>
      <c r="E582" s="37"/>
      <c r="K582" s="48"/>
    </row>
    <row r="583">
      <c r="A583" s="37"/>
      <c r="B583" s="37"/>
      <c r="C583" s="37"/>
      <c r="D583" s="37"/>
      <c r="E583" s="37"/>
      <c r="K583" s="48"/>
    </row>
    <row r="584">
      <c r="A584" s="37"/>
      <c r="B584" s="37"/>
      <c r="C584" s="37"/>
      <c r="D584" s="37"/>
      <c r="E584" s="37"/>
      <c r="K584" s="48"/>
    </row>
    <row r="585">
      <c r="A585" s="37"/>
      <c r="B585" s="37"/>
      <c r="C585" s="37"/>
      <c r="D585" s="37"/>
      <c r="E585" s="37"/>
      <c r="K585" s="48"/>
    </row>
    <row r="586">
      <c r="A586" s="37"/>
      <c r="B586" s="37"/>
      <c r="C586" s="37"/>
      <c r="D586" s="37"/>
      <c r="E586" s="37"/>
      <c r="K586" s="48"/>
    </row>
    <row r="587">
      <c r="A587" s="37"/>
      <c r="B587" s="37"/>
      <c r="C587" s="37"/>
      <c r="D587" s="37"/>
      <c r="E587" s="37"/>
      <c r="K587" s="48"/>
    </row>
    <row r="588">
      <c r="A588" s="37"/>
      <c r="B588" s="37"/>
      <c r="C588" s="37"/>
      <c r="D588" s="37"/>
      <c r="E588" s="37"/>
      <c r="K588" s="48"/>
    </row>
    <row r="589">
      <c r="A589" s="37"/>
      <c r="B589" s="37"/>
      <c r="C589" s="37"/>
      <c r="D589" s="37"/>
      <c r="E589" s="37"/>
      <c r="K589" s="48"/>
    </row>
    <row r="590">
      <c r="A590" s="37"/>
      <c r="B590" s="37"/>
      <c r="C590" s="37"/>
      <c r="D590" s="37"/>
      <c r="E590" s="37"/>
      <c r="K590" s="48"/>
    </row>
    <row r="591">
      <c r="A591" s="37"/>
      <c r="B591" s="37"/>
      <c r="C591" s="37"/>
      <c r="D591" s="37"/>
      <c r="E591" s="37"/>
      <c r="K591" s="48"/>
    </row>
    <row r="592">
      <c r="A592" s="37"/>
      <c r="B592" s="37"/>
      <c r="C592" s="37"/>
      <c r="D592" s="37"/>
      <c r="E592" s="37"/>
      <c r="K592" s="48"/>
    </row>
    <row r="593">
      <c r="A593" s="37"/>
      <c r="B593" s="37"/>
      <c r="C593" s="37"/>
      <c r="D593" s="37"/>
      <c r="E593" s="37"/>
      <c r="K593" s="48"/>
    </row>
    <row r="594">
      <c r="A594" s="37"/>
      <c r="B594" s="37"/>
      <c r="C594" s="37"/>
      <c r="D594" s="37"/>
      <c r="E594" s="37"/>
      <c r="K594" s="48"/>
    </row>
    <row r="595">
      <c r="A595" s="37"/>
      <c r="B595" s="37"/>
      <c r="C595" s="37"/>
      <c r="D595" s="37"/>
      <c r="E595" s="37"/>
      <c r="K595" s="48"/>
    </row>
    <row r="596">
      <c r="A596" s="37"/>
      <c r="B596" s="37"/>
      <c r="C596" s="37"/>
      <c r="D596" s="37"/>
      <c r="E596" s="37"/>
      <c r="K596" s="48"/>
    </row>
    <row r="597">
      <c r="A597" s="37"/>
      <c r="B597" s="37"/>
      <c r="C597" s="37"/>
      <c r="D597" s="37"/>
      <c r="E597" s="37"/>
      <c r="K597" s="48"/>
    </row>
    <row r="598">
      <c r="A598" s="37"/>
      <c r="B598" s="37"/>
      <c r="C598" s="37"/>
      <c r="D598" s="37"/>
      <c r="E598" s="37"/>
      <c r="K598" s="48"/>
    </row>
    <row r="599">
      <c r="A599" s="37"/>
      <c r="B599" s="37"/>
      <c r="C599" s="37"/>
      <c r="D599" s="37"/>
      <c r="E599" s="37"/>
      <c r="K599" s="48"/>
    </row>
    <row r="600">
      <c r="A600" s="37"/>
      <c r="B600" s="37"/>
      <c r="C600" s="37"/>
      <c r="D600" s="37"/>
      <c r="E600" s="37"/>
      <c r="K600" s="48"/>
    </row>
    <row r="601">
      <c r="A601" s="37"/>
      <c r="B601" s="37"/>
      <c r="C601" s="37"/>
      <c r="D601" s="37"/>
      <c r="E601" s="37"/>
      <c r="K601" s="48"/>
    </row>
    <row r="602">
      <c r="A602" s="37"/>
      <c r="B602" s="37"/>
      <c r="C602" s="37"/>
      <c r="D602" s="37"/>
      <c r="E602" s="37"/>
      <c r="K602" s="48"/>
    </row>
    <row r="603">
      <c r="A603" s="37"/>
      <c r="B603" s="37"/>
      <c r="C603" s="37"/>
      <c r="D603" s="37"/>
      <c r="E603" s="37"/>
      <c r="K603" s="48"/>
    </row>
    <row r="604">
      <c r="A604" s="37"/>
      <c r="B604" s="37"/>
      <c r="C604" s="37"/>
      <c r="D604" s="37"/>
      <c r="E604" s="37"/>
      <c r="K604" s="48"/>
    </row>
    <row r="605">
      <c r="A605" s="37"/>
      <c r="B605" s="37"/>
      <c r="C605" s="37"/>
      <c r="D605" s="37"/>
      <c r="E605" s="37"/>
      <c r="K605" s="48"/>
    </row>
    <row r="606">
      <c r="A606" s="37"/>
      <c r="B606" s="37"/>
      <c r="C606" s="37"/>
      <c r="D606" s="37"/>
      <c r="E606" s="37"/>
      <c r="K606" s="48"/>
    </row>
    <row r="607">
      <c r="A607" s="37"/>
      <c r="B607" s="37"/>
      <c r="C607" s="37"/>
      <c r="D607" s="37"/>
      <c r="E607" s="37"/>
      <c r="K607" s="48"/>
    </row>
    <row r="608">
      <c r="A608" s="37"/>
      <c r="B608" s="37"/>
      <c r="C608" s="37"/>
      <c r="D608" s="37"/>
      <c r="E608" s="37"/>
      <c r="K608" s="48"/>
    </row>
    <row r="609">
      <c r="A609" s="37"/>
      <c r="B609" s="37"/>
      <c r="C609" s="37"/>
      <c r="D609" s="37"/>
      <c r="E609" s="37"/>
      <c r="K609" s="48"/>
    </row>
    <row r="610">
      <c r="A610" s="37"/>
      <c r="B610" s="37"/>
      <c r="C610" s="37"/>
      <c r="D610" s="37"/>
      <c r="E610" s="37"/>
      <c r="K610" s="48"/>
    </row>
    <row r="611">
      <c r="A611" s="37"/>
      <c r="B611" s="37"/>
      <c r="C611" s="37"/>
      <c r="D611" s="37"/>
      <c r="E611" s="37"/>
      <c r="K611" s="48"/>
    </row>
    <row r="612">
      <c r="A612" s="37"/>
      <c r="B612" s="37"/>
      <c r="C612" s="37"/>
      <c r="D612" s="37"/>
      <c r="E612" s="37"/>
      <c r="K612" s="48"/>
    </row>
    <row r="613">
      <c r="A613" s="37"/>
      <c r="B613" s="37"/>
      <c r="C613" s="37"/>
      <c r="D613" s="37"/>
      <c r="E613" s="37"/>
      <c r="K613" s="48"/>
    </row>
    <row r="614">
      <c r="A614" s="37"/>
      <c r="B614" s="37"/>
      <c r="C614" s="37"/>
      <c r="D614" s="37"/>
      <c r="E614" s="37"/>
      <c r="K614" s="48"/>
    </row>
    <row r="615">
      <c r="A615" s="37"/>
      <c r="B615" s="37"/>
      <c r="C615" s="37"/>
      <c r="D615" s="37"/>
      <c r="E615" s="37"/>
      <c r="K615" s="48"/>
    </row>
    <row r="616">
      <c r="A616" s="37"/>
      <c r="B616" s="37"/>
      <c r="C616" s="37"/>
      <c r="D616" s="37"/>
      <c r="E616" s="37"/>
      <c r="K616" s="48"/>
    </row>
    <row r="617">
      <c r="A617" s="37"/>
      <c r="B617" s="37"/>
      <c r="C617" s="37"/>
      <c r="D617" s="37"/>
      <c r="E617" s="37"/>
      <c r="K617" s="48"/>
    </row>
    <row r="618">
      <c r="A618" s="37"/>
      <c r="B618" s="37"/>
      <c r="C618" s="37"/>
      <c r="D618" s="37"/>
      <c r="E618" s="37"/>
      <c r="K618" s="48"/>
    </row>
    <row r="619">
      <c r="A619" s="37"/>
      <c r="B619" s="37"/>
      <c r="C619" s="37"/>
      <c r="D619" s="37"/>
      <c r="E619" s="37"/>
      <c r="K619" s="48"/>
    </row>
    <row r="620">
      <c r="A620" s="37"/>
      <c r="B620" s="37"/>
      <c r="C620" s="37"/>
      <c r="D620" s="37"/>
      <c r="E620" s="37"/>
      <c r="K620" s="48"/>
    </row>
    <row r="621">
      <c r="A621" s="37"/>
      <c r="B621" s="37"/>
      <c r="C621" s="37"/>
      <c r="D621" s="37"/>
      <c r="E621" s="37"/>
      <c r="K621" s="48"/>
    </row>
    <row r="622">
      <c r="A622" s="37"/>
      <c r="B622" s="37"/>
      <c r="C622" s="37"/>
      <c r="D622" s="37"/>
      <c r="E622" s="37"/>
      <c r="K622" s="48"/>
    </row>
    <row r="623">
      <c r="A623" s="37"/>
      <c r="B623" s="37"/>
      <c r="C623" s="37"/>
      <c r="D623" s="37"/>
      <c r="E623" s="37"/>
      <c r="K623" s="48"/>
    </row>
    <row r="624">
      <c r="A624" s="37"/>
      <c r="B624" s="37"/>
      <c r="C624" s="37"/>
      <c r="D624" s="37"/>
      <c r="E624" s="37"/>
      <c r="K624" s="48"/>
    </row>
    <row r="625">
      <c r="A625" s="37"/>
      <c r="B625" s="37"/>
      <c r="C625" s="37"/>
      <c r="D625" s="37"/>
      <c r="E625" s="37"/>
      <c r="K625" s="48"/>
    </row>
    <row r="626">
      <c r="A626" s="37"/>
      <c r="B626" s="37"/>
      <c r="C626" s="37"/>
      <c r="D626" s="37"/>
      <c r="E626" s="37"/>
      <c r="K626" s="48"/>
    </row>
    <row r="627">
      <c r="A627" s="37"/>
      <c r="B627" s="37"/>
      <c r="C627" s="37"/>
      <c r="D627" s="37"/>
      <c r="E627" s="37"/>
      <c r="K627" s="48"/>
    </row>
    <row r="628">
      <c r="A628" s="37"/>
      <c r="B628" s="37"/>
      <c r="C628" s="37"/>
      <c r="D628" s="37"/>
      <c r="E628" s="37"/>
      <c r="K628" s="48"/>
    </row>
    <row r="629">
      <c r="A629" s="37"/>
      <c r="B629" s="37"/>
      <c r="C629" s="37"/>
      <c r="D629" s="37"/>
      <c r="E629" s="37"/>
      <c r="K629" s="48"/>
    </row>
    <row r="630">
      <c r="A630" s="37"/>
      <c r="B630" s="37"/>
      <c r="C630" s="37"/>
      <c r="D630" s="37"/>
      <c r="E630" s="37"/>
      <c r="K630" s="48"/>
    </row>
    <row r="631">
      <c r="A631" s="37"/>
      <c r="B631" s="37"/>
      <c r="C631" s="37"/>
      <c r="D631" s="37"/>
      <c r="E631" s="37"/>
      <c r="K631" s="48"/>
    </row>
    <row r="632">
      <c r="A632" s="37"/>
      <c r="B632" s="37"/>
      <c r="C632" s="37"/>
      <c r="D632" s="37"/>
      <c r="E632" s="37"/>
      <c r="K632" s="48"/>
    </row>
    <row r="633">
      <c r="A633" s="37"/>
      <c r="B633" s="37"/>
      <c r="C633" s="37"/>
      <c r="D633" s="37"/>
      <c r="E633" s="37"/>
      <c r="K633" s="48"/>
    </row>
    <row r="634">
      <c r="A634" s="37"/>
      <c r="B634" s="37"/>
      <c r="C634" s="37"/>
      <c r="D634" s="37"/>
      <c r="E634" s="37"/>
      <c r="K634" s="48"/>
    </row>
    <row r="635">
      <c r="A635" s="37"/>
      <c r="B635" s="37"/>
      <c r="C635" s="37"/>
      <c r="D635" s="37"/>
      <c r="E635" s="37"/>
      <c r="K635" s="48"/>
    </row>
    <row r="636">
      <c r="A636" s="37"/>
      <c r="B636" s="37"/>
      <c r="C636" s="37"/>
      <c r="D636" s="37"/>
      <c r="E636" s="37"/>
      <c r="K636" s="48"/>
    </row>
    <row r="637">
      <c r="A637" s="37"/>
      <c r="B637" s="37"/>
      <c r="C637" s="37"/>
      <c r="D637" s="37"/>
      <c r="E637" s="37"/>
      <c r="K637" s="48"/>
    </row>
    <row r="638">
      <c r="A638" s="37"/>
      <c r="B638" s="37"/>
      <c r="C638" s="37"/>
      <c r="D638" s="37"/>
      <c r="E638" s="37"/>
      <c r="K638" s="48"/>
    </row>
    <row r="639">
      <c r="A639" s="37"/>
      <c r="B639" s="37"/>
      <c r="C639" s="37"/>
      <c r="D639" s="37"/>
      <c r="E639" s="37"/>
      <c r="K639" s="48"/>
    </row>
    <row r="640">
      <c r="A640" s="37"/>
      <c r="B640" s="37"/>
      <c r="C640" s="37"/>
      <c r="D640" s="37"/>
      <c r="E640" s="37"/>
      <c r="K640" s="48"/>
    </row>
    <row r="641">
      <c r="A641" s="37"/>
      <c r="B641" s="37"/>
      <c r="C641" s="37"/>
      <c r="D641" s="37"/>
      <c r="E641" s="37"/>
      <c r="K641" s="48"/>
    </row>
    <row r="642">
      <c r="A642" s="37"/>
      <c r="B642" s="37"/>
      <c r="C642" s="37"/>
      <c r="D642" s="37"/>
      <c r="E642" s="37"/>
      <c r="K642" s="48"/>
    </row>
    <row r="643">
      <c r="A643" s="37"/>
      <c r="B643" s="37"/>
      <c r="C643" s="37"/>
      <c r="D643" s="37"/>
      <c r="E643" s="37"/>
      <c r="K643" s="48"/>
    </row>
    <row r="644">
      <c r="A644" s="37"/>
      <c r="B644" s="37"/>
      <c r="C644" s="37"/>
      <c r="D644" s="37"/>
      <c r="E644" s="37"/>
      <c r="K644" s="48"/>
    </row>
    <row r="645">
      <c r="A645" s="37"/>
      <c r="B645" s="37"/>
      <c r="C645" s="37"/>
      <c r="D645" s="37"/>
      <c r="E645" s="37"/>
      <c r="K645" s="48"/>
    </row>
    <row r="646">
      <c r="A646" s="37"/>
      <c r="B646" s="37"/>
      <c r="C646" s="37"/>
      <c r="D646" s="37"/>
      <c r="E646" s="37"/>
      <c r="K646" s="48"/>
    </row>
    <row r="647">
      <c r="A647" s="37"/>
      <c r="B647" s="37"/>
      <c r="C647" s="37"/>
      <c r="D647" s="37"/>
      <c r="E647" s="37"/>
      <c r="K647" s="48"/>
    </row>
    <row r="648">
      <c r="A648" s="37"/>
      <c r="B648" s="37"/>
      <c r="C648" s="37"/>
      <c r="D648" s="37"/>
      <c r="E648" s="37"/>
      <c r="K648" s="48"/>
    </row>
    <row r="649">
      <c r="A649" s="37"/>
      <c r="B649" s="37"/>
      <c r="C649" s="37"/>
      <c r="D649" s="37"/>
      <c r="E649" s="37"/>
      <c r="K649" s="48"/>
    </row>
    <row r="650">
      <c r="A650" s="37"/>
      <c r="B650" s="37"/>
      <c r="C650" s="37"/>
      <c r="D650" s="37"/>
      <c r="E650" s="37"/>
      <c r="K650" s="48"/>
    </row>
    <row r="651">
      <c r="A651" s="37"/>
      <c r="B651" s="37"/>
      <c r="C651" s="37"/>
      <c r="D651" s="37"/>
      <c r="E651" s="37"/>
      <c r="K651" s="48"/>
    </row>
    <row r="652">
      <c r="A652" s="37"/>
      <c r="B652" s="37"/>
      <c r="C652" s="37"/>
      <c r="D652" s="37"/>
      <c r="E652" s="37"/>
      <c r="K652" s="48"/>
    </row>
    <row r="653">
      <c r="A653" s="37"/>
      <c r="B653" s="37"/>
      <c r="C653" s="37"/>
      <c r="D653" s="37"/>
      <c r="E653" s="37"/>
      <c r="K653" s="48"/>
    </row>
    <row r="654">
      <c r="A654" s="37"/>
      <c r="B654" s="37"/>
      <c r="C654" s="37"/>
      <c r="D654" s="37"/>
      <c r="E654" s="37"/>
      <c r="K654" s="48"/>
    </row>
    <row r="655">
      <c r="A655" s="37"/>
      <c r="B655" s="37"/>
      <c r="C655" s="37"/>
      <c r="D655" s="37"/>
      <c r="E655" s="37"/>
      <c r="K655" s="48"/>
    </row>
    <row r="656">
      <c r="A656" s="37"/>
      <c r="B656" s="37"/>
      <c r="C656" s="37"/>
      <c r="D656" s="37"/>
      <c r="E656" s="37"/>
      <c r="K656" s="48"/>
    </row>
    <row r="657">
      <c r="A657" s="37"/>
      <c r="B657" s="37"/>
      <c r="C657" s="37"/>
      <c r="D657" s="37"/>
      <c r="E657" s="37"/>
      <c r="K657" s="48"/>
    </row>
    <row r="658">
      <c r="A658" s="37"/>
      <c r="B658" s="37"/>
      <c r="C658" s="37"/>
      <c r="D658" s="37"/>
      <c r="E658" s="37"/>
      <c r="K658" s="48"/>
    </row>
    <row r="659">
      <c r="A659" s="37"/>
      <c r="B659" s="37"/>
      <c r="C659" s="37"/>
      <c r="D659" s="37"/>
      <c r="E659" s="37"/>
      <c r="K659" s="48"/>
    </row>
    <row r="660">
      <c r="A660" s="37"/>
      <c r="B660" s="37"/>
      <c r="C660" s="37"/>
      <c r="D660" s="37"/>
      <c r="E660" s="37"/>
      <c r="K660" s="48"/>
    </row>
    <row r="661">
      <c r="A661" s="37"/>
      <c r="B661" s="37"/>
      <c r="C661" s="37"/>
      <c r="D661" s="37"/>
      <c r="E661" s="37"/>
      <c r="K661" s="48"/>
    </row>
    <row r="662">
      <c r="A662" s="37"/>
      <c r="B662" s="37"/>
      <c r="C662" s="37"/>
      <c r="D662" s="37"/>
      <c r="E662" s="37"/>
      <c r="K662" s="48"/>
    </row>
    <row r="663">
      <c r="A663" s="37"/>
      <c r="B663" s="37"/>
      <c r="C663" s="37"/>
      <c r="D663" s="37"/>
      <c r="E663" s="37"/>
      <c r="K663" s="48"/>
    </row>
    <row r="664">
      <c r="A664" s="37"/>
      <c r="B664" s="37"/>
      <c r="C664" s="37"/>
      <c r="D664" s="37"/>
      <c r="E664" s="37"/>
      <c r="K664" s="48"/>
    </row>
    <row r="665">
      <c r="A665" s="37"/>
      <c r="B665" s="37"/>
      <c r="C665" s="37"/>
      <c r="D665" s="37"/>
      <c r="E665" s="37"/>
      <c r="K665" s="48"/>
    </row>
    <row r="666">
      <c r="A666" s="37"/>
      <c r="B666" s="37"/>
      <c r="C666" s="37"/>
      <c r="D666" s="37"/>
      <c r="E666" s="37"/>
      <c r="K666" s="48"/>
    </row>
    <row r="667">
      <c r="A667" s="37"/>
      <c r="B667" s="37"/>
      <c r="C667" s="37"/>
      <c r="D667" s="37"/>
      <c r="E667" s="37"/>
      <c r="K667" s="48"/>
    </row>
    <row r="668">
      <c r="A668" s="37"/>
      <c r="B668" s="37"/>
      <c r="C668" s="37"/>
      <c r="D668" s="37"/>
      <c r="E668" s="37"/>
      <c r="K668" s="48"/>
    </row>
    <row r="669">
      <c r="A669" s="37"/>
      <c r="B669" s="37"/>
      <c r="C669" s="37"/>
      <c r="D669" s="37"/>
      <c r="E669" s="37"/>
      <c r="K669" s="48"/>
    </row>
    <row r="670">
      <c r="A670" s="37"/>
      <c r="B670" s="37"/>
      <c r="C670" s="37"/>
      <c r="D670" s="37"/>
      <c r="E670" s="37"/>
      <c r="K670" s="48"/>
    </row>
    <row r="671">
      <c r="A671" s="37"/>
      <c r="B671" s="37"/>
      <c r="C671" s="37"/>
      <c r="D671" s="37"/>
      <c r="E671" s="37"/>
      <c r="K671" s="48"/>
    </row>
    <row r="672">
      <c r="A672" s="37"/>
      <c r="B672" s="37"/>
      <c r="C672" s="37"/>
      <c r="D672" s="37"/>
      <c r="E672" s="37"/>
      <c r="K672" s="48"/>
    </row>
    <row r="673">
      <c r="A673" s="37"/>
      <c r="B673" s="37"/>
      <c r="C673" s="37"/>
      <c r="D673" s="37"/>
      <c r="E673" s="37"/>
      <c r="K673" s="48"/>
    </row>
    <row r="674">
      <c r="A674" s="37"/>
      <c r="B674" s="37"/>
      <c r="C674" s="37"/>
      <c r="D674" s="37"/>
      <c r="E674" s="37"/>
      <c r="K674" s="48"/>
    </row>
    <row r="675">
      <c r="A675" s="37"/>
      <c r="B675" s="37"/>
      <c r="C675" s="37"/>
      <c r="D675" s="37"/>
      <c r="E675" s="37"/>
      <c r="K675" s="48"/>
    </row>
    <row r="676">
      <c r="A676" s="37"/>
      <c r="B676" s="37"/>
      <c r="C676" s="37"/>
      <c r="D676" s="37"/>
      <c r="E676" s="37"/>
      <c r="K676" s="48"/>
    </row>
    <row r="677">
      <c r="A677" s="37"/>
      <c r="B677" s="37"/>
      <c r="C677" s="37"/>
      <c r="D677" s="37"/>
      <c r="E677" s="37"/>
      <c r="K677" s="48"/>
    </row>
    <row r="678">
      <c r="A678" s="37"/>
      <c r="B678" s="37"/>
      <c r="C678" s="37"/>
      <c r="D678" s="37"/>
      <c r="E678" s="37"/>
      <c r="K678" s="48"/>
    </row>
    <row r="679">
      <c r="A679" s="37"/>
      <c r="B679" s="37"/>
      <c r="C679" s="37"/>
      <c r="D679" s="37"/>
      <c r="E679" s="37"/>
      <c r="K679" s="48"/>
    </row>
    <row r="680">
      <c r="A680" s="37"/>
      <c r="B680" s="37"/>
      <c r="C680" s="37"/>
      <c r="D680" s="37"/>
      <c r="E680" s="37"/>
      <c r="K680" s="48"/>
    </row>
    <row r="681">
      <c r="A681" s="37"/>
      <c r="B681" s="37"/>
      <c r="C681" s="37"/>
      <c r="D681" s="37"/>
      <c r="E681" s="37"/>
      <c r="K681" s="48"/>
    </row>
    <row r="682">
      <c r="A682" s="37"/>
      <c r="B682" s="37"/>
      <c r="C682" s="37"/>
      <c r="D682" s="37"/>
      <c r="E682" s="37"/>
      <c r="K682" s="48"/>
    </row>
    <row r="683">
      <c r="A683" s="37"/>
      <c r="B683" s="37"/>
      <c r="C683" s="37"/>
      <c r="D683" s="37"/>
      <c r="E683" s="37"/>
      <c r="K683" s="48"/>
    </row>
    <row r="684">
      <c r="A684" s="37"/>
      <c r="B684" s="37"/>
      <c r="C684" s="37"/>
      <c r="D684" s="37"/>
      <c r="E684" s="37"/>
      <c r="K684" s="48"/>
    </row>
    <row r="685">
      <c r="A685" s="37"/>
      <c r="B685" s="37"/>
      <c r="C685" s="37"/>
      <c r="D685" s="37"/>
      <c r="E685" s="37"/>
      <c r="K685" s="48"/>
    </row>
    <row r="686">
      <c r="A686" s="37"/>
      <c r="B686" s="37"/>
      <c r="C686" s="37"/>
      <c r="D686" s="37"/>
      <c r="E686" s="37"/>
      <c r="K686" s="48"/>
    </row>
    <row r="687">
      <c r="A687" s="37"/>
      <c r="B687" s="37"/>
      <c r="C687" s="37"/>
      <c r="D687" s="37"/>
      <c r="E687" s="37"/>
      <c r="K687" s="48"/>
    </row>
    <row r="688">
      <c r="A688" s="37"/>
      <c r="B688" s="37"/>
      <c r="C688" s="37"/>
      <c r="D688" s="37"/>
      <c r="E688" s="37"/>
      <c r="K688" s="48"/>
    </row>
    <row r="689">
      <c r="A689" s="37"/>
      <c r="B689" s="37"/>
      <c r="C689" s="37"/>
      <c r="D689" s="37"/>
      <c r="E689" s="37"/>
      <c r="K689" s="48"/>
    </row>
    <row r="690">
      <c r="A690" s="37"/>
      <c r="B690" s="37"/>
      <c r="C690" s="37"/>
      <c r="D690" s="37"/>
      <c r="E690" s="37"/>
      <c r="K690" s="48"/>
    </row>
    <row r="691">
      <c r="A691" s="37"/>
      <c r="B691" s="37"/>
      <c r="C691" s="37"/>
      <c r="D691" s="37"/>
      <c r="E691" s="37"/>
      <c r="K691" s="48"/>
    </row>
    <row r="692">
      <c r="A692" s="37"/>
      <c r="B692" s="37"/>
      <c r="C692" s="37"/>
      <c r="D692" s="37"/>
      <c r="E692" s="37"/>
      <c r="K692" s="48"/>
    </row>
    <row r="693">
      <c r="A693" s="37"/>
      <c r="B693" s="37"/>
      <c r="C693" s="37"/>
      <c r="D693" s="37"/>
      <c r="E693" s="37"/>
      <c r="K693" s="48"/>
    </row>
    <row r="694">
      <c r="A694" s="37"/>
      <c r="B694" s="37"/>
      <c r="C694" s="37"/>
      <c r="D694" s="37"/>
      <c r="E694" s="37"/>
      <c r="K694" s="48"/>
    </row>
    <row r="695">
      <c r="A695" s="37"/>
      <c r="B695" s="37"/>
      <c r="C695" s="37"/>
      <c r="D695" s="37"/>
      <c r="E695" s="37"/>
      <c r="K695" s="48"/>
    </row>
    <row r="696">
      <c r="A696" s="37"/>
      <c r="B696" s="37"/>
      <c r="C696" s="37"/>
      <c r="D696" s="37"/>
      <c r="E696" s="37"/>
      <c r="K696" s="48"/>
    </row>
    <row r="697">
      <c r="A697" s="37"/>
      <c r="B697" s="37"/>
      <c r="C697" s="37"/>
      <c r="D697" s="37"/>
      <c r="E697" s="37"/>
      <c r="K697" s="48"/>
    </row>
    <row r="698">
      <c r="A698" s="37"/>
      <c r="B698" s="37"/>
      <c r="C698" s="37"/>
      <c r="D698" s="37"/>
      <c r="E698" s="37"/>
      <c r="K698" s="48"/>
    </row>
    <row r="699">
      <c r="A699" s="37"/>
      <c r="B699" s="37"/>
      <c r="C699" s="37"/>
      <c r="D699" s="37"/>
      <c r="E699" s="37"/>
      <c r="K699" s="48"/>
    </row>
    <row r="700">
      <c r="A700" s="37"/>
      <c r="B700" s="37"/>
      <c r="C700" s="37"/>
      <c r="D700" s="37"/>
      <c r="E700" s="37"/>
      <c r="K700" s="48"/>
    </row>
    <row r="701">
      <c r="A701" s="37"/>
      <c r="B701" s="37"/>
      <c r="C701" s="37"/>
      <c r="D701" s="37"/>
      <c r="E701" s="37"/>
      <c r="K701" s="48"/>
    </row>
    <row r="702">
      <c r="A702" s="37"/>
      <c r="B702" s="37"/>
      <c r="C702" s="37"/>
      <c r="D702" s="37"/>
      <c r="E702" s="37"/>
      <c r="K702" s="48"/>
    </row>
    <row r="703">
      <c r="A703" s="37"/>
      <c r="B703" s="37"/>
      <c r="C703" s="37"/>
      <c r="D703" s="37"/>
      <c r="E703" s="37"/>
      <c r="K703" s="48"/>
    </row>
    <row r="704">
      <c r="A704" s="37"/>
      <c r="B704" s="37"/>
      <c r="C704" s="37"/>
      <c r="D704" s="37"/>
      <c r="E704" s="37"/>
      <c r="K704" s="48"/>
    </row>
    <row r="705">
      <c r="A705" s="37"/>
      <c r="B705" s="37"/>
      <c r="C705" s="37"/>
      <c r="D705" s="37"/>
      <c r="E705" s="37"/>
      <c r="K705" s="48"/>
    </row>
    <row r="706">
      <c r="A706" s="37"/>
      <c r="B706" s="37"/>
      <c r="C706" s="37"/>
      <c r="D706" s="37"/>
      <c r="E706" s="37"/>
      <c r="K706" s="48"/>
    </row>
    <row r="707">
      <c r="A707" s="37"/>
      <c r="B707" s="37"/>
      <c r="C707" s="37"/>
      <c r="D707" s="37"/>
      <c r="E707" s="37"/>
      <c r="K707" s="48"/>
    </row>
    <row r="708">
      <c r="A708" s="37"/>
      <c r="B708" s="37"/>
      <c r="C708" s="37"/>
      <c r="D708" s="37"/>
      <c r="E708" s="37"/>
      <c r="K708" s="48"/>
    </row>
    <row r="709">
      <c r="A709" s="37"/>
      <c r="B709" s="37"/>
      <c r="C709" s="37"/>
      <c r="D709" s="37"/>
      <c r="E709" s="37"/>
      <c r="K709" s="48"/>
    </row>
    <row r="710">
      <c r="A710" s="37"/>
      <c r="B710" s="37"/>
      <c r="C710" s="37"/>
      <c r="D710" s="37"/>
      <c r="E710" s="37"/>
      <c r="K710" s="48"/>
    </row>
    <row r="711">
      <c r="A711" s="37"/>
      <c r="B711" s="37"/>
      <c r="C711" s="37"/>
      <c r="D711" s="37"/>
      <c r="E711" s="37"/>
      <c r="K711" s="48"/>
    </row>
    <row r="712">
      <c r="A712" s="37"/>
      <c r="B712" s="37"/>
      <c r="C712" s="37"/>
      <c r="D712" s="37"/>
      <c r="E712" s="37"/>
      <c r="K712" s="48"/>
    </row>
    <row r="713">
      <c r="A713" s="37"/>
      <c r="B713" s="37"/>
      <c r="C713" s="37"/>
      <c r="D713" s="37"/>
      <c r="E713" s="37"/>
      <c r="K713" s="48"/>
    </row>
    <row r="714">
      <c r="A714" s="37"/>
      <c r="B714" s="37"/>
      <c r="C714" s="37"/>
      <c r="D714" s="37"/>
      <c r="E714" s="37"/>
      <c r="K714" s="48"/>
    </row>
    <row r="715">
      <c r="A715" s="37"/>
      <c r="B715" s="37"/>
      <c r="C715" s="37"/>
      <c r="D715" s="37"/>
      <c r="E715" s="37"/>
      <c r="K715" s="48"/>
    </row>
    <row r="716">
      <c r="A716" s="37"/>
      <c r="B716" s="37"/>
      <c r="C716" s="37"/>
      <c r="D716" s="37"/>
      <c r="E716" s="37"/>
      <c r="K716" s="48"/>
    </row>
    <row r="717">
      <c r="A717" s="37"/>
      <c r="B717" s="37"/>
      <c r="C717" s="37"/>
      <c r="D717" s="37"/>
      <c r="E717" s="37"/>
      <c r="K717" s="48"/>
    </row>
    <row r="718">
      <c r="A718" s="37"/>
      <c r="B718" s="37"/>
      <c r="C718" s="37"/>
      <c r="D718" s="37"/>
      <c r="E718" s="37"/>
      <c r="K718" s="48"/>
    </row>
    <row r="719">
      <c r="A719" s="37"/>
      <c r="B719" s="37"/>
      <c r="C719" s="37"/>
      <c r="D719" s="37"/>
      <c r="E719" s="37"/>
      <c r="K719" s="48"/>
    </row>
    <row r="720">
      <c r="A720" s="37"/>
      <c r="B720" s="37"/>
      <c r="C720" s="37"/>
      <c r="D720" s="37"/>
      <c r="E720" s="37"/>
      <c r="K720" s="48"/>
    </row>
    <row r="721">
      <c r="A721" s="37"/>
      <c r="B721" s="37"/>
      <c r="C721" s="37"/>
      <c r="D721" s="37"/>
      <c r="E721" s="37"/>
      <c r="K721" s="48"/>
    </row>
    <row r="722">
      <c r="A722" s="37"/>
      <c r="B722" s="37"/>
      <c r="C722" s="37"/>
      <c r="D722" s="37"/>
      <c r="E722" s="37"/>
      <c r="K722" s="48"/>
    </row>
    <row r="723">
      <c r="A723" s="37"/>
      <c r="B723" s="37"/>
      <c r="C723" s="37"/>
      <c r="D723" s="37"/>
      <c r="E723" s="37"/>
      <c r="K723" s="48"/>
    </row>
    <row r="724">
      <c r="A724" s="37"/>
      <c r="B724" s="37"/>
      <c r="C724" s="37"/>
      <c r="D724" s="37"/>
      <c r="E724" s="37"/>
      <c r="K724" s="48"/>
    </row>
    <row r="725">
      <c r="A725" s="37"/>
      <c r="B725" s="37"/>
      <c r="C725" s="37"/>
      <c r="D725" s="37"/>
      <c r="E725" s="37"/>
      <c r="K725" s="48"/>
    </row>
    <row r="726">
      <c r="A726" s="37"/>
      <c r="B726" s="37"/>
      <c r="C726" s="37"/>
      <c r="D726" s="37"/>
      <c r="E726" s="37"/>
      <c r="K726" s="48"/>
    </row>
    <row r="727">
      <c r="A727" s="37"/>
      <c r="B727" s="37"/>
      <c r="C727" s="37"/>
      <c r="D727" s="37"/>
      <c r="E727" s="37"/>
      <c r="K727" s="48"/>
    </row>
    <row r="728">
      <c r="A728" s="37"/>
      <c r="B728" s="37"/>
      <c r="C728" s="37"/>
      <c r="D728" s="37"/>
      <c r="E728" s="37"/>
      <c r="K728" s="48"/>
    </row>
    <row r="729">
      <c r="A729" s="37"/>
      <c r="B729" s="37"/>
      <c r="C729" s="37"/>
      <c r="D729" s="37"/>
      <c r="E729" s="37"/>
      <c r="K729" s="48"/>
    </row>
    <row r="730">
      <c r="A730" s="37"/>
      <c r="B730" s="37"/>
      <c r="C730" s="37"/>
      <c r="D730" s="37"/>
      <c r="E730" s="37"/>
      <c r="K730" s="48"/>
    </row>
    <row r="731">
      <c r="A731" s="37"/>
      <c r="B731" s="37"/>
      <c r="C731" s="37"/>
      <c r="D731" s="37"/>
      <c r="E731" s="37"/>
      <c r="K731" s="48"/>
    </row>
    <row r="732">
      <c r="A732" s="37"/>
      <c r="B732" s="37"/>
      <c r="C732" s="37"/>
      <c r="D732" s="37"/>
      <c r="E732" s="37"/>
      <c r="K732" s="48"/>
    </row>
    <row r="733">
      <c r="A733" s="37"/>
      <c r="B733" s="37"/>
      <c r="C733" s="37"/>
      <c r="D733" s="37"/>
      <c r="E733" s="37"/>
      <c r="K733" s="48"/>
    </row>
    <row r="734">
      <c r="A734" s="37"/>
      <c r="B734" s="37"/>
      <c r="C734" s="37"/>
      <c r="D734" s="37"/>
      <c r="E734" s="37"/>
      <c r="K734" s="48"/>
    </row>
    <row r="735">
      <c r="A735" s="37"/>
      <c r="B735" s="37"/>
      <c r="C735" s="37"/>
      <c r="D735" s="37"/>
      <c r="E735" s="37"/>
      <c r="K735" s="48"/>
    </row>
    <row r="736">
      <c r="A736" s="37"/>
      <c r="B736" s="37"/>
      <c r="C736" s="37"/>
      <c r="D736" s="37"/>
      <c r="E736" s="37"/>
      <c r="K736" s="48"/>
    </row>
    <row r="737">
      <c r="A737" s="37"/>
      <c r="B737" s="37"/>
      <c r="C737" s="37"/>
      <c r="D737" s="37"/>
      <c r="E737" s="37"/>
      <c r="K737" s="48"/>
    </row>
    <row r="738">
      <c r="A738" s="37"/>
      <c r="B738" s="37"/>
      <c r="C738" s="37"/>
      <c r="D738" s="37"/>
      <c r="E738" s="37"/>
      <c r="K738" s="48"/>
    </row>
    <row r="739">
      <c r="A739" s="37"/>
      <c r="B739" s="37"/>
      <c r="C739" s="37"/>
      <c r="D739" s="37"/>
      <c r="E739" s="37"/>
      <c r="K739" s="48"/>
    </row>
    <row r="740">
      <c r="A740" s="37"/>
      <c r="B740" s="37"/>
      <c r="C740" s="37"/>
      <c r="D740" s="37"/>
      <c r="E740" s="37"/>
      <c r="K740" s="48"/>
    </row>
    <row r="741">
      <c r="A741" s="37"/>
      <c r="B741" s="37"/>
      <c r="C741" s="37"/>
      <c r="D741" s="37"/>
      <c r="E741" s="37"/>
      <c r="K741" s="48"/>
    </row>
    <row r="742">
      <c r="A742" s="37"/>
      <c r="B742" s="37"/>
      <c r="C742" s="37"/>
      <c r="D742" s="37"/>
      <c r="E742" s="37"/>
      <c r="K742" s="48"/>
    </row>
    <row r="743">
      <c r="A743" s="37"/>
      <c r="B743" s="37"/>
      <c r="C743" s="37"/>
      <c r="D743" s="37"/>
      <c r="E743" s="37"/>
      <c r="K743" s="48"/>
    </row>
    <row r="744">
      <c r="A744" s="37"/>
      <c r="B744" s="37"/>
      <c r="C744" s="37"/>
      <c r="D744" s="37"/>
      <c r="E744" s="37"/>
      <c r="K744" s="48"/>
    </row>
    <row r="745">
      <c r="A745" s="37"/>
      <c r="B745" s="37"/>
      <c r="C745" s="37"/>
      <c r="D745" s="37"/>
      <c r="E745" s="37"/>
      <c r="K745" s="48"/>
    </row>
    <row r="746">
      <c r="A746" s="37"/>
      <c r="B746" s="37"/>
      <c r="C746" s="37"/>
      <c r="D746" s="37"/>
      <c r="E746" s="37"/>
      <c r="K746" s="48"/>
    </row>
    <row r="747">
      <c r="A747" s="37"/>
      <c r="B747" s="37"/>
      <c r="C747" s="37"/>
      <c r="D747" s="37"/>
      <c r="E747" s="37"/>
      <c r="K747" s="48"/>
    </row>
    <row r="748">
      <c r="A748" s="37"/>
      <c r="B748" s="37"/>
      <c r="C748" s="37"/>
      <c r="D748" s="37"/>
      <c r="E748" s="37"/>
      <c r="K748" s="48"/>
    </row>
    <row r="749">
      <c r="A749" s="37"/>
      <c r="B749" s="37"/>
      <c r="C749" s="37"/>
      <c r="D749" s="37"/>
      <c r="E749" s="37"/>
      <c r="K749" s="48"/>
    </row>
    <row r="750">
      <c r="A750" s="37"/>
      <c r="B750" s="37"/>
      <c r="C750" s="37"/>
      <c r="D750" s="37"/>
      <c r="E750" s="37"/>
      <c r="K750" s="48"/>
    </row>
    <row r="751">
      <c r="A751" s="37"/>
      <c r="B751" s="37"/>
      <c r="C751" s="37"/>
      <c r="D751" s="37"/>
      <c r="E751" s="37"/>
      <c r="K751" s="48"/>
    </row>
    <row r="752">
      <c r="A752" s="37"/>
      <c r="B752" s="37"/>
      <c r="C752" s="37"/>
      <c r="D752" s="37"/>
      <c r="E752" s="37"/>
      <c r="K752" s="48"/>
    </row>
    <row r="753">
      <c r="A753" s="37"/>
      <c r="B753" s="37"/>
      <c r="C753" s="37"/>
      <c r="D753" s="37"/>
      <c r="E753" s="37"/>
      <c r="K753" s="48"/>
    </row>
    <row r="754">
      <c r="A754" s="37"/>
      <c r="B754" s="37"/>
      <c r="C754" s="37"/>
      <c r="D754" s="37"/>
      <c r="E754" s="37"/>
      <c r="K754" s="48"/>
    </row>
    <row r="755">
      <c r="A755" s="37"/>
      <c r="B755" s="37"/>
      <c r="C755" s="37"/>
      <c r="D755" s="37"/>
      <c r="E755" s="37"/>
      <c r="K755" s="48"/>
    </row>
    <row r="756">
      <c r="A756" s="37"/>
      <c r="B756" s="37"/>
      <c r="C756" s="37"/>
      <c r="D756" s="37"/>
      <c r="E756" s="37"/>
      <c r="K756" s="48"/>
    </row>
    <row r="757">
      <c r="A757" s="37"/>
      <c r="B757" s="37"/>
      <c r="C757" s="37"/>
      <c r="D757" s="37"/>
      <c r="E757" s="37"/>
      <c r="K757" s="48"/>
    </row>
    <row r="758">
      <c r="A758" s="37"/>
      <c r="B758" s="37"/>
      <c r="C758" s="37"/>
      <c r="D758" s="37"/>
      <c r="E758" s="37"/>
      <c r="K758" s="48"/>
    </row>
    <row r="759">
      <c r="A759" s="37"/>
      <c r="B759" s="37"/>
      <c r="C759" s="37"/>
      <c r="D759" s="37"/>
      <c r="E759" s="37"/>
      <c r="K759" s="48"/>
    </row>
    <row r="760">
      <c r="A760" s="37"/>
      <c r="B760" s="37"/>
      <c r="C760" s="37"/>
      <c r="D760" s="37"/>
      <c r="E760" s="37"/>
      <c r="K760" s="48"/>
    </row>
    <row r="761">
      <c r="A761" s="37"/>
      <c r="B761" s="37"/>
      <c r="C761" s="37"/>
      <c r="D761" s="37"/>
      <c r="E761" s="37"/>
      <c r="K761" s="48"/>
    </row>
    <row r="762">
      <c r="A762" s="37"/>
      <c r="B762" s="37"/>
      <c r="C762" s="37"/>
      <c r="D762" s="37"/>
      <c r="E762" s="37"/>
      <c r="K762" s="48"/>
    </row>
    <row r="763">
      <c r="A763" s="37"/>
      <c r="B763" s="37"/>
      <c r="C763" s="37"/>
      <c r="D763" s="37"/>
      <c r="E763" s="37"/>
      <c r="K763" s="48"/>
    </row>
    <row r="764">
      <c r="A764" s="37"/>
      <c r="B764" s="37"/>
      <c r="C764" s="37"/>
      <c r="D764" s="37"/>
      <c r="E764" s="37"/>
      <c r="K764" s="48"/>
    </row>
    <row r="765">
      <c r="A765" s="37"/>
      <c r="B765" s="37"/>
      <c r="C765" s="37"/>
      <c r="D765" s="37"/>
      <c r="E765" s="37"/>
      <c r="K765" s="48"/>
    </row>
    <row r="766">
      <c r="A766" s="37"/>
      <c r="B766" s="37"/>
      <c r="C766" s="37"/>
      <c r="D766" s="37"/>
      <c r="E766" s="37"/>
      <c r="K766" s="48"/>
    </row>
    <row r="767">
      <c r="A767" s="37"/>
      <c r="B767" s="37"/>
      <c r="C767" s="37"/>
      <c r="D767" s="37"/>
      <c r="E767" s="37"/>
      <c r="K767" s="48"/>
    </row>
    <row r="768">
      <c r="A768" s="37"/>
      <c r="B768" s="37"/>
      <c r="C768" s="37"/>
      <c r="D768" s="37"/>
      <c r="E768" s="37"/>
      <c r="K768" s="48"/>
    </row>
    <row r="769">
      <c r="A769" s="37"/>
      <c r="B769" s="37"/>
      <c r="C769" s="37"/>
      <c r="D769" s="37"/>
      <c r="E769" s="37"/>
      <c r="K769" s="48"/>
    </row>
    <row r="770">
      <c r="A770" s="37"/>
      <c r="B770" s="37"/>
      <c r="C770" s="37"/>
      <c r="D770" s="37"/>
      <c r="E770" s="37"/>
      <c r="K770" s="48"/>
    </row>
    <row r="771">
      <c r="A771" s="37"/>
      <c r="B771" s="37"/>
      <c r="C771" s="37"/>
      <c r="D771" s="37"/>
      <c r="E771" s="37"/>
      <c r="K771" s="48"/>
    </row>
    <row r="772">
      <c r="A772" s="37"/>
      <c r="B772" s="37"/>
      <c r="C772" s="37"/>
      <c r="D772" s="37"/>
      <c r="E772" s="37"/>
      <c r="K772" s="48"/>
    </row>
    <row r="773">
      <c r="A773" s="37"/>
      <c r="B773" s="37"/>
      <c r="C773" s="37"/>
      <c r="D773" s="37"/>
      <c r="E773" s="37"/>
      <c r="K773" s="48"/>
    </row>
    <row r="774">
      <c r="A774" s="37"/>
      <c r="B774" s="37"/>
      <c r="C774" s="37"/>
      <c r="D774" s="37"/>
      <c r="E774" s="37"/>
      <c r="K774" s="48"/>
    </row>
    <row r="775">
      <c r="A775" s="37"/>
      <c r="B775" s="37"/>
      <c r="C775" s="37"/>
      <c r="D775" s="37"/>
      <c r="E775" s="37"/>
      <c r="K775" s="48"/>
    </row>
    <row r="776">
      <c r="A776" s="37"/>
      <c r="B776" s="37"/>
      <c r="C776" s="37"/>
      <c r="D776" s="37"/>
      <c r="E776" s="37"/>
      <c r="K776" s="48"/>
    </row>
    <row r="777">
      <c r="A777" s="37"/>
      <c r="B777" s="37"/>
      <c r="C777" s="37"/>
      <c r="D777" s="37"/>
      <c r="E777" s="37"/>
      <c r="K777" s="48"/>
    </row>
    <row r="778">
      <c r="A778" s="37"/>
      <c r="B778" s="37"/>
      <c r="C778" s="37"/>
      <c r="D778" s="37"/>
      <c r="E778" s="37"/>
      <c r="K778" s="48"/>
    </row>
    <row r="779">
      <c r="A779" s="37"/>
      <c r="B779" s="37"/>
      <c r="C779" s="37"/>
      <c r="D779" s="37"/>
      <c r="E779" s="37"/>
      <c r="K779" s="48"/>
    </row>
    <row r="780">
      <c r="A780" s="37"/>
      <c r="B780" s="37"/>
      <c r="C780" s="37"/>
      <c r="D780" s="37"/>
      <c r="E780" s="37"/>
      <c r="K780" s="48"/>
    </row>
    <row r="781">
      <c r="A781" s="37"/>
      <c r="B781" s="37"/>
      <c r="C781" s="37"/>
      <c r="D781" s="37"/>
      <c r="E781" s="37"/>
      <c r="K781" s="48"/>
    </row>
    <row r="782">
      <c r="A782" s="37"/>
      <c r="B782" s="37"/>
      <c r="C782" s="37"/>
      <c r="D782" s="37"/>
      <c r="E782" s="37"/>
      <c r="K782" s="48"/>
    </row>
    <row r="783">
      <c r="A783" s="37"/>
      <c r="B783" s="37"/>
      <c r="C783" s="37"/>
      <c r="D783" s="37"/>
      <c r="E783" s="37"/>
      <c r="K783" s="48"/>
    </row>
    <row r="784">
      <c r="A784" s="37"/>
      <c r="B784" s="37"/>
      <c r="C784" s="37"/>
      <c r="D784" s="37"/>
      <c r="E784" s="37"/>
      <c r="K784" s="48"/>
    </row>
    <row r="785">
      <c r="A785" s="37"/>
      <c r="B785" s="37"/>
      <c r="C785" s="37"/>
      <c r="D785" s="37"/>
      <c r="E785" s="37"/>
      <c r="K785" s="48"/>
    </row>
    <row r="786">
      <c r="A786" s="37"/>
      <c r="B786" s="37"/>
      <c r="C786" s="37"/>
      <c r="D786" s="37"/>
      <c r="E786" s="37"/>
      <c r="K786" s="48"/>
    </row>
    <row r="787">
      <c r="A787" s="37"/>
      <c r="B787" s="37"/>
      <c r="C787" s="37"/>
      <c r="D787" s="37"/>
      <c r="E787" s="37"/>
      <c r="K787" s="48"/>
    </row>
    <row r="788">
      <c r="A788" s="37"/>
      <c r="B788" s="37"/>
      <c r="C788" s="37"/>
      <c r="D788" s="37"/>
      <c r="E788" s="37"/>
      <c r="K788" s="48"/>
    </row>
    <row r="789">
      <c r="A789" s="37"/>
      <c r="B789" s="37"/>
      <c r="C789" s="37"/>
      <c r="D789" s="37"/>
      <c r="E789" s="37"/>
      <c r="K789" s="48"/>
    </row>
    <row r="790">
      <c r="A790" s="37"/>
      <c r="B790" s="37"/>
      <c r="C790" s="37"/>
      <c r="D790" s="37"/>
      <c r="E790" s="37"/>
      <c r="K790" s="48"/>
    </row>
    <row r="791">
      <c r="A791" s="37"/>
      <c r="B791" s="37"/>
      <c r="C791" s="37"/>
      <c r="D791" s="37"/>
      <c r="E791" s="37"/>
      <c r="K791" s="48"/>
    </row>
    <row r="792">
      <c r="A792" s="37"/>
      <c r="B792" s="37"/>
      <c r="C792" s="37"/>
      <c r="D792" s="37"/>
      <c r="E792" s="37"/>
      <c r="K792" s="48"/>
    </row>
    <row r="793">
      <c r="A793" s="37"/>
      <c r="B793" s="37"/>
      <c r="C793" s="37"/>
      <c r="D793" s="37"/>
      <c r="E793" s="37"/>
      <c r="K793" s="48"/>
    </row>
    <row r="794">
      <c r="A794" s="37"/>
      <c r="B794" s="37"/>
      <c r="C794" s="37"/>
      <c r="D794" s="37"/>
      <c r="E794" s="37"/>
      <c r="K794" s="48"/>
    </row>
    <row r="795">
      <c r="A795" s="37"/>
      <c r="B795" s="37"/>
      <c r="C795" s="37"/>
      <c r="D795" s="37"/>
      <c r="E795" s="37"/>
      <c r="K795" s="48"/>
    </row>
    <row r="796">
      <c r="A796" s="37"/>
      <c r="B796" s="37"/>
      <c r="C796" s="37"/>
      <c r="D796" s="37"/>
      <c r="E796" s="37"/>
      <c r="K796" s="48"/>
    </row>
    <row r="797">
      <c r="A797" s="37"/>
      <c r="B797" s="37"/>
      <c r="C797" s="37"/>
      <c r="D797" s="37"/>
      <c r="E797" s="37"/>
      <c r="K797" s="48"/>
    </row>
    <row r="798">
      <c r="A798" s="37"/>
      <c r="B798" s="37"/>
      <c r="C798" s="37"/>
      <c r="D798" s="37"/>
      <c r="E798" s="37"/>
      <c r="K798" s="48"/>
    </row>
    <row r="799">
      <c r="A799" s="37"/>
      <c r="B799" s="37"/>
      <c r="C799" s="37"/>
      <c r="D799" s="37"/>
      <c r="E799" s="37"/>
      <c r="K799" s="48"/>
    </row>
    <row r="800">
      <c r="A800" s="37"/>
      <c r="B800" s="37"/>
      <c r="C800" s="37"/>
      <c r="D800" s="37"/>
      <c r="E800" s="37"/>
      <c r="K800" s="48"/>
    </row>
    <row r="801">
      <c r="A801" s="37"/>
      <c r="B801" s="37"/>
      <c r="C801" s="37"/>
      <c r="D801" s="37"/>
      <c r="E801" s="37"/>
      <c r="K801" s="48"/>
    </row>
    <row r="802">
      <c r="A802" s="37"/>
      <c r="B802" s="37"/>
      <c r="C802" s="37"/>
      <c r="D802" s="37"/>
      <c r="E802" s="37"/>
      <c r="K802" s="48"/>
    </row>
    <row r="803">
      <c r="A803" s="37"/>
      <c r="B803" s="37"/>
      <c r="C803" s="37"/>
      <c r="D803" s="37"/>
      <c r="E803" s="37"/>
      <c r="K803" s="48"/>
    </row>
    <row r="804">
      <c r="A804" s="37"/>
      <c r="B804" s="37"/>
      <c r="C804" s="37"/>
      <c r="D804" s="37"/>
      <c r="E804" s="37"/>
      <c r="K804" s="48"/>
    </row>
    <row r="805">
      <c r="A805" s="37"/>
      <c r="B805" s="37"/>
      <c r="C805" s="37"/>
      <c r="D805" s="37"/>
      <c r="E805" s="37"/>
      <c r="K805" s="48"/>
    </row>
    <row r="806">
      <c r="A806" s="37"/>
      <c r="B806" s="37"/>
      <c r="C806" s="37"/>
      <c r="D806" s="37"/>
      <c r="E806" s="37"/>
      <c r="K806" s="48"/>
    </row>
    <row r="807">
      <c r="A807" s="37"/>
      <c r="B807" s="37"/>
      <c r="C807" s="37"/>
      <c r="D807" s="37"/>
      <c r="E807" s="37"/>
      <c r="K807" s="48"/>
    </row>
    <row r="808">
      <c r="A808" s="37"/>
      <c r="B808" s="37"/>
      <c r="C808" s="37"/>
      <c r="D808" s="37"/>
      <c r="E808" s="37"/>
      <c r="K808" s="48"/>
    </row>
    <row r="809">
      <c r="A809" s="37"/>
      <c r="B809" s="37"/>
      <c r="C809" s="37"/>
      <c r="D809" s="37"/>
      <c r="E809" s="37"/>
      <c r="K809" s="48"/>
    </row>
    <row r="810">
      <c r="A810" s="37"/>
      <c r="B810" s="37"/>
      <c r="C810" s="37"/>
      <c r="D810" s="37"/>
      <c r="E810" s="37"/>
      <c r="K810" s="48"/>
    </row>
    <row r="811">
      <c r="A811" s="37"/>
      <c r="B811" s="37"/>
      <c r="C811" s="37"/>
      <c r="D811" s="37"/>
      <c r="E811" s="37"/>
      <c r="K811" s="48"/>
    </row>
    <row r="812">
      <c r="A812" s="37"/>
      <c r="B812" s="37"/>
      <c r="C812" s="37"/>
      <c r="D812" s="37"/>
      <c r="E812" s="37"/>
      <c r="K812" s="48"/>
    </row>
    <row r="813">
      <c r="A813" s="37"/>
      <c r="B813" s="37"/>
      <c r="C813" s="37"/>
      <c r="D813" s="37"/>
      <c r="E813" s="37"/>
      <c r="K813" s="48"/>
    </row>
    <row r="814">
      <c r="A814" s="37"/>
      <c r="B814" s="37"/>
      <c r="C814" s="37"/>
      <c r="D814" s="37"/>
      <c r="E814" s="37"/>
      <c r="K814" s="48"/>
    </row>
    <row r="815">
      <c r="A815" s="37"/>
      <c r="B815" s="37"/>
      <c r="C815" s="37"/>
      <c r="D815" s="37"/>
      <c r="E815" s="37"/>
      <c r="K815" s="48"/>
    </row>
    <row r="816">
      <c r="A816" s="37"/>
      <c r="B816" s="37"/>
      <c r="C816" s="37"/>
      <c r="D816" s="37"/>
      <c r="E816" s="37"/>
      <c r="K816" s="48"/>
    </row>
    <row r="817">
      <c r="A817" s="37"/>
      <c r="B817" s="37"/>
      <c r="C817" s="37"/>
      <c r="D817" s="37"/>
      <c r="E817" s="37"/>
      <c r="K817" s="48"/>
    </row>
    <row r="818">
      <c r="A818" s="37"/>
      <c r="B818" s="37"/>
      <c r="C818" s="37"/>
      <c r="D818" s="37"/>
      <c r="E818" s="37"/>
      <c r="K818" s="48"/>
    </row>
    <row r="819">
      <c r="A819" s="37"/>
      <c r="B819" s="37"/>
      <c r="C819" s="37"/>
      <c r="D819" s="37"/>
      <c r="E819" s="37"/>
      <c r="K819" s="48"/>
    </row>
    <row r="820">
      <c r="A820" s="37"/>
      <c r="B820" s="37"/>
      <c r="C820" s="37"/>
      <c r="D820" s="37"/>
      <c r="E820" s="37"/>
      <c r="K820" s="48"/>
    </row>
    <row r="821">
      <c r="A821" s="37"/>
      <c r="B821" s="37"/>
      <c r="C821" s="37"/>
      <c r="D821" s="37"/>
      <c r="E821" s="37"/>
      <c r="K821" s="48"/>
    </row>
    <row r="822">
      <c r="A822" s="37"/>
      <c r="B822" s="37"/>
      <c r="C822" s="37"/>
      <c r="D822" s="37"/>
      <c r="E822" s="37"/>
      <c r="K822" s="48"/>
    </row>
    <row r="823">
      <c r="A823" s="37"/>
      <c r="B823" s="37"/>
      <c r="C823" s="37"/>
      <c r="D823" s="37"/>
      <c r="E823" s="37"/>
      <c r="K823" s="48"/>
    </row>
    <row r="824">
      <c r="A824" s="37"/>
      <c r="B824" s="37"/>
      <c r="C824" s="37"/>
      <c r="D824" s="37"/>
      <c r="E824" s="37"/>
      <c r="K824" s="48"/>
    </row>
    <row r="825">
      <c r="A825" s="37"/>
      <c r="B825" s="37"/>
      <c r="C825" s="37"/>
      <c r="D825" s="37"/>
      <c r="E825" s="37"/>
      <c r="K825" s="48"/>
    </row>
    <row r="826">
      <c r="A826" s="37"/>
      <c r="B826" s="37"/>
      <c r="C826" s="37"/>
      <c r="D826" s="37"/>
      <c r="E826" s="37"/>
      <c r="K826" s="48"/>
    </row>
    <row r="827">
      <c r="A827" s="37"/>
      <c r="B827" s="37"/>
      <c r="C827" s="37"/>
      <c r="D827" s="37"/>
      <c r="E827" s="37"/>
      <c r="K827" s="48"/>
    </row>
    <row r="828">
      <c r="A828" s="37"/>
      <c r="B828" s="37"/>
      <c r="C828" s="37"/>
      <c r="D828" s="37"/>
      <c r="E828" s="37"/>
      <c r="K828" s="48"/>
    </row>
    <row r="829">
      <c r="A829" s="37"/>
      <c r="B829" s="37"/>
      <c r="C829" s="37"/>
      <c r="D829" s="37"/>
      <c r="E829" s="37"/>
      <c r="K829" s="48"/>
    </row>
    <row r="830">
      <c r="A830" s="37"/>
      <c r="B830" s="37"/>
      <c r="C830" s="37"/>
      <c r="D830" s="37"/>
      <c r="E830" s="37"/>
      <c r="K830" s="48"/>
    </row>
    <row r="831">
      <c r="A831" s="37"/>
      <c r="B831" s="37"/>
      <c r="C831" s="37"/>
      <c r="D831" s="37"/>
      <c r="E831" s="37"/>
      <c r="K831" s="48"/>
    </row>
    <row r="832">
      <c r="A832" s="37"/>
      <c r="B832" s="37"/>
      <c r="C832" s="37"/>
      <c r="D832" s="37"/>
      <c r="E832" s="37"/>
      <c r="K832" s="48"/>
    </row>
    <row r="833">
      <c r="A833" s="37"/>
      <c r="B833" s="37"/>
      <c r="C833" s="37"/>
      <c r="D833" s="37"/>
      <c r="E833" s="37"/>
      <c r="K833" s="48"/>
    </row>
    <row r="834">
      <c r="A834" s="37"/>
      <c r="B834" s="37"/>
      <c r="C834" s="37"/>
      <c r="D834" s="37"/>
      <c r="E834" s="37"/>
      <c r="K834" s="48"/>
    </row>
    <row r="835">
      <c r="A835" s="37"/>
      <c r="B835" s="37"/>
      <c r="C835" s="37"/>
      <c r="D835" s="37"/>
      <c r="E835" s="37"/>
      <c r="K835" s="48"/>
    </row>
    <row r="836">
      <c r="A836" s="37"/>
      <c r="B836" s="37"/>
      <c r="C836" s="37"/>
      <c r="D836" s="37"/>
      <c r="E836" s="37"/>
      <c r="K836" s="48"/>
    </row>
    <row r="837">
      <c r="A837" s="37"/>
      <c r="B837" s="37"/>
      <c r="C837" s="37"/>
      <c r="D837" s="37"/>
      <c r="E837" s="37"/>
      <c r="K837" s="48"/>
    </row>
    <row r="838">
      <c r="A838" s="37"/>
      <c r="B838" s="37"/>
      <c r="C838" s="37"/>
      <c r="D838" s="37"/>
      <c r="E838" s="37"/>
      <c r="K838" s="48"/>
    </row>
    <row r="839">
      <c r="A839" s="37"/>
      <c r="B839" s="37"/>
      <c r="C839" s="37"/>
      <c r="D839" s="37"/>
      <c r="E839" s="37"/>
      <c r="K839" s="48"/>
    </row>
    <row r="840">
      <c r="A840" s="37"/>
      <c r="B840" s="37"/>
      <c r="C840" s="37"/>
      <c r="D840" s="37"/>
      <c r="E840" s="37"/>
      <c r="K840" s="48"/>
    </row>
    <row r="841">
      <c r="A841" s="37"/>
      <c r="B841" s="37"/>
      <c r="C841" s="37"/>
      <c r="D841" s="37"/>
      <c r="E841" s="37"/>
      <c r="K841" s="48"/>
    </row>
    <row r="842">
      <c r="A842" s="37"/>
      <c r="B842" s="37"/>
      <c r="C842" s="37"/>
      <c r="D842" s="37"/>
      <c r="E842" s="37"/>
      <c r="K842" s="48"/>
    </row>
    <row r="843">
      <c r="A843" s="37"/>
      <c r="B843" s="37"/>
      <c r="C843" s="37"/>
      <c r="D843" s="37"/>
      <c r="E843" s="37"/>
      <c r="K843" s="48"/>
    </row>
    <row r="844">
      <c r="A844" s="37"/>
      <c r="B844" s="37"/>
      <c r="C844" s="37"/>
      <c r="D844" s="37"/>
      <c r="E844" s="37"/>
      <c r="K844" s="48"/>
    </row>
    <row r="845">
      <c r="A845" s="37"/>
      <c r="B845" s="37"/>
      <c r="C845" s="37"/>
      <c r="D845" s="37"/>
      <c r="E845" s="37"/>
      <c r="K845" s="48"/>
    </row>
    <row r="846">
      <c r="A846" s="37"/>
      <c r="B846" s="37"/>
      <c r="C846" s="37"/>
      <c r="D846" s="37"/>
      <c r="E846" s="37"/>
      <c r="K846" s="48"/>
    </row>
    <row r="847">
      <c r="A847" s="37"/>
      <c r="B847" s="37"/>
      <c r="C847" s="37"/>
      <c r="D847" s="37"/>
      <c r="E847" s="37"/>
      <c r="K847" s="48"/>
    </row>
    <row r="848">
      <c r="A848" s="37"/>
      <c r="B848" s="37"/>
      <c r="C848" s="37"/>
      <c r="D848" s="37"/>
      <c r="E848" s="37"/>
      <c r="K848" s="48"/>
    </row>
    <row r="849">
      <c r="A849" s="37"/>
      <c r="B849" s="37"/>
      <c r="C849" s="37"/>
      <c r="D849" s="37"/>
      <c r="E849" s="37"/>
      <c r="K849" s="48"/>
    </row>
    <row r="850">
      <c r="A850" s="37"/>
      <c r="B850" s="37"/>
      <c r="C850" s="37"/>
      <c r="D850" s="37"/>
      <c r="E850" s="37"/>
      <c r="K850" s="48"/>
    </row>
    <row r="851">
      <c r="A851" s="37"/>
      <c r="B851" s="37"/>
      <c r="C851" s="37"/>
      <c r="D851" s="37"/>
      <c r="E851" s="37"/>
      <c r="K851" s="48"/>
    </row>
    <row r="852">
      <c r="A852" s="37"/>
      <c r="B852" s="37"/>
      <c r="C852" s="37"/>
      <c r="D852" s="37"/>
      <c r="E852" s="37"/>
      <c r="K852" s="48"/>
    </row>
    <row r="853">
      <c r="A853" s="37"/>
      <c r="B853" s="37"/>
      <c r="C853" s="37"/>
      <c r="D853" s="37"/>
      <c r="E853" s="37"/>
      <c r="K853" s="48"/>
    </row>
    <row r="854">
      <c r="A854" s="37"/>
      <c r="B854" s="37"/>
      <c r="C854" s="37"/>
      <c r="D854" s="37"/>
      <c r="E854" s="37"/>
      <c r="K854" s="48"/>
    </row>
    <row r="855">
      <c r="A855" s="37"/>
      <c r="B855" s="37"/>
      <c r="C855" s="37"/>
      <c r="D855" s="37"/>
      <c r="E855" s="37"/>
      <c r="K855" s="48"/>
    </row>
    <row r="856">
      <c r="A856" s="37"/>
      <c r="B856" s="37"/>
      <c r="C856" s="37"/>
      <c r="D856" s="37"/>
      <c r="E856" s="37"/>
      <c r="K856" s="48"/>
    </row>
    <row r="857">
      <c r="A857" s="37"/>
      <c r="B857" s="37"/>
      <c r="C857" s="37"/>
      <c r="D857" s="37"/>
      <c r="E857" s="37"/>
      <c r="K857" s="48"/>
    </row>
    <row r="858">
      <c r="A858" s="37"/>
      <c r="B858" s="37"/>
      <c r="C858" s="37"/>
      <c r="D858" s="37"/>
      <c r="E858" s="37"/>
      <c r="K858" s="48"/>
    </row>
    <row r="859">
      <c r="A859" s="37"/>
      <c r="B859" s="37"/>
      <c r="C859" s="37"/>
      <c r="D859" s="37"/>
      <c r="E859" s="37"/>
      <c r="K859" s="48"/>
    </row>
    <row r="860">
      <c r="A860" s="37"/>
      <c r="B860" s="37"/>
      <c r="C860" s="37"/>
      <c r="D860" s="37"/>
      <c r="E860" s="37"/>
      <c r="K860" s="48"/>
    </row>
    <row r="861">
      <c r="A861" s="37"/>
      <c r="B861" s="37"/>
      <c r="C861" s="37"/>
      <c r="D861" s="37"/>
      <c r="E861" s="37"/>
      <c r="K861" s="48"/>
    </row>
    <row r="862">
      <c r="A862" s="37"/>
      <c r="B862" s="37"/>
      <c r="C862" s="37"/>
      <c r="D862" s="37"/>
      <c r="E862" s="37"/>
      <c r="K862" s="48"/>
    </row>
    <row r="863">
      <c r="A863" s="37"/>
      <c r="B863" s="37"/>
      <c r="C863" s="37"/>
      <c r="D863" s="37"/>
      <c r="E863" s="37"/>
      <c r="K863" s="48"/>
    </row>
    <row r="864">
      <c r="A864" s="37"/>
      <c r="B864" s="37"/>
      <c r="C864" s="37"/>
      <c r="D864" s="37"/>
      <c r="E864" s="37"/>
      <c r="K864" s="48"/>
    </row>
    <row r="865">
      <c r="A865" s="37"/>
      <c r="B865" s="37"/>
      <c r="C865" s="37"/>
      <c r="D865" s="37"/>
      <c r="E865" s="37"/>
      <c r="K865" s="48"/>
    </row>
    <row r="866">
      <c r="A866" s="37"/>
      <c r="B866" s="37"/>
      <c r="C866" s="37"/>
      <c r="D866" s="37"/>
      <c r="E866" s="37"/>
      <c r="K866" s="48"/>
    </row>
    <row r="867">
      <c r="A867" s="37"/>
      <c r="B867" s="37"/>
      <c r="C867" s="37"/>
      <c r="D867" s="37"/>
      <c r="E867" s="37"/>
      <c r="K867" s="48"/>
    </row>
    <row r="868">
      <c r="A868" s="37"/>
      <c r="B868" s="37"/>
      <c r="C868" s="37"/>
      <c r="D868" s="37"/>
      <c r="E868" s="37"/>
      <c r="K868" s="48"/>
    </row>
    <row r="869">
      <c r="A869" s="37"/>
      <c r="B869" s="37"/>
      <c r="C869" s="37"/>
      <c r="D869" s="37"/>
      <c r="E869" s="37"/>
      <c r="K869" s="48"/>
    </row>
    <row r="870">
      <c r="A870" s="37"/>
      <c r="B870" s="37"/>
      <c r="C870" s="37"/>
      <c r="D870" s="37"/>
      <c r="E870" s="37"/>
      <c r="K870" s="48"/>
    </row>
    <row r="871">
      <c r="A871" s="37"/>
      <c r="B871" s="37"/>
      <c r="C871" s="37"/>
      <c r="D871" s="37"/>
      <c r="E871" s="37"/>
      <c r="K871" s="48"/>
    </row>
    <row r="872">
      <c r="A872" s="37"/>
      <c r="B872" s="37"/>
      <c r="C872" s="37"/>
      <c r="D872" s="37"/>
      <c r="E872" s="37"/>
      <c r="K872" s="48"/>
    </row>
    <row r="873">
      <c r="A873" s="37"/>
      <c r="B873" s="37"/>
      <c r="C873" s="37"/>
      <c r="D873" s="37"/>
      <c r="E873" s="37"/>
      <c r="K873" s="48"/>
    </row>
    <row r="874">
      <c r="A874" s="37"/>
      <c r="B874" s="37"/>
      <c r="C874" s="37"/>
      <c r="D874" s="37"/>
      <c r="E874" s="37"/>
      <c r="K874" s="48"/>
    </row>
    <row r="875">
      <c r="A875" s="37"/>
      <c r="B875" s="37"/>
      <c r="C875" s="37"/>
      <c r="D875" s="37"/>
      <c r="E875" s="37"/>
      <c r="K875" s="48"/>
    </row>
    <row r="876">
      <c r="A876" s="37"/>
      <c r="B876" s="37"/>
      <c r="C876" s="37"/>
      <c r="D876" s="37"/>
      <c r="E876" s="37"/>
      <c r="K876" s="48"/>
    </row>
    <row r="877">
      <c r="A877" s="37"/>
      <c r="B877" s="37"/>
      <c r="C877" s="37"/>
      <c r="D877" s="37"/>
      <c r="E877" s="37"/>
      <c r="K877" s="48"/>
    </row>
    <row r="878">
      <c r="A878" s="37"/>
      <c r="B878" s="37"/>
      <c r="C878" s="37"/>
      <c r="D878" s="37"/>
      <c r="E878" s="37"/>
      <c r="K878" s="48"/>
    </row>
    <row r="879">
      <c r="A879" s="37"/>
      <c r="B879" s="37"/>
      <c r="C879" s="37"/>
      <c r="D879" s="37"/>
      <c r="E879" s="37"/>
      <c r="K879" s="48"/>
    </row>
    <row r="880">
      <c r="A880" s="37"/>
      <c r="B880" s="37"/>
      <c r="C880" s="37"/>
      <c r="D880" s="37"/>
      <c r="E880" s="37"/>
      <c r="K880" s="48"/>
    </row>
    <row r="881">
      <c r="A881" s="37"/>
      <c r="B881" s="37"/>
      <c r="C881" s="37"/>
      <c r="D881" s="37"/>
      <c r="E881" s="37"/>
      <c r="K881" s="48"/>
    </row>
    <row r="882">
      <c r="A882" s="37"/>
      <c r="B882" s="37"/>
      <c r="C882" s="37"/>
      <c r="D882" s="37"/>
      <c r="E882" s="37"/>
      <c r="K882" s="48"/>
    </row>
    <row r="883">
      <c r="A883" s="37"/>
      <c r="B883" s="37"/>
      <c r="C883" s="37"/>
      <c r="D883" s="37"/>
      <c r="E883" s="37"/>
      <c r="K883" s="48"/>
    </row>
    <row r="884">
      <c r="A884" s="37"/>
      <c r="B884" s="37"/>
      <c r="C884" s="37"/>
      <c r="D884" s="37"/>
      <c r="E884" s="37"/>
      <c r="K884" s="48"/>
    </row>
    <row r="885">
      <c r="A885" s="37"/>
      <c r="B885" s="37"/>
      <c r="C885" s="37"/>
      <c r="D885" s="37"/>
      <c r="E885" s="37"/>
      <c r="K885" s="48"/>
    </row>
    <row r="886">
      <c r="A886" s="37"/>
      <c r="B886" s="37"/>
      <c r="C886" s="37"/>
      <c r="D886" s="37"/>
      <c r="E886" s="37"/>
      <c r="K886" s="48"/>
    </row>
    <row r="887">
      <c r="A887" s="37"/>
      <c r="B887" s="37"/>
      <c r="C887" s="37"/>
      <c r="D887" s="37"/>
      <c r="E887" s="37"/>
      <c r="K887" s="48"/>
    </row>
    <row r="888">
      <c r="A888" s="37"/>
      <c r="B888" s="37"/>
      <c r="C888" s="37"/>
      <c r="D888" s="37"/>
      <c r="E888" s="37"/>
      <c r="K888" s="48"/>
    </row>
    <row r="889">
      <c r="A889" s="37"/>
      <c r="B889" s="37"/>
      <c r="C889" s="37"/>
      <c r="D889" s="37"/>
      <c r="E889" s="37"/>
      <c r="K889" s="48"/>
    </row>
    <row r="890">
      <c r="A890" s="37"/>
      <c r="B890" s="37"/>
      <c r="C890" s="37"/>
      <c r="D890" s="37"/>
      <c r="E890" s="37"/>
      <c r="K890" s="48"/>
    </row>
    <row r="891">
      <c r="A891" s="37"/>
      <c r="B891" s="37"/>
      <c r="C891" s="37"/>
      <c r="D891" s="37"/>
      <c r="E891" s="37"/>
      <c r="K891" s="48"/>
    </row>
    <row r="892">
      <c r="A892" s="37"/>
      <c r="B892" s="37"/>
      <c r="C892" s="37"/>
      <c r="D892" s="37"/>
      <c r="E892" s="37"/>
      <c r="K892" s="48"/>
    </row>
    <row r="893">
      <c r="A893" s="37"/>
      <c r="B893" s="37"/>
      <c r="C893" s="37"/>
      <c r="D893" s="37"/>
      <c r="E893" s="37"/>
      <c r="K893" s="48"/>
    </row>
    <row r="894">
      <c r="A894" s="37"/>
      <c r="B894" s="37"/>
      <c r="C894" s="37"/>
      <c r="D894" s="37"/>
      <c r="E894" s="37"/>
      <c r="K894" s="48"/>
    </row>
    <row r="895">
      <c r="A895" s="37"/>
      <c r="B895" s="37"/>
      <c r="C895" s="37"/>
      <c r="D895" s="37"/>
      <c r="E895" s="37"/>
      <c r="K895" s="48"/>
    </row>
    <row r="896">
      <c r="A896" s="37"/>
      <c r="B896" s="37"/>
      <c r="C896" s="37"/>
      <c r="D896" s="37"/>
      <c r="E896" s="37"/>
      <c r="K896" s="48"/>
    </row>
    <row r="897">
      <c r="A897" s="37"/>
      <c r="B897" s="37"/>
      <c r="C897" s="37"/>
      <c r="D897" s="37"/>
      <c r="E897" s="37"/>
      <c r="K897" s="48"/>
    </row>
    <row r="898">
      <c r="A898" s="37"/>
      <c r="B898" s="37"/>
      <c r="C898" s="37"/>
      <c r="D898" s="37"/>
      <c r="E898" s="37"/>
      <c r="K898" s="48"/>
    </row>
    <row r="899">
      <c r="A899" s="37"/>
      <c r="B899" s="37"/>
      <c r="C899" s="37"/>
      <c r="D899" s="37"/>
      <c r="E899" s="37"/>
      <c r="K899" s="48"/>
    </row>
    <row r="900">
      <c r="A900" s="37"/>
      <c r="B900" s="37"/>
      <c r="C900" s="37"/>
      <c r="D900" s="37"/>
      <c r="E900" s="37"/>
      <c r="K900" s="48"/>
    </row>
    <row r="901">
      <c r="A901" s="37"/>
      <c r="B901" s="37"/>
      <c r="C901" s="37"/>
      <c r="D901" s="37"/>
      <c r="E901" s="37"/>
      <c r="K901" s="48"/>
    </row>
    <row r="902">
      <c r="A902" s="37"/>
      <c r="B902" s="37"/>
      <c r="C902" s="37"/>
      <c r="D902" s="37"/>
      <c r="E902" s="37"/>
      <c r="K902" s="48"/>
    </row>
    <row r="903">
      <c r="A903" s="37"/>
      <c r="B903" s="37"/>
      <c r="C903" s="37"/>
      <c r="D903" s="37"/>
      <c r="E903" s="37"/>
      <c r="K903" s="48"/>
    </row>
    <row r="904">
      <c r="A904" s="37"/>
      <c r="B904" s="37"/>
      <c r="C904" s="37"/>
      <c r="D904" s="37"/>
      <c r="E904" s="37"/>
      <c r="K904" s="48"/>
    </row>
    <row r="905">
      <c r="A905" s="37"/>
      <c r="B905" s="37"/>
      <c r="C905" s="37"/>
      <c r="D905" s="37"/>
      <c r="E905" s="37"/>
      <c r="K905" s="48"/>
    </row>
    <row r="906">
      <c r="A906" s="37"/>
      <c r="B906" s="37"/>
      <c r="C906" s="37"/>
      <c r="D906" s="37"/>
      <c r="E906" s="37"/>
      <c r="K906" s="48"/>
    </row>
    <row r="907">
      <c r="A907" s="37"/>
      <c r="B907" s="37"/>
      <c r="C907" s="37"/>
      <c r="D907" s="37"/>
      <c r="E907" s="37"/>
      <c r="K907" s="48"/>
    </row>
    <row r="908">
      <c r="A908" s="37"/>
      <c r="B908" s="37"/>
      <c r="C908" s="37"/>
      <c r="D908" s="37"/>
      <c r="E908" s="37"/>
      <c r="K908" s="48"/>
    </row>
    <row r="909">
      <c r="A909" s="37"/>
      <c r="B909" s="37"/>
      <c r="C909" s="37"/>
      <c r="D909" s="37"/>
      <c r="E909" s="37"/>
      <c r="K909" s="48"/>
    </row>
    <row r="910">
      <c r="A910" s="37"/>
      <c r="B910" s="37"/>
      <c r="C910" s="37"/>
      <c r="D910" s="37"/>
      <c r="E910" s="37"/>
      <c r="K910" s="48"/>
    </row>
    <row r="911">
      <c r="A911" s="37"/>
      <c r="B911" s="37"/>
      <c r="C911" s="37"/>
      <c r="D911" s="37"/>
      <c r="E911" s="37"/>
      <c r="K911" s="48"/>
    </row>
    <row r="912">
      <c r="A912" s="37"/>
      <c r="B912" s="37"/>
      <c r="C912" s="37"/>
      <c r="D912" s="37"/>
      <c r="E912" s="37"/>
      <c r="K912" s="48"/>
    </row>
    <row r="913">
      <c r="A913" s="37"/>
      <c r="B913" s="37"/>
      <c r="C913" s="37"/>
      <c r="D913" s="37"/>
      <c r="E913" s="37"/>
      <c r="K913" s="48"/>
    </row>
    <row r="914">
      <c r="A914" s="37"/>
      <c r="B914" s="37"/>
      <c r="C914" s="37"/>
      <c r="D914" s="37"/>
      <c r="E914" s="37"/>
      <c r="K914" s="48"/>
    </row>
    <row r="915">
      <c r="A915" s="37"/>
      <c r="B915" s="37"/>
      <c r="C915" s="37"/>
      <c r="D915" s="37"/>
      <c r="E915" s="37"/>
      <c r="K915" s="48"/>
    </row>
    <row r="916">
      <c r="A916" s="37"/>
      <c r="B916" s="37"/>
      <c r="C916" s="37"/>
      <c r="D916" s="37"/>
      <c r="E916" s="37"/>
      <c r="K916" s="48"/>
    </row>
    <row r="917">
      <c r="A917" s="37"/>
      <c r="B917" s="37"/>
      <c r="C917" s="37"/>
      <c r="D917" s="37"/>
      <c r="E917" s="37"/>
      <c r="K917" s="48"/>
    </row>
    <row r="918">
      <c r="A918" s="37"/>
      <c r="B918" s="37"/>
      <c r="C918" s="37"/>
      <c r="D918" s="37"/>
      <c r="E918" s="37"/>
      <c r="K918" s="48"/>
    </row>
    <row r="919">
      <c r="A919" s="37"/>
      <c r="B919" s="37"/>
      <c r="C919" s="37"/>
      <c r="D919" s="37"/>
      <c r="E919" s="37"/>
      <c r="K919" s="48"/>
    </row>
    <row r="920">
      <c r="A920" s="37"/>
      <c r="B920" s="37"/>
      <c r="C920" s="37"/>
      <c r="D920" s="37"/>
      <c r="E920" s="37"/>
      <c r="K920" s="48"/>
    </row>
    <row r="921">
      <c r="A921" s="37"/>
      <c r="B921" s="37"/>
      <c r="C921" s="37"/>
      <c r="D921" s="37"/>
      <c r="E921" s="37"/>
      <c r="K921" s="48"/>
    </row>
    <row r="922">
      <c r="A922" s="37"/>
      <c r="B922" s="37"/>
      <c r="C922" s="37"/>
      <c r="D922" s="37"/>
      <c r="E922" s="37"/>
      <c r="K922" s="48"/>
    </row>
    <row r="923">
      <c r="A923" s="37"/>
      <c r="B923" s="37"/>
      <c r="C923" s="37"/>
      <c r="D923" s="37"/>
      <c r="E923" s="37"/>
      <c r="K923" s="48"/>
    </row>
    <row r="924">
      <c r="A924" s="37"/>
      <c r="B924" s="37"/>
      <c r="C924" s="37"/>
      <c r="D924" s="37"/>
      <c r="E924" s="37"/>
      <c r="K924" s="48"/>
    </row>
    <row r="925">
      <c r="A925" s="37"/>
      <c r="B925" s="37"/>
      <c r="C925" s="37"/>
      <c r="D925" s="37"/>
      <c r="E925" s="37"/>
      <c r="K925" s="48"/>
    </row>
    <row r="926">
      <c r="A926" s="37"/>
      <c r="B926" s="37"/>
      <c r="C926" s="37"/>
      <c r="D926" s="37"/>
      <c r="E926" s="37"/>
      <c r="K926" s="48"/>
    </row>
    <row r="927">
      <c r="A927" s="37"/>
      <c r="B927" s="37"/>
      <c r="C927" s="37"/>
      <c r="D927" s="37"/>
      <c r="E927" s="37"/>
      <c r="K927" s="48"/>
    </row>
    <row r="928">
      <c r="A928" s="37"/>
      <c r="B928" s="37"/>
      <c r="C928" s="37"/>
      <c r="D928" s="37"/>
      <c r="E928" s="37"/>
      <c r="K928" s="48"/>
    </row>
    <row r="929">
      <c r="A929" s="37"/>
      <c r="B929" s="37"/>
      <c r="C929" s="37"/>
      <c r="D929" s="37"/>
      <c r="E929" s="37"/>
      <c r="K929" s="48"/>
    </row>
    <row r="930">
      <c r="A930" s="37"/>
      <c r="B930" s="37"/>
      <c r="C930" s="37"/>
      <c r="D930" s="37"/>
      <c r="E930" s="37"/>
      <c r="K930" s="48"/>
    </row>
    <row r="931">
      <c r="A931" s="37"/>
      <c r="B931" s="37"/>
      <c r="C931" s="37"/>
      <c r="D931" s="37"/>
      <c r="E931" s="37"/>
      <c r="K931" s="48"/>
    </row>
    <row r="932">
      <c r="A932" s="37"/>
      <c r="B932" s="37"/>
      <c r="C932" s="37"/>
      <c r="D932" s="37"/>
      <c r="E932" s="37"/>
      <c r="K932" s="48"/>
    </row>
    <row r="933">
      <c r="A933" s="37"/>
      <c r="B933" s="37"/>
      <c r="C933" s="37"/>
      <c r="D933" s="37"/>
      <c r="E933" s="37"/>
      <c r="K933" s="48"/>
    </row>
    <row r="934">
      <c r="A934" s="37"/>
      <c r="B934" s="37"/>
      <c r="C934" s="37"/>
      <c r="D934" s="37"/>
      <c r="E934" s="37"/>
      <c r="K934" s="48"/>
    </row>
    <row r="935">
      <c r="A935" s="37"/>
      <c r="B935" s="37"/>
      <c r="C935" s="37"/>
      <c r="D935" s="37"/>
      <c r="E935" s="37"/>
      <c r="K935" s="48"/>
    </row>
    <row r="936">
      <c r="A936" s="37"/>
      <c r="B936" s="37"/>
      <c r="C936" s="37"/>
      <c r="D936" s="37"/>
      <c r="E936" s="37"/>
      <c r="K936" s="48"/>
    </row>
    <row r="937">
      <c r="A937" s="37"/>
      <c r="B937" s="37"/>
      <c r="C937" s="37"/>
      <c r="D937" s="37"/>
      <c r="E937" s="37"/>
      <c r="K937" s="48"/>
    </row>
    <row r="938">
      <c r="A938" s="37"/>
      <c r="B938" s="37"/>
      <c r="C938" s="37"/>
      <c r="D938" s="37"/>
      <c r="E938" s="37"/>
      <c r="K938" s="48"/>
    </row>
    <row r="939">
      <c r="A939" s="37"/>
      <c r="B939" s="37"/>
      <c r="C939" s="37"/>
      <c r="D939" s="37"/>
      <c r="E939" s="37"/>
      <c r="K939" s="48"/>
    </row>
    <row r="940">
      <c r="A940" s="37"/>
      <c r="B940" s="37"/>
      <c r="C940" s="37"/>
      <c r="D940" s="37"/>
      <c r="E940" s="37"/>
      <c r="K940" s="48"/>
    </row>
    <row r="941">
      <c r="A941" s="37"/>
      <c r="B941" s="37"/>
      <c r="C941" s="37"/>
      <c r="D941" s="37"/>
      <c r="E941" s="37"/>
      <c r="K941" s="48"/>
    </row>
    <row r="942">
      <c r="A942" s="37"/>
      <c r="B942" s="37"/>
      <c r="C942" s="37"/>
      <c r="D942" s="37"/>
      <c r="E942" s="37"/>
      <c r="K942" s="48"/>
    </row>
    <row r="943">
      <c r="A943" s="37"/>
      <c r="B943" s="37"/>
      <c r="C943" s="37"/>
      <c r="D943" s="37"/>
      <c r="E943" s="37"/>
      <c r="K943" s="48"/>
    </row>
    <row r="944">
      <c r="A944" s="37"/>
      <c r="B944" s="37"/>
      <c r="C944" s="37"/>
      <c r="D944" s="37"/>
      <c r="E944" s="37"/>
      <c r="K944" s="48"/>
    </row>
    <row r="945">
      <c r="A945" s="37"/>
      <c r="B945" s="37"/>
      <c r="C945" s="37"/>
      <c r="D945" s="37"/>
      <c r="E945" s="37"/>
      <c r="K945" s="48"/>
    </row>
    <row r="946">
      <c r="A946" s="37"/>
      <c r="B946" s="37"/>
      <c r="C946" s="37"/>
      <c r="D946" s="37"/>
      <c r="E946" s="37"/>
      <c r="K946" s="48"/>
    </row>
    <row r="947">
      <c r="A947" s="37"/>
      <c r="B947" s="37"/>
      <c r="C947" s="37"/>
      <c r="D947" s="37"/>
      <c r="E947" s="37"/>
      <c r="K947" s="48"/>
    </row>
    <row r="948">
      <c r="A948" s="37"/>
      <c r="B948" s="37"/>
      <c r="C948" s="37"/>
      <c r="D948" s="37"/>
      <c r="E948" s="37"/>
      <c r="K948" s="48"/>
    </row>
    <row r="949">
      <c r="A949" s="37"/>
      <c r="B949" s="37"/>
      <c r="C949" s="37"/>
      <c r="D949" s="37"/>
      <c r="E949" s="37"/>
      <c r="K949" s="48"/>
    </row>
    <row r="950">
      <c r="A950" s="37"/>
      <c r="B950" s="37"/>
      <c r="C950" s="37"/>
      <c r="D950" s="37"/>
      <c r="E950" s="37"/>
      <c r="K950" s="48"/>
    </row>
    <row r="951">
      <c r="A951" s="37"/>
      <c r="B951" s="37"/>
      <c r="C951" s="37"/>
      <c r="D951" s="37"/>
      <c r="E951" s="37"/>
      <c r="K951" s="48"/>
    </row>
    <row r="952">
      <c r="A952" s="37"/>
      <c r="B952" s="37"/>
      <c r="C952" s="37"/>
      <c r="D952" s="37"/>
      <c r="E952" s="37"/>
      <c r="K952" s="48"/>
    </row>
    <row r="953">
      <c r="A953" s="37"/>
      <c r="B953" s="37"/>
      <c r="C953" s="37"/>
      <c r="D953" s="37"/>
      <c r="E953" s="37"/>
      <c r="K953" s="48"/>
    </row>
    <row r="954">
      <c r="A954" s="37"/>
      <c r="B954" s="37"/>
      <c r="C954" s="37"/>
      <c r="D954" s="37"/>
      <c r="E954" s="37"/>
      <c r="K954" s="48"/>
    </row>
    <row r="955">
      <c r="A955" s="37"/>
      <c r="B955" s="37"/>
      <c r="C955" s="37"/>
      <c r="D955" s="37"/>
      <c r="E955" s="37"/>
      <c r="K955" s="48"/>
    </row>
    <row r="956">
      <c r="A956" s="37"/>
      <c r="B956" s="37"/>
      <c r="C956" s="37"/>
      <c r="D956" s="37"/>
      <c r="E956" s="37"/>
      <c r="K956" s="48"/>
    </row>
    <row r="957">
      <c r="A957" s="37"/>
      <c r="B957" s="37"/>
      <c r="C957" s="37"/>
      <c r="D957" s="37"/>
      <c r="E957" s="37"/>
      <c r="K957" s="48"/>
    </row>
    <row r="958">
      <c r="A958" s="37"/>
      <c r="B958" s="37"/>
      <c r="C958" s="37"/>
      <c r="D958" s="37"/>
      <c r="E958" s="37"/>
      <c r="K958" s="48"/>
    </row>
    <row r="959">
      <c r="A959" s="37"/>
      <c r="B959" s="37"/>
      <c r="C959" s="37"/>
      <c r="D959" s="37"/>
      <c r="E959" s="37"/>
      <c r="K959" s="48"/>
    </row>
    <row r="960">
      <c r="A960" s="37"/>
      <c r="B960" s="37"/>
      <c r="C960" s="37"/>
      <c r="D960" s="37"/>
      <c r="E960" s="37"/>
      <c r="K960" s="48"/>
    </row>
    <row r="961">
      <c r="A961" s="37"/>
      <c r="B961" s="37"/>
      <c r="C961" s="37"/>
      <c r="D961" s="37"/>
      <c r="E961" s="37"/>
      <c r="K961" s="48"/>
    </row>
    <row r="962">
      <c r="A962" s="37"/>
      <c r="B962" s="37"/>
      <c r="C962" s="37"/>
      <c r="D962" s="37"/>
      <c r="E962" s="37"/>
      <c r="K962" s="48"/>
    </row>
    <row r="963">
      <c r="A963" s="37"/>
      <c r="B963" s="37"/>
      <c r="C963" s="37"/>
      <c r="D963" s="37"/>
      <c r="E963" s="37"/>
      <c r="K963" s="48"/>
    </row>
    <row r="964">
      <c r="A964" s="37"/>
      <c r="B964" s="37"/>
      <c r="C964" s="37"/>
      <c r="D964" s="37"/>
      <c r="E964" s="37"/>
      <c r="K964" s="48"/>
    </row>
    <row r="965">
      <c r="A965" s="37"/>
      <c r="B965" s="37"/>
      <c r="C965" s="37"/>
      <c r="D965" s="37"/>
      <c r="E965" s="37"/>
      <c r="K965" s="48"/>
    </row>
    <row r="966">
      <c r="A966" s="37"/>
      <c r="B966" s="37"/>
      <c r="C966" s="37"/>
      <c r="D966" s="37"/>
      <c r="E966" s="37"/>
      <c r="K966" s="48"/>
    </row>
    <row r="967">
      <c r="A967" s="37"/>
      <c r="B967" s="37"/>
      <c r="C967" s="37"/>
      <c r="D967" s="37"/>
      <c r="E967" s="37"/>
      <c r="K967" s="48"/>
    </row>
    <row r="968">
      <c r="A968" s="37"/>
      <c r="B968" s="37"/>
      <c r="C968" s="37"/>
      <c r="D968" s="37"/>
      <c r="E968" s="37"/>
      <c r="K968" s="48"/>
    </row>
    <row r="969">
      <c r="A969" s="37"/>
      <c r="B969" s="37"/>
      <c r="C969" s="37"/>
      <c r="D969" s="37"/>
      <c r="E969" s="37"/>
      <c r="K969" s="48"/>
    </row>
    <row r="970">
      <c r="A970" s="37"/>
      <c r="B970" s="37"/>
      <c r="C970" s="37"/>
      <c r="D970" s="37"/>
      <c r="E970" s="37"/>
      <c r="K970" s="48"/>
    </row>
    <row r="971">
      <c r="A971" s="37"/>
      <c r="B971" s="37"/>
      <c r="C971" s="37"/>
      <c r="D971" s="37"/>
      <c r="E971" s="37"/>
      <c r="K971" s="48"/>
    </row>
    <row r="972">
      <c r="A972" s="37"/>
      <c r="B972" s="37"/>
      <c r="C972" s="37"/>
      <c r="D972" s="37"/>
      <c r="E972" s="37"/>
      <c r="K972" s="48"/>
    </row>
    <row r="973">
      <c r="A973" s="37"/>
      <c r="B973" s="37"/>
      <c r="C973" s="37"/>
      <c r="D973" s="37"/>
      <c r="E973" s="37"/>
      <c r="K973" s="48"/>
    </row>
    <row r="974">
      <c r="A974" s="37"/>
      <c r="B974" s="37"/>
      <c r="C974" s="37"/>
      <c r="D974" s="37"/>
      <c r="E974" s="37"/>
      <c r="K974" s="48"/>
    </row>
    <row r="975">
      <c r="A975" s="37"/>
      <c r="B975" s="37"/>
      <c r="C975" s="37"/>
      <c r="D975" s="37"/>
      <c r="E975" s="37"/>
      <c r="K975" s="48"/>
    </row>
    <row r="976">
      <c r="A976" s="37"/>
      <c r="B976" s="37"/>
      <c r="C976" s="37"/>
      <c r="D976" s="37"/>
      <c r="E976" s="37"/>
      <c r="K976" s="48"/>
    </row>
    <row r="977">
      <c r="A977" s="37"/>
      <c r="B977" s="37"/>
      <c r="C977" s="37"/>
      <c r="D977" s="37"/>
      <c r="E977" s="37"/>
      <c r="K977" s="48"/>
    </row>
    <row r="978">
      <c r="A978" s="37"/>
      <c r="B978" s="37"/>
      <c r="C978" s="37"/>
      <c r="D978" s="37"/>
      <c r="E978" s="37"/>
      <c r="K978" s="48"/>
    </row>
    <row r="979">
      <c r="A979" s="37"/>
      <c r="B979" s="37"/>
      <c r="C979" s="37"/>
      <c r="D979" s="37"/>
      <c r="E979" s="37"/>
      <c r="K979" s="48"/>
    </row>
    <row r="980">
      <c r="A980" s="37"/>
      <c r="B980" s="37"/>
      <c r="C980" s="37"/>
      <c r="D980" s="37"/>
      <c r="E980" s="37"/>
      <c r="K980" s="48"/>
    </row>
    <row r="981">
      <c r="A981" s="37"/>
      <c r="B981" s="37"/>
      <c r="C981" s="37"/>
      <c r="D981" s="37"/>
      <c r="E981" s="37"/>
      <c r="K981" s="48"/>
    </row>
    <row r="982">
      <c r="A982" s="37"/>
      <c r="B982" s="37"/>
      <c r="C982" s="37"/>
      <c r="D982" s="37"/>
      <c r="E982" s="37"/>
      <c r="K982" s="48"/>
    </row>
    <row r="983">
      <c r="A983" s="37"/>
      <c r="B983" s="37"/>
      <c r="C983" s="37"/>
      <c r="D983" s="37"/>
      <c r="E983" s="37"/>
      <c r="K983" s="48"/>
    </row>
    <row r="984">
      <c r="A984" s="37"/>
      <c r="B984" s="37"/>
      <c r="C984" s="37"/>
      <c r="D984" s="37"/>
      <c r="E984" s="37"/>
      <c r="K984" s="48"/>
    </row>
    <row r="985">
      <c r="A985" s="37"/>
      <c r="B985" s="37"/>
      <c r="C985" s="37"/>
      <c r="D985" s="37"/>
      <c r="E985" s="37"/>
      <c r="K985" s="48"/>
    </row>
    <row r="986">
      <c r="A986" s="37"/>
      <c r="B986" s="37"/>
      <c r="C986" s="37"/>
      <c r="D986" s="37"/>
      <c r="E986" s="37"/>
      <c r="K986" s="48"/>
    </row>
    <row r="987">
      <c r="A987" s="37"/>
      <c r="B987" s="37"/>
      <c r="C987" s="37"/>
      <c r="D987" s="37"/>
      <c r="E987" s="37"/>
      <c r="K987" s="48"/>
    </row>
    <row r="988">
      <c r="A988" s="37"/>
      <c r="B988" s="37"/>
      <c r="C988" s="37"/>
      <c r="D988" s="37"/>
      <c r="E988" s="37"/>
      <c r="K988" s="48"/>
    </row>
    <row r="989">
      <c r="A989" s="37"/>
      <c r="B989" s="37"/>
      <c r="C989" s="37"/>
      <c r="D989" s="37"/>
      <c r="E989" s="37"/>
      <c r="K989" s="48"/>
    </row>
    <row r="990">
      <c r="A990" s="37"/>
      <c r="B990" s="37"/>
      <c r="C990" s="37"/>
      <c r="D990" s="37"/>
      <c r="E990" s="37"/>
      <c r="K990" s="48"/>
    </row>
    <row r="991">
      <c r="A991" s="37"/>
      <c r="B991" s="37"/>
      <c r="C991" s="37"/>
      <c r="D991" s="37"/>
      <c r="E991" s="37"/>
      <c r="K991" s="48"/>
    </row>
    <row r="992">
      <c r="A992" s="37"/>
      <c r="B992" s="37"/>
      <c r="C992" s="37"/>
      <c r="D992" s="37"/>
      <c r="E992" s="37"/>
      <c r="K992" s="48"/>
    </row>
    <row r="993">
      <c r="A993" s="37"/>
      <c r="B993" s="37"/>
      <c r="C993" s="37"/>
      <c r="D993" s="37"/>
      <c r="E993" s="37"/>
      <c r="K993" s="48"/>
    </row>
    <row r="994">
      <c r="A994" s="37"/>
      <c r="B994" s="37"/>
      <c r="C994" s="37"/>
      <c r="D994" s="37"/>
      <c r="E994" s="37"/>
      <c r="K994" s="48"/>
    </row>
    <row r="995">
      <c r="A995" s="37"/>
      <c r="B995" s="37"/>
      <c r="C995" s="37"/>
      <c r="D995" s="37"/>
      <c r="E995" s="37"/>
      <c r="K995" s="48"/>
    </row>
    <row r="996">
      <c r="A996" s="37"/>
      <c r="B996" s="37"/>
      <c r="C996" s="37"/>
      <c r="D996" s="37"/>
      <c r="E996" s="37"/>
      <c r="K996" s="48"/>
    </row>
    <row r="997">
      <c r="A997" s="37"/>
      <c r="B997" s="37"/>
      <c r="C997" s="37"/>
      <c r="D997" s="37"/>
      <c r="E997" s="37"/>
      <c r="K997" s="48"/>
    </row>
    <row r="998">
      <c r="A998" s="37"/>
      <c r="B998" s="37"/>
      <c r="C998" s="37"/>
      <c r="D998" s="37"/>
      <c r="E998" s="37"/>
      <c r="K998" s="48"/>
    </row>
    <row r="999">
      <c r="A999" s="37"/>
      <c r="B999" s="37"/>
      <c r="C999" s="37"/>
      <c r="D999" s="37"/>
      <c r="E999" s="37"/>
      <c r="K999" s="48"/>
    </row>
    <row r="1000">
      <c r="A1000" s="37"/>
      <c r="B1000" s="37"/>
      <c r="C1000" s="37"/>
      <c r="D1000" s="37"/>
      <c r="E1000" s="37"/>
      <c r="K1000" s="48"/>
    </row>
    <row r="1001">
      <c r="A1001" s="37"/>
      <c r="B1001" s="37"/>
      <c r="C1001" s="37"/>
      <c r="D1001" s="37"/>
      <c r="E1001" s="37"/>
      <c r="K1001" s="48"/>
    </row>
    <row r="1002">
      <c r="A1002" s="37"/>
      <c r="B1002" s="37"/>
      <c r="C1002" s="37"/>
      <c r="D1002" s="37"/>
      <c r="E1002" s="37"/>
      <c r="K1002" s="48"/>
    </row>
    <row r="1003">
      <c r="A1003" s="37"/>
      <c r="B1003" s="37"/>
      <c r="C1003" s="37"/>
      <c r="D1003" s="37"/>
      <c r="E1003" s="37"/>
      <c r="K1003" s="48"/>
    </row>
    <row r="1004">
      <c r="A1004" s="37"/>
      <c r="B1004" s="37"/>
      <c r="C1004" s="37"/>
      <c r="D1004" s="37"/>
      <c r="E1004" s="37"/>
      <c r="K1004" s="48"/>
    </row>
    <row r="1005">
      <c r="A1005" s="37"/>
      <c r="B1005" s="37"/>
      <c r="C1005" s="37"/>
      <c r="D1005" s="37"/>
      <c r="E1005" s="37"/>
      <c r="K1005" s="48"/>
    </row>
    <row r="1006">
      <c r="A1006" s="37"/>
      <c r="B1006" s="37"/>
      <c r="C1006" s="37"/>
      <c r="D1006" s="37"/>
      <c r="E1006" s="37"/>
      <c r="K1006" s="48"/>
    </row>
    <row r="1007">
      <c r="A1007" s="37"/>
      <c r="B1007" s="37"/>
      <c r="C1007" s="37"/>
      <c r="D1007" s="37"/>
      <c r="E1007" s="37"/>
      <c r="K1007" s="48"/>
    </row>
    <row r="1008">
      <c r="A1008" s="37"/>
      <c r="B1008" s="37"/>
      <c r="C1008" s="37"/>
      <c r="D1008" s="37"/>
      <c r="E1008" s="37"/>
      <c r="K1008" s="48"/>
    </row>
    <row r="1009">
      <c r="A1009" s="37"/>
      <c r="B1009" s="37"/>
      <c r="C1009" s="37"/>
      <c r="D1009" s="37"/>
      <c r="E1009" s="37"/>
      <c r="K1009" s="48"/>
    </row>
    <row r="1010">
      <c r="A1010" s="37"/>
      <c r="B1010" s="37"/>
      <c r="C1010" s="37"/>
      <c r="D1010" s="37"/>
      <c r="E1010" s="37"/>
      <c r="K1010" s="48"/>
    </row>
    <row r="1011">
      <c r="A1011" s="37"/>
      <c r="B1011" s="37"/>
      <c r="C1011" s="37"/>
      <c r="D1011" s="37"/>
      <c r="E1011" s="37"/>
      <c r="K1011" s="48"/>
    </row>
    <row r="1012">
      <c r="A1012" s="37"/>
      <c r="B1012" s="37"/>
      <c r="C1012" s="37"/>
      <c r="D1012" s="37"/>
      <c r="E1012" s="37"/>
      <c r="K1012" s="48"/>
    </row>
    <row r="1013">
      <c r="A1013" s="37"/>
      <c r="B1013" s="37"/>
      <c r="C1013" s="37"/>
      <c r="D1013" s="37"/>
      <c r="E1013" s="37"/>
      <c r="K1013" s="48"/>
    </row>
    <row r="1014">
      <c r="A1014" s="37"/>
      <c r="B1014" s="37"/>
      <c r="C1014" s="37"/>
      <c r="D1014" s="37"/>
      <c r="E1014" s="37"/>
      <c r="K1014" s="48"/>
    </row>
    <row r="1015">
      <c r="A1015" s="37"/>
      <c r="B1015" s="37"/>
      <c r="C1015" s="37"/>
      <c r="D1015" s="37"/>
      <c r="E1015" s="37"/>
      <c r="K1015" s="48"/>
    </row>
    <row r="1016">
      <c r="A1016" s="37"/>
      <c r="B1016" s="37"/>
      <c r="C1016" s="37"/>
      <c r="D1016" s="37"/>
      <c r="E1016" s="37"/>
      <c r="K1016" s="48"/>
    </row>
    <row r="1017">
      <c r="A1017" s="37"/>
      <c r="B1017" s="37"/>
      <c r="C1017" s="37"/>
      <c r="D1017" s="37"/>
      <c r="E1017" s="37"/>
      <c r="K1017" s="48"/>
    </row>
    <row r="1018">
      <c r="A1018" s="37"/>
      <c r="B1018" s="37"/>
      <c r="C1018" s="37"/>
      <c r="D1018" s="37"/>
      <c r="E1018" s="37"/>
      <c r="K1018" s="48"/>
    </row>
    <row r="1019">
      <c r="A1019" s="37"/>
      <c r="B1019" s="37"/>
      <c r="C1019" s="37"/>
      <c r="D1019" s="37"/>
      <c r="E1019" s="37"/>
      <c r="K1019" s="48"/>
    </row>
    <row r="1020">
      <c r="A1020" s="37"/>
      <c r="B1020" s="37"/>
      <c r="C1020" s="37"/>
      <c r="D1020" s="37"/>
      <c r="E1020" s="37"/>
      <c r="K1020" s="48"/>
    </row>
    <row r="1021">
      <c r="A1021" s="37"/>
      <c r="B1021" s="37"/>
      <c r="C1021" s="37"/>
      <c r="D1021" s="37"/>
      <c r="E1021" s="37"/>
      <c r="K1021" s="48"/>
    </row>
    <row r="1022">
      <c r="A1022" s="37"/>
      <c r="B1022" s="37"/>
      <c r="C1022" s="37"/>
      <c r="D1022" s="37"/>
      <c r="E1022" s="37"/>
      <c r="K1022" s="48"/>
    </row>
    <row r="1023">
      <c r="A1023" s="37"/>
      <c r="B1023" s="37"/>
      <c r="C1023" s="37"/>
      <c r="D1023" s="37"/>
      <c r="E1023" s="37"/>
      <c r="K1023" s="48"/>
    </row>
    <row r="1024">
      <c r="A1024" s="37"/>
      <c r="B1024" s="37"/>
      <c r="C1024" s="37"/>
      <c r="D1024" s="37"/>
      <c r="E1024" s="37"/>
      <c r="K1024" s="48"/>
    </row>
    <row r="1025">
      <c r="A1025" s="37"/>
      <c r="B1025" s="37"/>
      <c r="C1025" s="37"/>
      <c r="D1025" s="37"/>
      <c r="E1025" s="37"/>
      <c r="K1025" s="48"/>
    </row>
    <row r="1026">
      <c r="A1026" s="37"/>
      <c r="B1026" s="37"/>
      <c r="C1026" s="37"/>
      <c r="D1026" s="37"/>
      <c r="E1026" s="37"/>
      <c r="K1026" s="48"/>
    </row>
    <row r="1027">
      <c r="A1027" s="37"/>
      <c r="B1027" s="37"/>
      <c r="C1027" s="37"/>
      <c r="D1027" s="37"/>
      <c r="E1027" s="37"/>
      <c r="K1027" s="48"/>
    </row>
    <row r="1028">
      <c r="A1028" s="37"/>
      <c r="B1028" s="37"/>
      <c r="C1028" s="37"/>
      <c r="D1028" s="37"/>
      <c r="E1028" s="37"/>
      <c r="K1028" s="48"/>
    </row>
    <row r="1029">
      <c r="A1029" s="37"/>
      <c r="B1029" s="37"/>
      <c r="C1029" s="37"/>
      <c r="D1029" s="37"/>
      <c r="E1029" s="37"/>
      <c r="K1029" s="48"/>
    </row>
    <row r="1030">
      <c r="A1030" s="37"/>
      <c r="B1030" s="37"/>
      <c r="C1030" s="37"/>
      <c r="D1030" s="37"/>
      <c r="E1030" s="37"/>
      <c r="K1030" s="48"/>
    </row>
    <row r="1031">
      <c r="A1031" s="37"/>
      <c r="B1031" s="37"/>
      <c r="C1031" s="37"/>
      <c r="D1031" s="37"/>
      <c r="E1031" s="37"/>
      <c r="K1031" s="48"/>
    </row>
    <row r="1032">
      <c r="A1032" s="37"/>
      <c r="B1032" s="37"/>
      <c r="C1032" s="37"/>
      <c r="D1032" s="37"/>
      <c r="E1032" s="37"/>
      <c r="K1032" s="48"/>
    </row>
    <row r="1033">
      <c r="A1033" s="37"/>
      <c r="B1033" s="37"/>
      <c r="C1033" s="37"/>
      <c r="D1033" s="37"/>
      <c r="E1033" s="37"/>
      <c r="K1033" s="48"/>
    </row>
    <row r="1034">
      <c r="A1034" s="37"/>
      <c r="B1034" s="37"/>
      <c r="C1034" s="37"/>
      <c r="D1034" s="37"/>
      <c r="E1034" s="37"/>
      <c r="K1034" s="48"/>
    </row>
    <row r="1035">
      <c r="A1035" s="37"/>
      <c r="B1035" s="37"/>
      <c r="C1035" s="37"/>
      <c r="D1035" s="37"/>
      <c r="E1035" s="37"/>
      <c r="K1035" s="48"/>
    </row>
    <row r="1036">
      <c r="A1036" s="37"/>
      <c r="B1036" s="37"/>
      <c r="C1036" s="37"/>
      <c r="D1036" s="37"/>
      <c r="E1036" s="37"/>
      <c r="K1036" s="48"/>
    </row>
    <row r="1037">
      <c r="A1037" s="37"/>
      <c r="B1037" s="37"/>
      <c r="C1037" s="37"/>
      <c r="D1037" s="37"/>
      <c r="E1037" s="37"/>
      <c r="K1037" s="48"/>
    </row>
    <row r="1038">
      <c r="A1038" s="37"/>
      <c r="B1038" s="37"/>
      <c r="C1038" s="37"/>
      <c r="D1038" s="37"/>
      <c r="E1038" s="37"/>
      <c r="K1038" s="48"/>
    </row>
    <row r="1039">
      <c r="A1039" s="37"/>
      <c r="B1039" s="37"/>
      <c r="C1039" s="37"/>
      <c r="D1039" s="37"/>
      <c r="E1039" s="37"/>
      <c r="K1039" s="48"/>
    </row>
    <row r="1040">
      <c r="A1040" s="37"/>
      <c r="B1040" s="37"/>
      <c r="C1040" s="37"/>
      <c r="D1040" s="37"/>
      <c r="E1040" s="37"/>
      <c r="K1040" s="48"/>
    </row>
    <row r="1041">
      <c r="A1041" s="37"/>
      <c r="B1041" s="37"/>
      <c r="C1041" s="37"/>
      <c r="D1041" s="37"/>
      <c r="E1041" s="37"/>
      <c r="K1041" s="48"/>
    </row>
    <row r="1042">
      <c r="A1042" s="37"/>
      <c r="B1042" s="37"/>
      <c r="C1042" s="37"/>
      <c r="D1042" s="37"/>
      <c r="E1042" s="37"/>
      <c r="K1042" s="48"/>
    </row>
    <row r="1043">
      <c r="A1043" s="37"/>
      <c r="B1043" s="37"/>
      <c r="C1043" s="37"/>
      <c r="D1043" s="37"/>
      <c r="E1043" s="37"/>
      <c r="K1043" s="48"/>
    </row>
    <row r="1044">
      <c r="A1044" s="37"/>
      <c r="B1044" s="37"/>
      <c r="C1044" s="37"/>
      <c r="D1044" s="37"/>
      <c r="E1044" s="37"/>
      <c r="K1044" s="48"/>
    </row>
    <row r="1045">
      <c r="A1045" s="37"/>
      <c r="B1045" s="37"/>
      <c r="C1045" s="37"/>
      <c r="D1045" s="37"/>
      <c r="E1045" s="37"/>
      <c r="K1045" s="48"/>
    </row>
    <row r="1046">
      <c r="A1046" s="37"/>
      <c r="B1046" s="37"/>
      <c r="C1046" s="37"/>
      <c r="D1046" s="37"/>
      <c r="E1046" s="37"/>
      <c r="K1046" s="48"/>
    </row>
    <row r="1047">
      <c r="A1047" s="37"/>
      <c r="B1047" s="37"/>
      <c r="C1047" s="37"/>
      <c r="D1047" s="37"/>
      <c r="E1047" s="37"/>
      <c r="K1047" s="48"/>
    </row>
    <row r="1048">
      <c r="A1048" s="37"/>
      <c r="B1048" s="37"/>
      <c r="C1048" s="37"/>
      <c r="D1048" s="37"/>
      <c r="E1048" s="37"/>
      <c r="K1048" s="48"/>
    </row>
    <row r="1049">
      <c r="A1049" s="37"/>
      <c r="B1049" s="37"/>
      <c r="C1049" s="37"/>
      <c r="D1049" s="37"/>
      <c r="E1049" s="37"/>
      <c r="K1049" s="48"/>
    </row>
    <row r="1050">
      <c r="A1050" s="37"/>
      <c r="B1050" s="37"/>
      <c r="C1050" s="37"/>
      <c r="D1050" s="37"/>
      <c r="E1050" s="37"/>
      <c r="K1050" s="48"/>
    </row>
    <row r="1051">
      <c r="A1051" s="37"/>
      <c r="B1051" s="37"/>
      <c r="C1051" s="37"/>
      <c r="D1051" s="37"/>
      <c r="E1051" s="37"/>
      <c r="K1051" s="48"/>
    </row>
    <row r="1052">
      <c r="A1052" s="37"/>
      <c r="B1052" s="37"/>
      <c r="C1052" s="37"/>
      <c r="D1052" s="37"/>
      <c r="E1052" s="37"/>
      <c r="K1052" s="48"/>
    </row>
    <row r="1053">
      <c r="A1053" s="37"/>
      <c r="B1053" s="37"/>
      <c r="C1053" s="37"/>
      <c r="D1053" s="37"/>
      <c r="E1053" s="37"/>
      <c r="K1053" s="48"/>
    </row>
    <row r="1054">
      <c r="A1054" s="37"/>
      <c r="B1054" s="37"/>
      <c r="C1054" s="37"/>
      <c r="D1054" s="37"/>
      <c r="E1054" s="37"/>
      <c r="K1054" s="48"/>
    </row>
    <row r="1055">
      <c r="A1055" s="37"/>
      <c r="B1055" s="37"/>
      <c r="C1055" s="37"/>
      <c r="D1055" s="37"/>
      <c r="E1055" s="37"/>
      <c r="K1055" s="48"/>
    </row>
    <row r="1056">
      <c r="A1056" s="37"/>
      <c r="B1056" s="37"/>
      <c r="C1056" s="37"/>
      <c r="D1056" s="37"/>
      <c r="E1056" s="37"/>
      <c r="K1056" s="48"/>
    </row>
    <row r="1057">
      <c r="A1057" s="37"/>
      <c r="B1057" s="37"/>
      <c r="C1057" s="37"/>
      <c r="D1057" s="37"/>
      <c r="E1057" s="37"/>
      <c r="K1057" s="48"/>
    </row>
    <row r="1058">
      <c r="A1058" s="37"/>
      <c r="B1058" s="37"/>
      <c r="C1058" s="37"/>
      <c r="D1058" s="37"/>
      <c r="E1058" s="37"/>
      <c r="K1058" s="48"/>
    </row>
    <row r="1059">
      <c r="A1059" s="37"/>
      <c r="B1059" s="37"/>
      <c r="C1059" s="37"/>
      <c r="D1059" s="37"/>
      <c r="E1059" s="37"/>
      <c r="K1059" s="48"/>
    </row>
    <row r="1060">
      <c r="A1060" s="37"/>
      <c r="B1060" s="37"/>
      <c r="C1060" s="37"/>
      <c r="D1060" s="37"/>
      <c r="E1060" s="37"/>
      <c r="K1060" s="48"/>
    </row>
    <row r="1061">
      <c r="A1061" s="37"/>
      <c r="B1061" s="37"/>
      <c r="C1061" s="37"/>
      <c r="D1061" s="37"/>
      <c r="E1061" s="37"/>
      <c r="K1061" s="48"/>
    </row>
    <row r="1062">
      <c r="A1062" s="37"/>
      <c r="B1062" s="37"/>
      <c r="C1062" s="37"/>
      <c r="D1062" s="37"/>
      <c r="E1062" s="37"/>
      <c r="K1062" s="48"/>
    </row>
    <row r="1063">
      <c r="A1063" s="37"/>
      <c r="B1063" s="37"/>
      <c r="C1063" s="37"/>
      <c r="D1063" s="37"/>
      <c r="E1063" s="37"/>
      <c r="K1063" s="48"/>
    </row>
    <row r="1064">
      <c r="A1064" s="37"/>
      <c r="B1064" s="37"/>
      <c r="C1064" s="37"/>
      <c r="D1064" s="37"/>
      <c r="E1064" s="37"/>
      <c r="K1064" s="48"/>
    </row>
    <row r="1065">
      <c r="A1065" s="37"/>
      <c r="B1065" s="37"/>
      <c r="C1065" s="37"/>
      <c r="D1065" s="37"/>
      <c r="E1065" s="37"/>
      <c r="K1065" s="48"/>
    </row>
    <row r="1066">
      <c r="A1066" s="37"/>
      <c r="B1066" s="37"/>
      <c r="C1066" s="37"/>
      <c r="D1066" s="37"/>
      <c r="E1066" s="37"/>
      <c r="K1066" s="48"/>
    </row>
    <row r="1067">
      <c r="A1067" s="37"/>
      <c r="B1067" s="37"/>
      <c r="C1067" s="37"/>
      <c r="D1067" s="37"/>
      <c r="E1067" s="37"/>
      <c r="K1067" s="48"/>
    </row>
    <row r="1068">
      <c r="A1068" s="37"/>
      <c r="B1068" s="37"/>
      <c r="C1068" s="37"/>
      <c r="D1068" s="37"/>
      <c r="E1068" s="37"/>
      <c r="K1068" s="48"/>
    </row>
    <row r="1069">
      <c r="A1069" s="37"/>
      <c r="B1069" s="37"/>
      <c r="C1069" s="37"/>
      <c r="D1069" s="37"/>
      <c r="E1069" s="37"/>
      <c r="K1069" s="48"/>
    </row>
    <row r="1070">
      <c r="A1070" s="37"/>
      <c r="B1070" s="37"/>
      <c r="C1070" s="37"/>
      <c r="D1070" s="37"/>
      <c r="E1070" s="37"/>
      <c r="K1070" s="48"/>
    </row>
    <row r="1071">
      <c r="A1071" s="37"/>
      <c r="B1071" s="37"/>
      <c r="C1071" s="37"/>
      <c r="D1071" s="37"/>
      <c r="E1071" s="37"/>
      <c r="K1071" s="48"/>
    </row>
    <row r="1072">
      <c r="A1072" s="37"/>
      <c r="B1072" s="37"/>
      <c r="C1072" s="37"/>
      <c r="D1072" s="37"/>
      <c r="E1072" s="37"/>
      <c r="K1072" s="48"/>
    </row>
    <row r="1073">
      <c r="A1073" s="37"/>
      <c r="B1073" s="37"/>
      <c r="C1073" s="37"/>
      <c r="D1073" s="37"/>
      <c r="E1073" s="37"/>
      <c r="K1073" s="48"/>
    </row>
    <row r="1074">
      <c r="A1074" s="37"/>
      <c r="B1074" s="37"/>
      <c r="C1074" s="37"/>
      <c r="D1074" s="37"/>
      <c r="E1074" s="37"/>
      <c r="K1074" s="48"/>
    </row>
    <row r="1075">
      <c r="A1075" s="37"/>
      <c r="B1075" s="37"/>
      <c r="C1075" s="37"/>
      <c r="D1075" s="37"/>
      <c r="E1075" s="37"/>
      <c r="K1075" s="48"/>
    </row>
    <row r="1076">
      <c r="A1076" s="37"/>
      <c r="B1076" s="37"/>
      <c r="C1076" s="37"/>
      <c r="D1076" s="37"/>
      <c r="E1076" s="37"/>
      <c r="K1076" s="48"/>
    </row>
    <row r="1077">
      <c r="A1077" s="37"/>
      <c r="B1077" s="37"/>
      <c r="C1077" s="37"/>
      <c r="D1077" s="37"/>
      <c r="E1077" s="37"/>
      <c r="K1077" s="48"/>
    </row>
    <row r="1078">
      <c r="A1078" s="37"/>
      <c r="B1078" s="37"/>
      <c r="C1078" s="37"/>
      <c r="D1078" s="37"/>
      <c r="E1078" s="37"/>
      <c r="K1078" s="48"/>
    </row>
    <row r="1079">
      <c r="A1079" s="37"/>
      <c r="B1079" s="37"/>
      <c r="C1079" s="37"/>
      <c r="D1079" s="37"/>
      <c r="E1079" s="37"/>
      <c r="K1079" s="48"/>
    </row>
    <row r="1080">
      <c r="A1080" s="37"/>
      <c r="B1080" s="37"/>
      <c r="C1080" s="37"/>
      <c r="D1080" s="37"/>
      <c r="E1080" s="37"/>
      <c r="K1080" s="48"/>
    </row>
    <row r="1081">
      <c r="A1081" s="37"/>
      <c r="B1081" s="37"/>
      <c r="C1081" s="37"/>
      <c r="D1081" s="37"/>
      <c r="E1081" s="37"/>
      <c r="K1081" s="48"/>
    </row>
    <row r="1082">
      <c r="A1082" s="37"/>
      <c r="B1082" s="37"/>
      <c r="C1082" s="37"/>
      <c r="D1082" s="37"/>
      <c r="E1082" s="37"/>
      <c r="K1082" s="48"/>
    </row>
    <row r="1083">
      <c r="A1083" s="37"/>
      <c r="B1083" s="37"/>
      <c r="C1083" s="37"/>
      <c r="D1083" s="37"/>
      <c r="E1083" s="37"/>
      <c r="K1083" s="48"/>
    </row>
    <row r="1084">
      <c r="A1084" s="37"/>
      <c r="B1084" s="37"/>
      <c r="C1084" s="37"/>
      <c r="D1084" s="37"/>
      <c r="E1084" s="37"/>
      <c r="K1084" s="48"/>
    </row>
    <row r="1085">
      <c r="A1085" s="37"/>
      <c r="B1085" s="37"/>
      <c r="C1085" s="37"/>
      <c r="D1085" s="37"/>
      <c r="E1085" s="37"/>
      <c r="K1085" s="48"/>
    </row>
    <row r="1086">
      <c r="A1086" s="37"/>
      <c r="B1086" s="37"/>
      <c r="C1086" s="37"/>
      <c r="D1086" s="37"/>
      <c r="E1086" s="37"/>
      <c r="K1086" s="48"/>
    </row>
    <row r="1087">
      <c r="A1087" s="37"/>
      <c r="B1087" s="37"/>
      <c r="C1087" s="37"/>
      <c r="D1087" s="37"/>
      <c r="E1087" s="37"/>
      <c r="K1087" s="48"/>
    </row>
    <row r="1088">
      <c r="A1088" s="37"/>
      <c r="B1088" s="37"/>
      <c r="C1088" s="37"/>
      <c r="D1088" s="37"/>
      <c r="E1088" s="37"/>
      <c r="K1088" s="48"/>
    </row>
    <row r="1089">
      <c r="A1089" s="37"/>
      <c r="B1089" s="37"/>
      <c r="C1089" s="37"/>
      <c r="D1089" s="37"/>
      <c r="E1089" s="37"/>
      <c r="K1089" s="48"/>
    </row>
    <row r="1090">
      <c r="A1090" s="37"/>
      <c r="B1090" s="37"/>
      <c r="C1090" s="37"/>
      <c r="D1090" s="37"/>
      <c r="E1090" s="37"/>
      <c r="K1090" s="48"/>
    </row>
    <row r="1091">
      <c r="A1091" s="37"/>
      <c r="B1091" s="37"/>
      <c r="C1091" s="37"/>
      <c r="D1091" s="37"/>
      <c r="E1091" s="37"/>
      <c r="K1091" s="48"/>
    </row>
    <row r="1092">
      <c r="A1092" s="37"/>
      <c r="B1092" s="37"/>
      <c r="C1092" s="37"/>
      <c r="D1092" s="37"/>
      <c r="E1092" s="37"/>
      <c r="K1092" s="48"/>
    </row>
    <row r="1093">
      <c r="A1093" s="37"/>
      <c r="B1093" s="37"/>
      <c r="C1093" s="37"/>
      <c r="D1093" s="37"/>
      <c r="E1093" s="37"/>
      <c r="K1093" s="48"/>
    </row>
    <row r="1094">
      <c r="A1094" s="37"/>
      <c r="B1094" s="37"/>
      <c r="C1094" s="37"/>
      <c r="D1094" s="37"/>
      <c r="E1094" s="37"/>
      <c r="K1094" s="48"/>
    </row>
    <row r="1095">
      <c r="A1095" s="37"/>
      <c r="B1095" s="37"/>
      <c r="C1095" s="37"/>
      <c r="D1095" s="37"/>
      <c r="E1095" s="37"/>
      <c r="K1095" s="48"/>
    </row>
    <row r="1096">
      <c r="A1096" s="37"/>
      <c r="B1096" s="37"/>
      <c r="C1096" s="37"/>
      <c r="D1096" s="37"/>
      <c r="E1096" s="37"/>
      <c r="K1096" s="48"/>
    </row>
    <row r="1097">
      <c r="A1097" s="37"/>
      <c r="B1097" s="37"/>
      <c r="C1097" s="37"/>
      <c r="D1097" s="37"/>
      <c r="E1097" s="37"/>
      <c r="K1097" s="48"/>
    </row>
    <row r="1098">
      <c r="A1098" s="37"/>
      <c r="B1098" s="37"/>
      <c r="C1098" s="37"/>
      <c r="D1098" s="37"/>
      <c r="E1098" s="37"/>
      <c r="K1098" s="48"/>
    </row>
    <row r="1099">
      <c r="A1099" s="37"/>
      <c r="B1099" s="37"/>
      <c r="C1099" s="37"/>
      <c r="D1099" s="37"/>
      <c r="E1099" s="37"/>
      <c r="K1099" s="48"/>
    </row>
    <row r="1100">
      <c r="A1100" s="37"/>
      <c r="B1100" s="37"/>
      <c r="C1100" s="37"/>
      <c r="D1100" s="37"/>
      <c r="E1100" s="37"/>
      <c r="K1100" s="48"/>
    </row>
    <row r="1101">
      <c r="A1101" s="37"/>
      <c r="B1101" s="37"/>
      <c r="C1101" s="37"/>
      <c r="D1101" s="37"/>
      <c r="E1101" s="37"/>
      <c r="K1101" s="48"/>
    </row>
    <row r="1102">
      <c r="A1102" s="37"/>
      <c r="B1102" s="37"/>
      <c r="C1102" s="37"/>
      <c r="D1102" s="37"/>
      <c r="E1102" s="37"/>
      <c r="K1102" s="48"/>
    </row>
    <row r="1103">
      <c r="A1103" s="37"/>
      <c r="B1103" s="37"/>
      <c r="C1103" s="37"/>
      <c r="D1103" s="37"/>
      <c r="E1103" s="37"/>
      <c r="K1103" s="48"/>
    </row>
    <row r="1104">
      <c r="A1104" s="37"/>
      <c r="B1104" s="37"/>
      <c r="C1104" s="37"/>
      <c r="D1104" s="37"/>
      <c r="E1104" s="37"/>
      <c r="K1104" s="48"/>
    </row>
    <row r="1105">
      <c r="A1105" s="37"/>
      <c r="B1105" s="37"/>
      <c r="C1105" s="37"/>
      <c r="D1105" s="37"/>
      <c r="E1105" s="37"/>
      <c r="K1105" s="48"/>
    </row>
    <row r="1106">
      <c r="A1106" s="37"/>
      <c r="B1106" s="37"/>
      <c r="C1106" s="37"/>
      <c r="D1106" s="37"/>
      <c r="E1106" s="37"/>
      <c r="K1106" s="48"/>
    </row>
    <row r="1107">
      <c r="A1107" s="37"/>
      <c r="B1107" s="37"/>
      <c r="C1107" s="37"/>
      <c r="D1107" s="37"/>
      <c r="E1107" s="37"/>
      <c r="K1107" s="48"/>
    </row>
    <row r="1108">
      <c r="A1108" s="37"/>
      <c r="B1108" s="37"/>
      <c r="C1108" s="37"/>
      <c r="D1108" s="37"/>
      <c r="E1108" s="37"/>
      <c r="K1108" s="48"/>
    </row>
    <row r="1109">
      <c r="A1109" s="37"/>
      <c r="B1109" s="37"/>
      <c r="C1109" s="37"/>
      <c r="D1109" s="37"/>
      <c r="E1109" s="37"/>
      <c r="K1109" s="48"/>
    </row>
    <row r="1110">
      <c r="A1110" s="37"/>
      <c r="B1110" s="37"/>
      <c r="C1110" s="37"/>
      <c r="D1110" s="37"/>
      <c r="E1110" s="37"/>
      <c r="K1110" s="48"/>
    </row>
    <row r="1111">
      <c r="A1111" s="37"/>
      <c r="B1111" s="37"/>
      <c r="C1111" s="37"/>
      <c r="D1111" s="37"/>
      <c r="E1111" s="37"/>
      <c r="K1111" s="48"/>
    </row>
    <row r="1112">
      <c r="A1112" s="37"/>
      <c r="B1112" s="37"/>
      <c r="C1112" s="37"/>
      <c r="D1112" s="37"/>
      <c r="E1112" s="37"/>
      <c r="K1112" s="48"/>
    </row>
    <row r="1113">
      <c r="A1113" s="37"/>
      <c r="B1113" s="37"/>
      <c r="C1113" s="37"/>
      <c r="D1113" s="37"/>
      <c r="E1113" s="37"/>
      <c r="K1113" s="48"/>
    </row>
    <row r="1114">
      <c r="A1114" s="37"/>
      <c r="B1114" s="37"/>
      <c r="C1114" s="37"/>
      <c r="D1114" s="37"/>
      <c r="E1114" s="37"/>
      <c r="K1114" s="48"/>
    </row>
    <row r="1115">
      <c r="A1115" s="37"/>
      <c r="B1115" s="37"/>
      <c r="C1115" s="37"/>
      <c r="D1115" s="37"/>
      <c r="E1115" s="37"/>
      <c r="K1115" s="48"/>
    </row>
    <row r="1116">
      <c r="A1116" s="37"/>
      <c r="B1116" s="37"/>
      <c r="C1116" s="37"/>
      <c r="D1116" s="37"/>
      <c r="E1116" s="37"/>
      <c r="K1116" s="48"/>
    </row>
    <row r="1117">
      <c r="A1117" s="37"/>
      <c r="B1117" s="37"/>
      <c r="C1117" s="37"/>
      <c r="D1117" s="37"/>
      <c r="E1117" s="37"/>
      <c r="K1117" s="48"/>
    </row>
    <row r="1118">
      <c r="A1118" s="37"/>
      <c r="B1118" s="37"/>
      <c r="C1118" s="37"/>
      <c r="D1118" s="37"/>
      <c r="E1118" s="37"/>
      <c r="K1118" s="48"/>
    </row>
    <row r="1119">
      <c r="A1119" s="37"/>
      <c r="B1119" s="37"/>
      <c r="C1119" s="37"/>
      <c r="D1119" s="37"/>
      <c r="E1119" s="37"/>
      <c r="K1119" s="48"/>
    </row>
    <row r="1120">
      <c r="A1120" s="37"/>
      <c r="B1120" s="37"/>
      <c r="C1120" s="37"/>
      <c r="D1120" s="37"/>
      <c r="E1120" s="37"/>
      <c r="K1120" s="48"/>
    </row>
    <row r="1121">
      <c r="A1121" s="37"/>
      <c r="B1121" s="37"/>
      <c r="C1121" s="37"/>
      <c r="D1121" s="37"/>
      <c r="E1121" s="37"/>
      <c r="K1121" s="48"/>
    </row>
    <row r="1122">
      <c r="A1122" s="37"/>
      <c r="B1122" s="37"/>
      <c r="C1122" s="37"/>
      <c r="D1122" s="37"/>
      <c r="E1122" s="37"/>
      <c r="K1122" s="48"/>
    </row>
    <row r="1123">
      <c r="A1123" s="37"/>
      <c r="B1123" s="37"/>
      <c r="C1123" s="37"/>
      <c r="D1123" s="37"/>
      <c r="E1123" s="37"/>
      <c r="K1123" s="48"/>
    </row>
    <row r="1124">
      <c r="A1124" s="37"/>
      <c r="B1124" s="37"/>
      <c r="C1124" s="37"/>
      <c r="D1124" s="37"/>
      <c r="E1124" s="37"/>
      <c r="K1124" s="48"/>
    </row>
    <row r="1125">
      <c r="A1125" s="37"/>
      <c r="B1125" s="37"/>
      <c r="C1125" s="37"/>
      <c r="D1125" s="37"/>
      <c r="E1125" s="37"/>
      <c r="K1125" s="48"/>
    </row>
    <row r="1126">
      <c r="A1126" s="37"/>
      <c r="B1126" s="37"/>
      <c r="C1126" s="37"/>
      <c r="D1126" s="37"/>
      <c r="E1126" s="37"/>
      <c r="K1126" s="48"/>
    </row>
    <row r="1127">
      <c r="A1127" s="37"/>
      <c r="B1127" s="37"/>
      <c r="C1127" s="37"/>
      <c r="D1127" s="37"/>
      <c r="E1127" s="37"/>
      <c r="K1127" s="48"/>
    </row>
    <row r="1128">
      <c r="A1128" s="37"/>
      <c r="B1128" s="37"/>
      <c r="C1128" s="37"/>
      <c r="D1128" s="37"/>
      <c r="E1128" s="37"/>
      <c r="K1128" s="48"/>
    </row>
    <row r="1129">
      <c r="A1129" s="37"/>
      <c r="B1129" s="37"/>
      <c r="C1129" s="37"/>
      <c r="D1129" s="37"/>
      <c r="E1129" s="37"/>
      <c r="K1129" s="48"/>
    </row>
    <row r="1130">
      <c r="A1130" s="37"/>
      <c r="B1130" s="37"/>
      <c r="C1130" s="37"/>
      <c r="D1130" s="37"/>
      <c r="E1130" s="37"/>
      <c r="K1130" s="48"/>
    </row>
    <row r="1131">
      <c r="A1131" s="37"/>
      <c r="B1131" s="37"/>
      <c r="C1131" s="37"/>
      <c r="D1131" s="37"/>
      <c r="E1131" s="37"/>
      <c r="K1131" s="48"/>
    </row>
    <row r="1132">
      <c r="A1132" s="37"/>
      <c r="B1132" s="37"/>
      <c r="C1132" s="37"/>
      <c r="D1132" s="37"/>
      <c r="E1132" s="37"/>
      <c r="K1132" s="48"/>
    </row>
    <row r="1133">
      <c r="A1133" s="37"/>
      <c r="B1133" s="37"/>
      <c r="C1133" s="37"/>
      <c r="D1133" s="37"/>
      <c r="E1133" s="37"/>
      <c r="K1133" s="48"/>
    </row>
    <row r="1134">
      <c r="A1134" s="37"/>
      <c r="B1134" s="37"/>
      <c r="C1134" s="37"/>
      <c r="D1134" s="37"/>
      <c r="E1134" s="37"/>
      <c r="K1134" s="48"/>
    </row>
    <row r="1135">
      <c r="A1135" s="37"/>
      <c r="B1135" s="37"/>
      <c r="C1135" s="37"/>
      <c r="D1135" s="37"/>
      <c r="E1135" s="37"/>
      <c r="K1135" s="48"/>
    </row>
    <row r="1136">
      <c r="A1136" s="37"/>
      <c r="B1136" s="37"/>
      <c r="C1136" s="37"/>
      <c r="D1136" s="37"/>
      <c r="E1136" s="37"/>
      <c r="K1136" s="48"/>
    </row>
    <row r="1137">
      <c r="A1137" s="37"/>
      <c r="B1137" s="37"/>
      <c r="C1137" s="37"/>
      <c r="D1137" s="37"/>
      <c r="E1137" s="37"/>
      <c r="K1137" s="48"/>
    </row>
    <row r="1138">
      <c r="A1138" s="37"/>
      <c r="B1138" s="37"/>
      <c r="C1138" s="37"/>
      <c r="D1138" s="37"/>
      <c r="E1138" s="37"/>
      <c r="K1138" s="48"/>
    </row>
    <row r="1139">
      <c r="A1139" s="37"/>
      <c r="B1139" s="37"/>
      <c r="C1139" s="37"/>
      <c r="D1139" s="37"/>
      <c r="E1139" s="37"/>
      <c r="K1139" s="48"/>
    </row>
    <row r="1140">
      <c r="A1140" s="37"/>
      <c r="B1140" s="37"/>
      <c r="C1140" s="37"/>
      <c r="D1140" s="37"/>
      <c r="E1140" s="37"/>
      <c r="K1140" s="48"/>
    </row>
    <row r="1141">
      <c r="A1141" s="37"/>
      <c r="B1141" s="37"/>
      <c r="C1141" s="37"/>
      <c r="D1141" s="37"/>
      <c r="E1141" s="37"/>
      <c r="K1141" s="48"/>
    </row>
    <row r="1142">
      <c r="A1142" s="37"/>
      <c r="B1142" s="37"/>
      <c r="C1142" s="37"/>
      <c r="D1142" s="37"/>
      <c r="E1142" s="37"/>
      <c r="K1142" s="48"/>
    </row>
    <row r="1143">
      <c r="A1143" s="37"/>
      <c r="B1143" s="37"/>
      <c r="C1143" s="37"/>
      <c r="D1143" s="37"/>
      <c r="E1143" s="37"/>
      <c r="K1143" s="48"/>
    </row>
    <row r="1144">
      <c r="A1144" s="37"/>
      <c r="B1144" s="37"/>
      <c r="C1144" s="37"/>
      <c r="D1144" s="37"/>
      <c r="E1144" s="37"/>
      <c r="K1144" s="48"/>
    </row>
    <row r="1145">
      <c r="A1145" s="37"/>
      <c r="B1145" s="37"/>
      <c r="C1145" s="37"/>
      <c r="D1145" s="37"/>
      <c r="E1145" s="37"/>
      <c r="K1145" s="48"/>
    </row>
    <row r="1146">
      <c r="A1146" s="37"/>
      <c r="B1146" s="37"/>
      <c r="C1146" s="37"/>
      <c r="D1146" s="37"/>
      <c r="E1146" s="37"/>
      <c r="K1146" s="48"/>
    </row>
    <row r="1147">
      <c r="A1147" s="37"/>
      <c r="B1147" s="37"/>
      <c r="C1147" s="37"/>
      <c r="D1147" s="37"/>
      <c r="E1147" s="37"/>
      <c r="K1147" s="48"/>
    </row>
    <row r="1148">
      <c r="A1148" s="37"/>
      <c r="B1148" s="37"/>
      <c r="C1148" s="37"/>
      <c r="D1148" s="37"/>
      <c r="E1148" s="37"/>
      <c r="K1148" s="48"/>
    </row>
    <row r="1149">
      <c r="A1149" s="37"/>
      <c r="B1149" s="37"/>
      <c r="C1149" s="37"/>
      <c r="D1149" s="37"/>
      <c r="E1149" s="37"/>
      <c r="K1149" s="48"/>
    </row>
    <row r="1150">
      <c r="A1150" s="37"/>
      <c r="B1150" s="37"/>
      <c r="C1150" s="37"/>
      <c r="D1150" s="37"/>
      <c r="E1150" s="37"/>
      <c r="K1150" s="48"/>
    </row>
    <row r="1151">
      <c r="A1151" s="37"/>
      <c r="B1151" s="37"/>
      <c r="C1151" s="37"/>
      <c r="D1151" s="37"/>
      <c r="E1151" s="37"/>
      <c r="K1151" s="48"/>
    </row>
    <row r="1152">
      <c r="A1152" s="37"/>
      <c r="B1152" s="37"/>
      <c r="C1152" s="37"/>
      <c r="D1152" s="37"/>
      <c r="E1152" s="37"/>
      <c r="K1152" s="48"/>
    </row>
    <row r="1153">
      <c r="A1153" s="37"/>
      <c r="B1153" s="37"/>
      <c r="C1153" s="37"/>
      <c r="D1153" s="37"/>
      <c r="E1153" s="37"/>
      <c r="K1153" s="48"/>
    </row>
    <row r="1154">
      <c r="A1154" s="37"/>
      <c r="B1154" s="37"/>
      <c r="C1154" s="37"/>
      <c r="D1154" s="37"/>
      <c r="E1154" s="37"/>
      <c r="K1154" s="48"/>
    </row>
    <row r="1155">
      <c r="A1155" s="37"/>
      <c r="B1155" s="37"/>
      <c r="C1155" s="37"/>
      <c r="D1155" s="37"/>
      <c r="E1155" s="37"/>
      <c r="K1155" s="48"/>
    </row>
    <row r="1156">
      <c r="A1156" s="37"/>
      <c r="B1156" s="37"/>
      <c r="C1156" s="37"/>
      <c r="D1156" s="37"/>
      <c r="E1156" s="37"/>
      <c r="K1156" s="48"/>
    </row>
    <row r="1157">
      <c r="A1157" s="37"/>
      <c r="B1157" s="37"/>
      <c r="C1157" s="37"/>
      <c r="D1157" s="37"/>
      <c r="E1157" s="37"/>
      <c r="K1157" s="48"/>
    </row>
    <row r="1158">
      <c r="A1158" s="37"/>
      <c r="B1158" s="37"/>
      <c r="C1158" s="37"/>
      <c r="D1158" s="37"/>
      <c r="E1158" s="37"/>
      <c r="K1158" s="48"/>
    </row>
    <row r="1159">
      <c r="A1159" s="37"/>
      <c r="B1159" s="37"/>
      <c r="C1159" s="37"/>
      <c r="D1159" s="37"/>
      <c r="E1159" s="37"/>
      <c r="K1159" s="48"/>
    </row>
    <row r="1160">
      <c r="A1160" s="37"/>
      <c r="B1160" s="37"/>
      <c r="C1160" s="37"/>
      <c r="D1160" s="37"/>
      <c r="E1160" s="37"/>
      <c r="K1160" s="48"/>
    </row>
    <row r="1161">
      <c r="A1161" s="37"/>
      <c r="B1161" s="37"/>
      <c r="C1161" s="37"/>
      <c r="D1161" s="37"/>
      <c r="E1161" s="37"/>
      <c r="K1161" s="48"/>
    </row>
    <row r="1162">
      <c r="A1162" s="37"/>
      <c r="B1162" s="37"/>
      <c r="C1162" s="37"/>
      <c r="D1162" s="37"/>
      <c r="E1162" s="37"/>
      <c r="K1162" s="48"/>
    </row>
    <row r="1163">
      <c r="A1163" s="37"/>
      <c r="B1163" s="37"/>
      <c r="C1163" s="37"/>
      <c r="D1163" s="37"/>
      <c r="E1163" s="37"/>
      <c r="K1163" s="48"/>
    </row>
    <row r="1164">
      <c r="A1164" s="37"/>
      <c r="B1164" s="37"/>
      <c r="C1164" s="37"/>
      <c r="D1164" s="37"/>
      <c r="E1164" s="37"/>
      <c r="K1164" s="48"/>
    </row>
    <row r="1165">
      <c r="A1165" s="37"/>
      <c r="B1165" s="37"/>
      <c r="C1165" s="37"/>
      <c r="D1165" s="37"/>
      <c r="E1165" s="37"/>
      <c r="K1165" s="48"/>
    </row>
    <row r="1166">
      <c r="A1166" s="37"/>
      <c r="B1166" s="37"/>
      <c r="C1166" s="37"/>
      <c r="D1166" s="37"/>
      <c r="E1166" s="37"/>
      <c r="K1166" s="48"/>
    </row>
    <row r="1167">
      <c r="A1167" s="37"/>
      <c r="B1167" s="37"/>
      <c r="C1167" s="37"/>
      <c r="D1167" s="37"/>
      <c r="E1167" s="37"/>
      <c r="K1167" s="48"/>
    </row>
    <row r="1168">
      <c r="A1168" s="37"/>
      <c r="B1168" s="37"/>
      <c r="C1168" s="37"/>
      <c r="D1168" s="37"/>
      <c r="E1168" s="37"/>
      <c r="K1168" s="48"/>
    </row>
    <row r="1169">
      <c r="A1169" s="37"/>
      <c r="B1169" s="37"/>
      <c r="C1169" s="37"/>
      <c r="D1169" s="37"/>
      <c r="E1169" s="37"/>
      <c r="K1169" s="48"/>
    </row>
    <row r="1170">
      <c r="A1170" s="37"/>
      <c r="B1170" s="37"/>
      <c r="C1170" s="37"/>
      <c r="D1170" s="37"/>
      <c r="E1170" s="37"/>
      <c r="K1170" s="48"/>
    </row>
    <row r="1171">
      <c r="A1171" s="37"/>
      <c r="B1171" s="37"/>
      <c r="C1171" s="37"/>
      <c r="D1171" s="37"/>
      <c r="E1171" s="37"/>
      <c r="K1171" s="48"/>
    </row>
    <row r="1172">
      <c r="A1172" s="37"/>
      <c r="B1172" s="37"/>
      <c r="C1172" s="37"/>
      <c r="D1172" s="37"/>
      <c r="E1172" s="37"/>
      <c r="K1172" s="48"/>
    </row>
    <row r="1173">
      <c r="A1173" s="37"/>
      <c r="B1173" s="37"/>
      <c r="C1173" s="37"/>
      <c r="D1173" s="37"/>
      <c r="E1173" s="37"/>
      <c r="K1173" s="48"/>
    </row>
    <row r="1174">
      <c r="A1174" s="37"/>
      <c r="B1174" s="37"/>
      <c r="C1174" s="37"/>
      <c r="D1174" s="37"/>
      <c r="E1174" s="37"/>
      <c r="K1174" s="48"/>
    </row>
    <row r="1175">
      <c r="A1175" s="37"/>
      <c r="B1175" s="37"/>
      <c r="C1175" s="37"/>
      <c r="D1175" s="37"/>
      <c r="E1175" s="37"/>
      <c r="K1175" s="48"/>
    </row>
    <row r="1176">
      <c r="A1176" s="37"/>
      <c r="B1176" s="37"/>
      <c r="C1176" s="37"/>
      <c r="D1176" s="37"/>
      <c r="E1176" s="37"/>
      <c r="K1176" s="48"/>
    </row>
    <row r="1177">
      <c r="A1177" s="37"/>
      <c r="B1177" s="37"/>
      <c r="C1177" s="37"/>
      <c r="D1177" s="37"/>
      <c r="E1177" s="37"/>
      <c r="K1177" s="48"/>
    </row>
    <row r="1178">
      <c r="A1178" s="37"/>
      <c r="B1178" s="37"/>
      <c r="C1178" s="37"/>
      <c r="D1178" s="37"/>
      <c r="E1178" s="37"/>
      <c r="K1178" s="48"/>
    </row>
    <row r="1179">
      <c r="A1179" s="37"/>
      <c r="B1179" s="37"/>
      <c r="C1179" s="37"/>
      <c r="D1179" s="37"/>
      <c r="E1179" s="37"/>
      <c r="K1179" s="48"/>
    </row>
    <row r="1180">
      <c r="A1180" s="37"/>
      <c r="B1180" s="37"/>
      <c r="C1180" s="37"/>
      <c r="D1180" s="37"/>
      <c r="E1180" s="37"/>
      <c r="K1180" s="48"/>
    </row>
    <row r="1181">
      <c r="A1181" s="37"/>
      <c r="B1181" s="37"/>
      <c r="C1181" s="37"/>
      <c r="D1181" s="37"/>
      <c r="E1181" s="37"/>
      <c r="K1181" s="48"/>
    </row>
    <row r="1182">
      <c r="A1182" s="37"/>
      <c r="B1182" s="37"/>
      <c r="C1182" s="37"/>
      <c r="D1182" s="37"/>
      <c r="E1182" s="37"/>
      <c r="K1182" s="48"/>
    </row>
    <row r="1183">
      <c r="A1183" s="37"/>
      <c r="B1183" s="37"/>
      <c r="C1183" s="37"/>
      <c r="D1183" s="37"/>
      <c r="E1183" s="37"/>
      <c r="K1183" s="48"/>
    </row>
    <row r="1184">
      <c r="A1184" s="37"/>
      <c r="B1184" s="37"/>
      <c r="C1184" s="37"/>
      <c r="D1184" s="37"/>
      <c r="E1184" s="37"/>
      <c r="K1184" s="48"/>
    </row>
    <row r="1185">
      <c r="A1185" s="37"/>
      <c r="B1185" s="37"/>
      <c r="C1185" s="37"/>
      <c r="D1185" s="37"/>
      <c r="E1185" s="37"/>
      <c r="K1185" s="48"/>
    </row>
    <row r="1186">
      <c r="A1186" s="37"/>
      <c r="B1186" s="37"/>
      <c r="C1186" s="37"/>
      <c r="D1186" s="37"/>
      <c r="E1186" s="37"/>
      <c r="K1186" s="48"/>
    </row>
    <row r="1187">
      <c r="A1187" s="37"/>
      <c r="B1187" s="37"/>
      <c r="C1187" s="37"/>
      <c r="D1187" s="37"/>
      <c r="E1187" s="37"/>
      <c r="K1187" s="48"/>
    </row>
    <row r="1188">
      <c r="A1188" s="37"/>
      <c r="B1188" s="37"/>
      <c r="C1188" s="37"/>
      <c r="D1188" s="37"/>
      <c r="E1188" s="37"/>
      <c r="K1188" s="48"/>
    </row>
    <row r="1189">
      <c r="A1189" s="37"/>
      <c r="B1189" s="37"/>
      <c r="C1189" s="37"/>
      <c r="D1189" s="37"/>
      <c r="E1189" s="37"/>
      <c r="K1189" s="48"/>
    </row>
    <row r="1190">
      <c r="A1190" s="37"/>
      <c r="B1190" s="37"/>
      <c r="C1190" s="37"/>
      <c r="D1190" s="37"/>
      <c r="E1190" s="37"/>
      <c r="K1190" s="48"/>
    </row>
    <row r="1191">
      <c r="A1191" s="37"/>
      <c r="B1191" s="37"/>
      <c r="C1191" s="37"/>
      <c r="D1191" s="37"/>
      <c r="E1191" s="37"/>
      <c r="K1191" s="48"/>
    </row>
    <row r="1192">
      <c r="A1192" s="37"/>
      <c r="B1192" s="37"/>
      <c r="C1192" s="37"/>
      <c r="D1192" s="37"/>
      <c r="E1192" s="37"/>
      <c r="K1192" s="48"/>
    </row>
    <row r="1193">
      <c r="A1193" s="37"/>
      <c r="B1193" s="37"/>
      <c r="C1193" s="37"/>
      <c r="D1193" s="37"/>
      <c r="E1193" s="37"/>
      <c r="K1193" s="48"/>
    </row>
    <row r="1194">
      <c r="A1194" s="37"/>
      <c r="B1194" s="37"/>
      <c r="C1194" s="37"/>
      <c r="D1194" s="37"/>
      <c r="E1194" s="37"/>
      <c r="K1194" s="48"/>
    </row>
    <row r="1195">
      <c r="A1195" s="37"/>
      <c r="B1195" s="37"/>
      <c r="C1195" s="37"/>
      <c r="D1195" s="37"/>
      <c r="E1195" s="37"/>
      <c r="K1195" s="48"/>
    </row>
    <row r="1196">
      <c r="A1196" s="37"/>
      <c r="B1196" s="37"/>
      <c r="C1196" s="37"/>
      <c r="D1196" s="37"/>
      <c r="E1196" s="37"/>
      <c r="K1196" s="48"/>
    </row>
    <row r="1197">
      <c r="A1197" s="37"/>
      <c r="B1197" s="37"/>
      <c r="C1197" s="37"/>
      <c r="D1197" s="37"/>
      <c r="E1197" s="37"/>
      <c r="K1197" s="48"/>
    </row>
  </sheetData>
  <mergeCells count="37">
    <mergeCell ref="G3:G4"/>
    <mergeCell ref="A5:B5"/>
    <mergeCell ref="C5:D5"/>
    <mergeCell ref="G5:G69"/>
    <mergeCell ref="A6:B6"/>
    <mergeCell ref="C6:D6"/>
    <mergeCell ref="A7:D12"/>
    <mergeCell ref="G71:G101"/>
    <mergeCell ref="G102:G105"/>
    <mergeCell ref="G106:G130"/>
    <mergeCell ref="G133:G136"/>
    <mergeCell ref="G137:G138"/>
    <mergeCell ref="G139:G158"/>
    <mergeCell ref="G159:G161"/>
    <mergeCell ref="G163:G165"/>
    <mergeCell ref="G166:G177"/>
    <mergeCell ref="G178:G187"/>
    <mergeCell ref="G188:G190"/>
    <mergeCell ref="G191:G194"/>
    <mergeCell ref="G195:G234"/>
    <mergeCell ref="G235:G242"/>
    <mergeCell ref="G243:G244"/>
    <mergeCell ref="G245:G246"/>
    <mergeCell ref="G247:G250"/>
    <mergeCell ref="G251:G253"/>
    <mergeCell ref="G254:G257"/>
    <mergeCell ref="G258:G260"/>
    <mergeCell ref="G261:G263"/>
    <mergeCell ref="G348:G363"/>
    <mergeCell ref="G364:G384"/>
    <mergeCell ref="G264:G266"/>
    <mergeCell ref="G267:G269"/>
    <mergeCell ref="G270:G272"/>
    <mergeCell ref="G273:G291"/>
    <mergeCell ref="G292:G315"/>
    <mergeCell ref="G316:G331"/>
    <mergeCell ref="G332:G347"/>
  </mergeCells>
  <dataValidations>
    <dataValidation type="list" allowBlank="1" showErrorMessage="1" sqref="B13">
      <formula1>"MINH THUẬN,CẨM NHIÊN"</formula1>
    </dataValidation>
    <dataValidation type="list" allowBlank="1" showErrorMessage="1" sqref="O3:O384">
      <formula1>"Pass,Fail"</formula1>
    </dataValidation>
  </dataValidations>
  <drawing r:id="rId1"/>
</worksheet>
</file>