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精算建模2017课程\IFRS17\"/>
    </mc:Choice>
  </mc:AlternateContent>
  <xr:revisionPtr revIDLastSave="0" documentId="13_ncr:1_{4BB72826-8B17-40E5-8145-BA2E52EFBFAA}" xr6:coauthVersionLast="37" xr6:coauthVersionMax="37" xr10:uidLastSave="{00000000-0000-0000-0000-000000000000}"/>
  <bookViews>
    <workbookView xWindow="0" yWindow="0" windowWidth="16392" windowHeight="5232" xr2:uid="{E2007F31-6F75-4CCE-858D-671BF0AA7783}"/>
  </bookViews>
  <sheets>
    <sheet name="正文附录例6" sheetId="4" r:id="rId1"/>
    <sheet name="CSM说明" sheetId="5" r:id="rId2"/>
    <sheet name="Sheet1" sheetId="1" r:id="rId3"/>
    <sheet name="Sheet2" sheetId="2" r:id="rId4"/>
    <sheet name="Sheet3" sheetId="3" r:id="rId5"/>
  </sheets>
  <externalReferences>
    <externalReference r:id="rId6"/>
  </externalReferences>
  <definedNames>
    <definedName name="CFs折现率">[1]第117页!$B$9</definedName>
    <definedName name="R_csm" localSheetId="1">[1]正文附录例6!$D$16</definedName>
    <definedName name="R_csm">正文附录例6!$D$16</definedName>
    <definedName name="R_FCO" localSheetId="1">[1]正文附录例6!$D$15</definedName>
    <definedName name="R_FCO">正文附录例6!$D$15</definedName>
    <definedName name="RA比率">[1]第117页!$B$8</definedName>
    <definedName name="v_F">[1]第117页!$C$5</definedName>
    <definedName name="v_O" localSheetId="1">[1]正文附录例6!$E$15</definedName>
    <definedName name="v_O">正文附录例6!$E$15</definedName>
    <definedName name="vFCF">[1]第117页!$C$9</definedName>
    <definedName name="其它费用">[1]第117页!$B$17</definedName>
    <definedName name="投资收益率">[1]第117页!$B$5</definedName>
    <definedName name="佣金率">[1]第117页!$B$16</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80" i="4" l="1"/>
  <c r="C65" i="4"/>
  <c r="D94" i="4" l="1"/>
  <c r="E59" i="4"/>
  <c r="C59" i="4"/>
  <c r="G59" i="4" s="1"/>
  <c r="E54" i="4"/>
  <c r="C54" i="4"/>
  <c r="G54" i="4" s="1"/>
  <c r="G49" i="4"/>
  <c r="E49" i="4"/>
  <c r="C49" i="4"/>
  <c r="H47" i="4"/>
  <c r="H46" i="4"/>
  <c r="H48" i="4" s="1"/>
  <c r="F46" i="4"/>
  <c r="D46" i="4"/>
  <c r="E33" i="4"/>
  <c r="D33" i="4"/>
  <c r="D91" i="4" s="1"/>
  <c r="D96" i="4" s="1"/>
  <c r="C33" i="4"/>
  <c r="F24" i="4"/>
  <c r="C22" i="4"/>
  <c r="E15" i="4"/>
  <c r="I72" i="4" s="1"/>
  <c r="I73" i="4" s="1"/>
  <c r="C13" i="4"/>
  <c r="D13" i="4" s="1"/>
  <c r="D49" i="4" l="1"/>
  <c r="D64" i="4" s="1"/>
  <c r="E13" i="4"/>
  <c r="H49" i="4"/>
  <c r="H51" i="4"/>
  <c r="C30" i="4"/>
  <c r="D30" i="4" s="1"/>
  <c r="D47" i="4"/>
  <c r="D48" i="4" s="1"/>
  <c r="F48" i="4"/>
  <c r="F47" i="4"/>
  <c r="F51" i="4" s="1"/>
  <c r="F49" i="4"/>
  <c r="F56" i="4" l="1"/>
  <c r="F52" i="4"/>
  <c r="F53" i="4"/>
  <c r="F54" i="4"/>
  <c r="D37" i="4"/>
  <c r="H52" i="4"/>
  <c r="H53" i="4" s="1"/>
  <c r="D51" i="4"/>
  <c r="D53" i="4" l="1"/>
  <c r="D54" i="4" s="1"/>
  <c r="D52" i="4"/>
  <c r="F57" i="4"/>
  <c r="H54" i="4"/>
  <c r="H56" i="4"/>
  <c r="D85" i="4"/>
  <c r="C95" i="4"/>
  <c r="F71" i="4"/>
  <c r="F59" i="4" l="1"/>
  <c r="F72" i="4" s="1"/>
  <c r="D65" i="4"/>
  <c r="D71" i="4"/>
  <c r="E37" i="4"/>
  <c r="D56" i="4"/>
  <c r="H57" i="4"/>
  <c r="H59" i="4" s="1"/>
  <c r="H72" i="4" s="1"/>
  <c r="H58" i="4"/>
  <c r="H71" i="4"/>
  <c r="F85" i="4"/>
  <c r="F58" i="4"/>
  <c r="F61" i="4" s="1"/>
  <c r="F73" i="4" s="1"/>
  <c r="F74" i="4" s="1"/>
  <c r="F75" i="4" l="1"/>
  <c r="D81" i="4"/>
  <c r="H74" i="4"/>
  <c r="H61" i="4"/>
  <c r="H73" i="4" s="1"/>
  <c r="F37" i="4"/>
  <c r="D58" i="4"/>
  <c r="D57" i="4"/>
  <c r="D59" i="4" s="1"/>
  <c r="D72" i="4" l="1"/>
  <c r="D61" i="4"/>
  <c r="D82" i="4"/>
  <c r="H75" i="4"/>
  <c r="I75" i="4" s="1"/>
  <c r="F81" i="4"/>
  <c r="F82" i="4" l="1"/>
  <c r="D86" i="4"/>
  <c r="D84" i="4"/>
  <c r="C93" i="4" s="1"/>
  <c r="E93" i="4" s="1"/>
  <c r="D66" i="4"/>
  <c r="F32" i="4"/>
  <c r="F35" i="4" s="1"/>
  <c r="F38" i="4" s="1"/>
  <c r="D73" i="4"/>
  <c r="D74" i="4" s="1"/>
  <c r="D80" i="4" s="1"/>
  <c r="D83" i="4" s="1"/>
  <c r="C66" i="4" l="1"/>
  <c r="E23" i="4" s="1"/>
  <c r="D23" i="4"/>
  <c r="C64" i="4"/>
  <c r="C23" i="4" s="1"/>
  <c r="F86" i="4"/>
  <c r="F84" i="4"/>
  <c r="C32" i="4" l="1"/>
  <c r="C24" i="4"/>
  <c r="C26" i="4" s="1"/>
  <c r="C27" i="4" s="1"/>
  <c r="C150" i="4"/>
  <c r="D32" i="4"/>
  <c r="D24" i="4"/>
  <c r="D26" i="4" s="1"/>
  <c r="E32" i="4"/>
  <c r="E24" i="4"/>
  <c r="E26" i="4" s="1"/>
  <c r="C91" i="4"/>
  <c r="F83" i="4"/>
  <c r="C92" i="4" s="1"/>
  <c r="C96" i="4" l="1"/>
  <c r="D27" i="4"/>
  <c r="E91" i="4"/>
  <c r="C34" i="4"/>
  <c r="G38" i="4" s="1"/>
  <c r="C35" i="4" l="1"/>
  <c r="E92" i="4"/>
  <c r="E94" i="4" s="1"/>
  <c r="F91" i="4"/>
  <c r="D34" i="4"/>
  <c r="D35" i="4" s="1"/>
  <c r="E27" i="4"/>
  <c r="E34" i="4" s="1"/>
  <c r="E35" i="4" s="1"/>
  <c r="E38" i="4" s="1"/>
  <c r="E96" i="4" l="1"/>
  <c r="F96" i="4" s="1"/>
  <c r="D36" i="4"/>
  <c r="D38" i="4"/>
  <c r="I4" i="4" l="1"/>
  <c r="E30" i="4"/>
  <c r="E36" i="4" l="1"/>
  <c r="F30" i="4" s="1"/>
  <c r="F36" i="4" s="1"/>
  <c r="K4" i="4" s="1"/>
  <c r="J4" i="4" l="1"/>
  <c r="G3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hxy</author>
  </authors>
  <commentList>
    <comment ref="D9" authorId="0" shapeId="0" xr:uid="{AB0B7022-4320-4F79-9DDF-31EFD3DA704D}">
      <text>
        <r>
          <rPr>
            <b/>
            <sz val="9"/>
            <color indexed="81"/>
            <rFont val="宋体"/>
            <family val="3"/>
            <charset val="134"/>
          </rPr>
          <t>hxy:保费计算不再需要显式公式，而是建立算法模型，通过反解单变量得到保费。</t>
        </r>
        <r>
          <rPr>
            <sz val="9"/>
            <color indexed="81"/>
            <rFont val="宋体"/>
            <family val="3"/>
            <charset val="134"/>
          </rPr>
          <t xml:space="preserve">
</t>
        </r>
      </text>
    </comment>
    <comment ref="E53" authorId="0" shapeId="0" xr:uid="{2B96DB88-A51E-4CE7-974A-F50C8D4256DA}">
      <text>
        <r>
          <rPr>
            <b/>
            <sz val="9"/>
            <color indexed="81"/>
            <rFont val="宋体"/>
            <family val="3"/>
            <charset val="134"/>
          </rPr>
          <t>hxy:</t>
        </r>
        <r>
          <rPr>
            <sz val="9"/>
            <color indexed="81"/>
            <rFont val="宋体"/>
            <family val="3"/>
            <charset val="134"/>
          </rPr>
          <t xml:space="preserve">
IE63，Y2的7%-2%;
2%来自最开始的假设</t>
        </r>
      </text>
    </comment>
    <comment ref="G53" authorId="0" shapeId="0" xr:uid="{E1DD6443-2EB3-40CB-AAA3-D3599D2E090E}">
      <text>
        <r>
          <rPr>
            <b/>
            <sz val="9"/>
            <color indexed="81"/>
            <rFont val="宋体"/>
            <family val="3"/>
            <charset val="134"/>
          </rPr>
          <t>hxy:</t>
        </r>
        <r>
          <rPr>
            <sz val="9"/>
            <color indexed="81"/>
            <rFont val="宋体"/>
            <family val="3"/>
            <charset val="134"/>
          </rPr>
          <t xml:space="preserve">
IE63(b)利差改成1%而不是预定的2%。</t>
        </r>
      </text>
    </comment>
    <comment ref="E58" authorId="0" shapeId="0" xr:uid="{7C6FBB72-B922-4A71-97BF-51E7F114FFDE}">
      <text>
        <r>
          <rPr>
            <b/>
            <sz val="9"/>
            <color indexed="81"/>
            <rFont val="宋体"/>
            <family val="3"/>
            <charset val="134"/>
          </rPr>
          <t>hxy:</t>
        </r>
        <r>
          <rPr>
            <sz val="9"/>
            <color indexed="81"/>
            <rFont val="宋体"/>
            <family val="3"/>
            <charset val="134"/>
          </rPr>
          <t xml:space="preserve">
IE63(a)预计第3年的收益率为7%.</t>
        </r>
      </text>
    </comment>
    <comment ref="G58" authorId="0" shapeId="0" xr:uid="{4BC3CDE9-C699-488C-A584-325478A4A20A}">
      <text>
        <r>
          <rPr>
            <b/>
            <sz val="9"/>
            <color indexed="81"/>
            <rFont val="宋体"/>
            <family val="3"/>
            <charset val="134"/>
          </rPr>
          <t>hxy:</t>
        </r>
        <r>
          <rPr>
            <sz val="9"/>
            <color indexed="81"/>
            <rFont val="宋体"/>
            <family val="3"/>
            <charset val="134"/>
          </rPr>
          <t xml:space="preserve">
IE63c,采用6%的保单所有人记账利率。
</t>
        </r>
      </text>
    </comment>
    <comment ref="E78" authorId="0" shapeId="0" xr:uid="{A0EFF020-97FA-4086-9D92-664F835DE6D3}">
      <text>
        <r>
          <rPr>
            <b/>
            <sz val="9"/>
            <color indexed="81"/>
            <rFont val="宋体"/>
            <family val="3"/>
            <charset val="134"/>
          </rPr>
          <t>hxy:</t>
        </r>
        <r>
          <rPr>
            <sz val="9"/>
            <color indexed="81"/>
            <rFont val="宋体"/>
            <family val="3"/>
            <charset val="134"/>
          </rPr>
          <t xml:space="preserve">
IE70a。该实体在计算未来现金流出的现值估计值的时候，使用了当前折现利率，确定利率适用36段和B72(a)。</t>
        </r>
      </text>
    </comment>
    <comment ref="D83" authorId="0" shapeId="0" xr:uid="{4786D3FA-67CC-4388-ADC5-565FA1FB1EEC}">
      <text>
        <r>
          <rPr>
            <b/>
            <sz val="9"/>
            <color indexed="81"/>
            <rFont val="宋体"/>
            <family val="3"/>
            <charset val="134"/>
          </rPr>
          <t>hxy:</t>
        </r>
        <r>
          <rPr>
            <sz val="9"/>
            <color indexed="81"/>
            <rFont val="宋体"/>
            <family val="3"/>
            <charset val="134"/>
          </rPr>
          <t xml:space="preserve">
IE70c。未来现金流估计值的变动186的计算方法：因金融假设变动而重做revised的未来现金流估计3228，减去，在金融假设变动之前得到的估计值3414。这个差额反映的仅仅是金融假设变动造成的效应。</t>
        </r>
      </text>
    </comment>
    <comment ref="F83" authorId="0" shapeId="0" xr:uid="{3FB1D0FE-E5C4-4767-90BB-EFF9608F5C0F}">
      <text>
        <r>
          <rPr>
            <b/>
            <sz val="9"/>
            <color indexed="81"/>
            <rFont val="宋体"/>
            <family val="3"/>
            <charset val="134"/>
          </rPr>
          <t>hxy:</t>
        </r>
        <r>
          <rPr>
            <sz val="9"/>
            <color indexed="81"/>
            <rFont val="宋体"/>
            <family val="3"/>
            <charset val="134"/>
          </rPr>
          <t xml:space="preserve">
IE70d。未来现金流现值估计的变动193等于，在第2年年末的未来现金流现值估计值(已根据金融假设变动做修订)，减去，第2年年初的未来现金流现值估计(在金融假设变动之前),即2824。因此，这个差额反映的是第2年的计息效应和金融假设变动效应。</t>
        </r>
      </text>
    </comment>
    <comment ref="D84" authorId="0" shapeId="0" xr:uid="{D013FB99-182A-4663-8976-1734E43BA7FB}">
      <text>
        <r>
          <rPr>
            <b/>
            <sz val="9"/>
            <color indexed="81"/>
            <rFont val="宋体"/>
            <family val="3"/>
            <charset val="134"/>
          </rPr>
          <t>hxy:</t>
        </r>
        <r>
          <rPr>
            <sz val="9"/>
            <color indexed="81"/>
            <rFont val="宋体"/>
            <family val="3"/>
            <charset val="134"/>
          </rPr>
          <t xml:space="preserve">
IE70E。行使量裁权的效应是61，等于，根据根据行使量裁权之后得到的未来现金流估计值3289，减去，在行使量裁权效应生效之前的未来现金流估计3228。</t>
        </r>
      </text>
    </comment>
    <comment ref="E93" authorId="0" shapeId="0" xr:uid="{D42FE0A1-1167-45D1-9000-325AB7B32BA9}">
      <text>
        <r>
          <rPr>
            <b/>
            <sz val="9"/>
            <color indexed="81"/>
            <rFont val="宋体"/>
            <family val="3"/>
            <charset val="134"/>
          </rPr>
          <t>hxy:这是一个需要特别解释的部分。</t>
        </r>
        <r>
          <rPr>
            <sz val="9"/>
            <color indexed="81"/>
            <rFont val="宋体"/>
            <family val="3"/>
            <charset val="134"/>
          </rPr>
          <t xml:space="preserve">
</t>
        </r>
      </text>
    </comment>
    <comment ref="E94" authorId="0" shapeId="0" xr:uid="{DAB4BB5F-5BFE-4181-8DF2-01EA6B8ABEF3}">
      <text>
        <r>
          <rPr>
            <b/>
            <sz val="9"/>
            <color indexed="81"/>
            <rFont val="宋体"/>
            <family val="3"/>
            <charset val="134"/>
          </rPr>
          <t>hxy:</t>
        </r>
        <r>
          <rPr>
            <sz val="9"/>
            <color indexed="81"/>
            <rFont val="宋体"/>
            <family val="3"/>
            <charset val="134"/>
          </rPr>
          <t xml:space="preserve">
本期释放的CSM，CSM已经在0时刻的基础上经过调整，利息项是0时刻的计划，-56是第二年末的调整估计造成的后果。由保障单元数确定的比率和行使量裁权无关。</t>
        </r>
      </text>
    </comment>
    <comment ref="C151" authorId="0" shapeId="0" xr:uid="{3EB4D4BD-113D-40FB-B82C-8920616DE46C}">
      <text>
        <r>
          <rPr>
            <b/>
            <sz val="9"/>
            <color indexed="81"/>
            <rFont val="宋体"/>
            <family val="3"/>
            <charset val="134"/>
          </rPr>
          <t>hxy:适用B97段，实体在调整CSM的时候，不会考虑与货币时间价值效应以及金融风险有关的履约现金串流的变动。这么做的理由是，这些变动和未来服务无关。实体会适用第87段，将这些变动确认为保险融资费用。表中的195的计算原理如下：
(i)</t>
        </r>
      </text>
    </comment>
  </commentList>
</comments>
</file>

<file path=xl/sharedStrings.xml><?xml version="1.0" encoding="utf-8"?>
<sst xmlns="http://schemas.openxmlformats.org/spreadsheetml/2006/main" count="149" uniqueCount="132">
  <si>
    <t>现在是原型阶段，能够用公式再现所有数字的计算过程就是胜利。</t>
    <phoneticPr fontId="3" type="noConversion"/>
  </si>
  <si>
    <t>第268页</t>
    <phoneticPr fontId="3" type="noConversion"/>
  </si>
  <si>
    <t>假设：</t>
    <phoneticPr fontId="3" type="noConversion"/>
  </si>
  <si>
    <t>IE57</t>
    <phoneticPr fontId="3" type="noConversion"/>
  </si>
  <si>
    <t>保单数</t>
    <phoneticPr fontId="3" type="noConversion"/>
  </si>
  <si>
    <t>保险期间</t>
    <phoneticPr fontId="3" type="noConversion"/>
  </si>
  <si>
    <t>IE58</t>
    <phoneticPr fontId="3" type="noConversion"/>
  </si>
  <si>
    <t>定额死亡给付</t>
    <phoneticPr fontId="3" type="noConversion"/>
  </si>
  <si>
    <t>IE59</t>
    <phoneticPr fontId="3" type="noConversion"/>
  </si>
  <si>
    <t>交费方式</t>
    <phoneticPr fontId="3" type="noConversion"/>
  </si>
  <si>
    <t>趸交</t>
    <phoneticPr fontId="3" type="noConversion"/>
  </si>
  <si>
    <t>保费</t>
    <phoneticPr fontId="3" type="noConversion"/>
  </si>
  <si>
    <t>保单类型</t>
    <phoneticPr fontId="3" type="noConversion"/>
  </si>
  <si>
    <t>两全</t>
    <phoneticPr fontId="3" type="noConversion"/>
  </si>
  <si>
    <t>死亡率假设</t>
    <phoneticPr fontId="3" type="noConversion"/>
  </si>
  <si>
    <t>每年索赔数</t>
    <phoneticPr fontId="3" type="noConversion"/>
  </si>
  <si>
    <t>年初有效合同数</t>
    <phoneticPr fontId="3" type="noConversion"/>
  </si>
  <si>
    <t>第270页计算表</t>
    <phoneticPr fontId="3" type="noConversion"/>
  </si>
  <si>
    <t>PVFCO折现利率</t>
    <phoneticPr fontId="3" type="noConversion"/>
  </si>
  <si>
    <t>CSM余额调整</t>
    <phoneticPr fontId="3" type="noConversion"/>
  </si>
  <si>
    <t>收益率假设</t>
    <phoneticPr fontId="3" type="noConversion"/>
  </si>
  <si>
    <t>年费比例</t>
    <phoneticPr fontId="3" type="noConversion"/>
  </si>
  <si>
    <t>初始确认</t>
    <phoneticPr fontId="3" type="noConversion"/>
  </si>
  <si>
    <t>PVFCI的估计值</t>
    <phoneticPr fontId="3" type="noConversion"/>
  </si>
  <si>
    <t>团体型的过去法递推</t>
    <phoneticPr fontId="3" type="noConversion"/>
  </si>
  <si>
    <t>PVFCO的估计值</t>
    <phoneticPr fontId="3" type="noConversion"/>
  </si>
  <si>
    <t>PV计算，毛保费方法</t>
    <phoneticPr fontId="3" type="noConversion"/>
  </si>
  <si>
    <t>PVFCF的估计值</t>
    <phoneticPr fontId="3" type="noConversion"/>
  </si>
  <si>
    <t>非金融风险的RA</t>
    <phoneticPr fontId="3" type="noConversion"/>
  </si>
  <si>
    <t>CSM锁定利率；</t>
    <phoneticPr fontId="3" type="noConversion"/>
  </si>
  <si>
    <t>FCF(履约现金流)</t>
    <phoneticPr fontId="3" type="noConversion"/>
  </si>
  <si>
    <t>当前假设；公允价值</t>
    <phoneticPr fontId="3" type="noConversion"/>
  </si>
  <si>
    <t>偿二代</t>
    <phoneticPr fontId="3" type="noConversion"/>
  </si>
  <si>
    <t>CSM</t>
    <phoneticPr fontId="3" type="noConversion"/>
  </si>
  <si>
    <t>2007-08金融危机</t>
    <phoneticPr fontId="3" type="noConversion"/>
  </si>
  <si>
    <t>Solvency II</t>
    <phoneticPr fontId="3" type="noConversion"/>
  </si>
  <si>
    <t>在进入损益表的分解之前，用资产负债法计算利润。</t>
    <phoneticPr fontId="3" type="noConversion"/>
  </si>
  <si>
    <t>从过去大概一个世纪的保险公司在危机中的表现来看。</t>
    <phoneticPr fontId="3" type="noConversion"/>
  </si>
  <si>
    <t>资产负债表</t>
    <phoneticPr fontId="3" type="noConversion"/>
  </si>
  <si>
    <t>Y1</t>
    <phoneticPr fontId="3" type="noConversion"/>
  </si>
  <si>
    <t>澳大利亚</t>
    <phoneticPr fontId="3" type="noConversion"/>
  </si>
  <si>
    <t>NLP</t>
    <phoneticPr fontId="3" type="noConversion"/>
  </si>
  <si>
    <t>FairValue</t>
    <phoneticPr fontId="3" type="noConversion"/>
  </si>
  <si>
    <t>US GAAP</t>
    <phoneticPr fontId="3" type="noConversion"/>
  </si>
  <si>
    <t>资产(利润分配前)</t>
    <phoneticPr fontId="3" type="noConversion"/>
  </si>
  <si>
    <t>这里实现的是1970年代的设想，将准备金的两个部分拆开。</t>
    <phoneticPr fontId="3" type="noConversion"/>
  </si>
  <si>
    <t>PVFCO</t>
    <phoneticPr fontId="3" type="noConversion"/>
  </si>
  <si>
    <t>explicit</t>
    <phoneticPr fontId="3" type="noConversion"/>
  </si>
  <si>
    <t>非金融风险RA</t>
    <phoneticPr fontId="3" type="noConversion"/>
  </si>
  <si>
    <t>负债小计</t>
    <phoneticPr fontId="3" type="noConversion"/>
  </si>
  <si>
    <t>注意：这是以现金形式分配的利润</t>
    <phoneticPr fontId="3" type="noConversion"/>
  </si>
  <si>
    <t>一直不做利润分配的资产总额</t>
    <phoneticPr fontId="3" type="noConversion"/>
  </si>
  <si>
    <t>不做分配的年度利润</t>
    <phoneticPr fontId="3" type="noConversion"/>
  </si>
  <si>
    <t>Release</t>
    <phoneticPr fontId="3" type="noConversion"/>
  </si>
  <si>
    <t>负债；风险。</t>
    <phoneticPr fontId="3" type="noConversion"/>
  </si>
  <si>
    <t>动辄得咎</t>
    <phoneticPr fontId="3" type="noConversion"/>
  </si>
  <si>
    <t>会计和精算建模合一是大趋势，我们要区分哪些是会计们都会觉得很难的点，哪些是外行比较容易切入的点。</t>
    <phoneticPr fontId="3" type="noConversion"/>
  </si>
  <si>
    <t>IE66 适用B98-B99段，为了确定如何识别自由量裁现金流的变动，实体应当在合同起点明示它预计用来明确其合同义务的计算基础，例如，基于某个固定利率或指定资产的收益率。实体将用这一明示来区分以下两种不同原因造成的效应：第一，对该项义务有影响的金融风险的假设s发生变动；第二，对该项义务的自由量裁的变动。</t>
    <phoneticPr fontId="3" type="noConversion"/>
  </si>
  <si>
    <t>IE67 本例中，实体在合同的Inception明示，它在该合同下的义务为对保单所有人账户余额使用的记账利率等于某个指定资产池的收益率减去2%。由于在第2年末的决定，这个利差从2%降低至1%。</t>
    <phoneticPr fontId="3" type="noConversion"/>
  </si>
  <si>
    <t>IE68 【完成了T2的计算】因此，在第2年年末，该实体分析了保单所有人账户余额因为下面两种原因造成的变动，即仅由金融假设变动造成的变动和由金融假设变动和行使公司量裁权造成的变动。（IE68描述的保单所有人账户余额是通用计算格式，它固定记账利率的时候，得到的就是传统的净保费责任准备金下的结果，所以它可以用来处理传统产品。）</t>
    <phoneticPr fontId="3" type="noConversion"/>
  </si>
  <si>
    <t>保单所有人账户余额</t>
    <phoneticPr fontId="3" type="noConversion"/>
  </si>
  <si>
    <t>初始确认时的预期</t>
    <phoneticPr fontId="3" type="noConversion"/>
  </si>
  <si>
    <t>根据金融假设变动所做修订</t>
    <phoneticPr fontId="3" type="noConversion"/>
  </si>
  <si>
    <t>根据金融假设变动和行使量裁权所做修订</t>
    <phoneticPr fontId="3" type="noConversion"/>
  </si>
  <si>
    <t>第1年年初余额</t>
    <phoneticPr fontId="3" type="noConversion"/>
  </si>
  <si>
    <t>实收保费</t>
    <phoneticPr fontId="3" type="noConversion"/>
  </si>
  <si>
    <t>年费(IE60c, annual charge @3%)</t>
    <phoneticPr fontId="3" type="noConversion"/>
  </si>
  <si>
    <t>记账利率(IE61, IE62a, 资产池 @10% - 2%)</t>
    <phoneticPr fontId="3" type="noConversion"/>
  </si>
  <si>
    <t>死亡给付（保单数200）</t>
    <phoneticPr fontId="3" type="noConversion"/>
  </si>
  <si>
    <t>第2年年初余额</t>
    <phoneticPr fontId="3" type="noConversion"/>
  </si>
  <si>
    <t>记账利率(IE61, IE62)</t>
    <phoneticPr fontId="3" type="noConversion"/>
  </si>
  <si>
    <t>死亡给付（保单数198）</t>
    <phoneticPr fontId="3" type="noConversion"/>
  </si>
  <si>
    <t>第3年年初余额</t>
    <phoneticPr fontId="3" type="noConversion"/>
  </si>
  <si>
    <t>死亡给付（保单数196）</t>
    <phoneticPr fontId="3" type="noConversion"/>
  </si>
  <si>
    <t>第3年年末余额</t>
    <phoneticPr fontId="3" type="noConversion"/>
  </si>
  <si>
    <t>从T2可以得到计算PVCFO的原始现金串流</t>
    <phoneticPr fontId="3" type="noConversion"/>
  </si>
  <si>
    <t>实证和实用态度</t>
    <phoneticPr fontId="3" type="noConversion"/>
  </si>
  <si>
    <t xml:space="preserve">B68的解释：a. 年费annual charge等于每年年初余额（含当年年初收到的保费）的百分比，比如表中第1年的年费90＝3%*3000，3%的来源是IE60c。B. 计息等于年初余额扣除年费之后的一个百分比，比如第1年的计息233=8%×(3000-90)。
C。死亡给付＝年初余额－年费＋本年计息。
</t>
    <phoneticPr fontId="3" type="noConversion"/>
  </si>
  <si>
    <t>IE69 总结了第2和第3两年的FCFs估计</t>
    <phoneticPr fontId="3" type="noConversion"/>
  </si>
  <si>
    <t>第2年的死亡给付</t>
    <phoneticPr fontId="3" type="noConversion"/>
  </si>
  <si>
    <t>第3年的死亡给付</t>
    <phoneticPr fontId="3" type="noConversion"/>
  </si>
  <si>
    <t>第3年的满期给付</t>
    <phoneticPr fontId="3" type="noConversion"/>
  </si>
  <si>
    <t>对FCFs的估计 @ Bgn of Y2</t>
    <phoneticPr fontId="3" type="noConversion"/>
  </si>
  <si>
    <t>IE70 适用B98-99段，该实体区分了与金融风险相关的假设的变动造成的效应和因自由量裁变动对履约现金流造成的效应。</t>
    <phoneticPr fontId="3" type="noConversion"/>
  </si>
  <si>
    <t>说明：改变了IE70的计算顺序。</t>
    <phoneticPr fontId="3" type="noConversion"/>
  </si>
  <si>
    <t>在第2年对FCF所做估计的变动</t>
    <phoneticPr fontId="3" type="noConversion"/>
  </si>
  <si>
    <t>未来现金串流的估计
（不使用折现法）</t>
    <phoneticPr fontId="3" type="noConversion"/>
  </si>
  <si>
    <t>未来现金串流现值估计</t>
    <phoneticPr fontId="3" type="noConversion"/>
  </si>
  <si>
    <t>第2年年初( @ 2年期10%)</t>
    <phoneticPr fontId="3" type="noConversion"/>
  </si>
  <si>
    <t>第2年年末，根据金融假设变动而作的修订（ @ 1年期7%）</t>
    <phoneticPr fontId="3" type="noConversion"/>
  </si>
  <si>
    <t>第2年中因为金融假设变动和行使自由量裁权之后的修订</t>
    <phoneticPr fontId="3" type="noConversion"/>
  </si>
  <si>
    <t>金融假设变动造成的影响（包括记账利息）</t>
    <phoneticPr fontId="3" type="noConversion"/>
  </si>
  <si>
    <t>行使自由量裁造成的影响（ @ 1年期7%）</t>
    <phoneticPr fontId="3" type="noConversion"/>
  </si>
  <si>
    <t>现金支付</t>
    <phoneticPr fontId="3" type="noConversion"/>
  </si>
  <si>
    <t>第2年年末</t>
    <phoneticPr fontId="3" type="noConversion"/>
  </si>
  <si>
    <t>IE71 【注意原文：一种可能的格式】用来整合根据第101段的要求计算第2年末的保险合同负债</t>
    <phoneticPr fontId="3" type="noConversion"/>
  </si>
  <si>
    <t>未来现金流现值估计</t>
    <phoneticPr fontId="3" type="noConversion"/>
  </si>
  <si>
    <t>保险合同负债</t>
    <phoneticPr fontId="3" type="noConversion"/>
  </si>
  <si>
    <t>期初余额</t>
    <phoneticPr fontId="3" type="noConversion"/>
  </si>
  <si>
    <t>保险融资费用</t>
    <phoneticPr fontId="3" type="noConversion"/>
  </si>
  <si>
    <t>与未来服务相关的变动：行使自由量裁</t>
    <phoneticPr fontId="3" type="noConversion"/>
  </si>
  <si>
    <t>与当前服务有关的变动</t>
    <phoneticPr fontId="3" type="noConversion"/>
  </si>
  <si>
    <t>现金流出</t>
    <phoneticPr fontId="3" type="noConversion"/>
  </si>
  <si>
    <t>期末余额</t>
    <phoneticPr fontId="3" type="noConversion"/>
  </si>
  <si>
    <t>解释如下：</t>
    <phoneticPr fontId="3" type="noConversion"/>
  </si>
  <si>
    <t>(a) 适用B97段，该实体没有因应与货币时间价值和金融风险的效应而调整合同组的CSM。这是因为这些变动与未来服务无关。适用段落87，该实体将这些变动确认为保险融资费用。由此，总额为195的保险融资费用是下述几项之和：
(i) 计息效应和金融假设变动效应，共计193，见IE70表中的d；
(ii) 与金融风险相关的假设变动对裁量现金流的变动造成的效应等于2，等于：
      1 用当前利率折现的裁量现金流变动效应的现值是57(IE70的表)；
       2  
(ii) 与金融风险相关的假设的变动对自由量裁现金流变动的影响是2，它等于：
      1  使用当前利率折现计算的自由量裁现金流变动的现值，为57；
      2  用初始确认时确定的利率折现计算自由量裁现金流变动的现值，为55.</t>
    <phoneticPr fontId="3" type="noConversion"/>
  </si>
  <si>
    <t>(b) 适用44(b)和B72(b)，该实体计算CSM账面价值的应计利息为10，等于用258的期初余额乘以在初始确认时为这个保险合同组确定的折现利率。这个利率适用于不会根据任何基础项目item收益率而变动的各种名义现金流。</t>
    <phoneticPr fontId="3" type="noConversion"/>
  </si>
  <si>
    <t>c) 适用44©和B98，该实体认为量裁现金流的变动与未来服务相关，因而会据此调整CSM。适用B96和B72c，用如下方法计算CSM的调整额，用10%折现未来现金流61，这个10%反映的是在该保险合同组的初始确认时确定的现金串流的特点。因此，DSF对CSM的调整额度为55=61÷(1+10%)。</t>
    <phoneticPr fontId="3" type="noConversion"/>
  </si>
  <si>
    <r>
      <t>(d) 适用44</t>
    </r>
    <r>
      <rPr>
        <sz val="11"/>
        <color theme="1"/>
        <rFont val="等线"/>
        <family val="3"/>
        <charset val="134"/>
        <scheme val="minor"/>
      </rPr>
      <t>€</t>
    </r>
    <r>
      <rPr>
        <sz val="11"/>
        <color theme="1"/>
        <rFont val="等线"/>
        <family val="2"/>
        <charset val="134"/>
        <scheme val="minor"/>
      </rPr>
      <t>和B119，该实体在损益表中确认的CSM数额按如下方法计算，将当期期末的CSM(在确认为损益之前)平均分配到当期所提供的保障单元和预期在未来提供的保障单元之上，即：
(i) 在分配至损益表之前的CSM数额为213(期初余额258＋利息10－与未来服务相关的变动额55)；
(ii) 本例中的保障单元总数＝各期内预计可获得保障的合同数的总和，这是因为每份合同都获得相同的保障。因此，当期(第2年)和最后一年的保障单元总数是394，即第2年的198和第3年的196之和；
(iii) 每个单元的CSM数额＝0.54＝213÷394；
(iv) 第2年在损益表中的确认的CSM=107=0.54*198。</t>
    </r>
    <phoneticPr fontId="3" type="noConversion"/>
  </si>
  <si>
    <t>【顺藤摸瓜，第44段为】</t>
    <phoneticPr fontId="3" type="noConversion"/>
  </si>
  <si>
    <t>44 For insurance contracts without direct participation features, the carrying amount of the contractual service margin of a group of contracts at the end of the reporting
period equals the carrying amount at the start of the reporting period adjusted for:
(a) the effect of any new contracts added to the group (see paragraph 28);
(b) interest accreted on the carrying amount of the contractual service margin during the reporting period, measured at the discount rates specified in paragraph B72(b);
(c) the changes in fulfilment cash flows relating to future service as specified in paragraphs B96–B100, except to the extent that:
(i) such increases in the fulfilment cash flows exceed the carrying amount of the contractual service margin, giving rise to a loss (see paragraph 48(a)); or
(ii) such decreases in the fulfilment cash flows are allocated to the loss component of the liability for remaining coverage applying paragraph 50(b).
(d) the effect of any currency exchange differences on the contractual service margin; and
(e) the amount recognised as insurance revenue because of the transfer of services in the period, determined by the allocation of the contractual service margin remaining at the end of the reporting period (before any allocation) over the current and remaining coverage period applying paragraph B119.</t>
    <phoneticPr fontId="3" type="noConversion"/>
  </si>
  <si>
    <t>44 对于没有直接分红属性的保险合同，一个合同组在报告期期末的CSM账面金额等于在期初账面金额基础上做如下调节：
(a) 加入本合同组的所有新合同 (第28段)；
(b) 该报告期内对CSM的记账利息，适用B72(b)载明的折现利率；
(c) 根据B96-B100载明的与未来服务相关的履约现金串流之变动，except to the extent that:
(i) FCF的增加超过了CSM的账面金额，从而导致亏损(第48(a)段)；或者
(ii) 适用50(b)段，FCF的增长被分配到未尽保障负债的损失部分中。
(d) 货币兑换对CSM的影响；以及
(e) 由于在本期发生的服务转移而被确认为保险收入的金额，计算方法的依据是将报告期期末的CSM分配为当前和未尽保障两部分，适用B119段。</t>
    <phoneticPr fontId="3" type="noConversion"/>
  </si>
  <si>
    <t>B119 An amount of the contractual service margin for a group of insurance contracts
is recognised in profit or loss in each period to reflect the services provided
under the group of insurance contracts in that period (see paragraphs 44(e), 45(e)
and 66(e)). The amount is determined by:
(a) identifying the coverage units in the group. The number of coverage
units in a group is the quantity of coverage provided by the contracts in
the group, determined by considering for each contract the quantity of
the benefits provided under a contract and its expected coverage
duration.
(b) allocating the contractual service margin at the end of the period (before
recognising any amounts in profit or loss to reflect the services provided
in the period) equally to each coverage unit provided in the current
period and expected to be provided in the future.
(c) recognising in profit or loss the amount allocated to coverage units
provided in the period.</t>
    <phoneticPr fontId="3" type="noConversion"/>
  </si>
  <si>
    <t>B119 在每个报告期，都会将保险合同组的CSM中的部分金额确认为损益，以反映在这个保险合同组之下，在这个期间内所提供的服务(参考44(e), 45(e)和66e)。这部分金额的计算方法如下：
(a) 识别合同组包含的保障单元（险位？）。合同组中的保障单元的数目是该组中所有合同提供的保障数量，计算时要考虑每一份合同所提供的给付数量和预期的保障持续期duration。
(b) 将期末的CSM平均分配到当期和预计未来各期的保障单元之上（在确认反映本期所提供服务造成的损益之前）。
C 在损益表中确认分配给当期所提供的保障单元的数额。</t>
    <phoneticPr fontId="3" type="noConversion"/>
  </si>
  <si>
    <t>B72 An entity shall use the following discount rates in applying IFRS 17:
(a) to measure the fulfilment cash flows—current discount rates applying paragraph 36;
(b) to determine the interest to accrete on the contractual service margin applying paragraph 44(b) for insurance contracts without direct participation features—discount rates determined at the date of initial recognition of a group of contracts, applying paragraph 36 to nominal cash flows that do not vary based on the returns on any underlying items;
(c) to measure the changes to the contractual service margin applying paragraph B96(a)–B96(c) for insurance contracts without direct participation features—discount rates applying paragraph 36 determined on initial recognition;
(d) for groups of contracts applying the premium allocation approach that have a significant financing component, to adjust the carrying amount of the liability for remaining coverage applying paragraph 56—discount rates applying paragraph 36 determined on initial recognition;
(e) if an entity chooses to disaggregate insurance finance income or expenses between profit or loss and other comprehensive income (see paragraph 88), to determine the amount of the insurance finance income or expenses included in profit or loss:
(i) for groups of insurance contracts for which changes in assumptions that relate to financial risk do not have a substantial effect on the amounts paid to policyholders, applying paragraph B131—discount rates determined at the date of initial recognition of a group of contracts, applying paragraph 36 to nominal cash flows that do not vary based on the returns on any underlying items;
(ii) for groups of insurance contracts for which changes in assumptions that relate to financial risk have a substantial effect on the amounts paid to policyholders, applying paragraph B132(a)(i)—discount rates that allocate the remaining revised expected finance income or expenses over the remaining duration of the group of contracts at a constant rate; and 
(iii) for groups of contracts applying the premium allocation approach applying paragraphs 59(b) and B133—discount rates determined at the date of the incurred claim, applying paragraph 36 to nominal cash flows that do not vary based on the returns on any underlying items.</t>
    <phoneticPr fontId="3" type="noConversion"/>
  </si>
  <si>
    <t xml:space="preserve">B72 实体在适用IFRS 17的过程中应当按下述方式确定折现利率：
a. 计量履约现金流的时候适用36段，使用当前折现利率；
b. 无分红特征的保险合同在确定CSM记账利率时适用44(b)，即在该保险合同组的初始确认日确定下来的折现利率(复数)，因为不随任何基础项目变动的名义现金流应当适用第36段。
C. 无分红特征的保险合同的CSM变动在计量的时候适用B96a-B96c，理由同上，适用36段，在IC时确定的折现利率；
d. </t>
    <phoneticPr fontId="3" type="noConversion"/>
  </si>
  <si>
    <t>第36段是选择折现利率的总原则</t>
    <phoneticPr fontId="3" type="noConversion"/>
  </si>
  <si>
    <t>36 An entity shall adjust the estimates of future cash flows to reflect the time value of money and the financial risks related to those cash flows, to the extent that the financial risks are not included in the estimates of cash flows. The discount rates applied to the estimates of the future cash flows described in paragraph 33 shall:
(a) reflect the time value of money, the characteristics of the cash flows and the liquidity characteristics of the insurance contracts;
(b) be consistent with observable current market prices (if any) for financial instruments with cash flows whose characteristics are consistent with those of the insurance contracts, in terms of, for example, timing, currency and liquidity; and 
(c) exclude the effect of factors that influence such observable market prices but do not affect the future cash flows of the insurance contracts.</t>
    <phoneticPr fontId="3" type="noConversion"/>
  </si>
  <si>
    <t>36 实体应当对未来现金串流做调整，以反映货币时间价值和与这些现金串流相关的金融风险群，必须是在现金串流估计中没有纳入的金融风险群。在第33段描述过的适用于未来现金串流估计的折现利率应当：
a. 反映货币时间价值、现金串流的特点和保险合同的流动性特点；
b. 与可观测的</t>
    <phoneticPr fontId="3" type="noConversion"/>
  </si>
  <si>
    <t>IE71 保险合同负债计算和CSM调整</t>
    <phoneticPr fontId="3" type="noConversion"/>
  </si>
  <si>
    <t>非金融风险的风险调整</t>
    <phoneticPr fontId="3" type="noConversion"/>
  </si>
  <si>
    <t>与未来服务有关的变动：
行使量裁权</t>
    <phoneticPr fontId="3" type="noConversion"/>
  </si>
  <si>
    <t>与当期服务有关的变动</t>
    <phoneticPr fontId="3" type="noConversion"/>
  </si>
  <si>
    <t>43 The contractual service margin at the end of the reporting period</t>
  </si>
  <si>
    <t>represents the profit in the group of insurance contracts that has not yet</t>
  </si>
  <si>
    <t>been recognised in profit or loss because it relates to the future service to</t>
  </si>
  <si>
    <t>be provided under the contracts in the group.</t>
  </si>
  <si>
    <t>报告期末的CSM代表了这组保险合同还没有得到确认的损益，因为它与该组保单在未来的服务有关。</t>
    <phoneticPr fontId="3" type="noConversion"/>
  </si>
  <si>
    <t>(b)利率部分interest accreted on the carrying amount of the contractual service margin during the reporting period, measured at the discount rates
specified in paragraph B72(b);</t>
    <phoneticPr fontId="3" type="noConversion"/>
  </si>
  <si>
    <t>B72(Page 61)(b)款features—discount rates determined at the date of initial
recognition of a group of contracts, applying paragraph 36 to nominal
cash flows that do not vary based on the returns on any underlying
items;</t>
    <phoneticPr fontId="3" type="noConversion"/>
  </si>
  <si>
    <t>(Page 19)44e(e) the amount recognised as insurance revenue because of the transfer of services in the period, determined by the llocation of the contractual
service margin remaining at the end of the reporting period (before any
allocation) over the current and remaining coverage period applying
paragraph B119.</t>
    <phoneticPr fontId="3" type="noConversion"/>
  </si>
  <si>
    <t>(Page 70 )B119An amount of the contractual service margin for a group of insurance contracts
is recognised in profit or loss in each period to reflect the services provided
under the group of insurance contracts in that period (see paragraphs 44(e), 45(e)
and 66(e)). The amount is determined by: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</si>
</sst>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Red]&quot;¥&quot;\-#,##0.00"/>
    <numFmt numFmtId="176" formatCode="#,##0_);\(#,##0\)"/>
    <numFmt numFmtId="177" formatCode="0.0"/>
    <numFmt numFmtId="178" formatCode="0.0000"/>
    <numFmt numFmtId="179" formatCode="#\ ???/???"/>
  </numFmts>
  <fonts count="14" x14ac:knownFonts="1">
    <font>
      <sz val="11"/>
      <color theme="1"/>
      <name val="等线"/>
      <family val="2"/>
      <charset val="134"/>
      <scheme val="minor"/>
    </font>
    <font>
      <sz val="11"/>
      <color theme="1"/>
      <name val="等线"/>
      <family val="2"/>
      <charset val="134"/>
      <scheme val="minor"/>
    </font>
    <font>
      <sz val="11"/>
      <color rgb="FFFF0000"/>
      <name val="等线"/>
      <family val="2"/>
      <charset val="134"/>
      <scheme val="minor"/>
    </font>
    <font>
      <sz val="9"/>
      <name val="等线"/>
      <family val="2"/>
      <charset val="134"/>
      <scheme val="minor"/>
    </font>
    <font>
      <b/>
      <sz val="11"/>
      <color rgb="FFFF0000"/>
      <name val="等线"/>
      <family val="3"/>
      <charset val="134"/>
      <scheme val="minor"/>
    </font>
    <font>
      <b/>
      <sz val="11"/>
      <color rgb="FF00B0F0"/>
      <name val="等线"/>
      <family val="3"/>
      <charset val="134"/>
      <scheme val="minor"/>
    </font>
    <font>
      <b/>
      <sz val="11"/>
      <color rgb="FF0070C0"/>
      <name val="等线"/>
      <family val="3"/>
      <charset val="134"/>
      <scheme val="minor"/>
    </font>
    <font>
      <b/>
      <sz val="11"/>
      <color theme="1"/>
      <name val="等线"/>
      <family val="3"/>
      <charset val="134"/>
      <scheme val="minor"/>
    </font>
    <font>
      <sz val="11"/>
      <color theme="4"/>
      <name val="等线"/>
      <family val="2"/>
      <charset val="134"/>
      <scheme val="minor"/>
    </font>
    <font>
      <sz val="11"/>
      <color rgb="FF0070C0"/>
      <name val="等线"/>
      <family val="2"/>
      <charset val="134"/>
      <scheme val="minor"/>
    </font>
    <font>
      <sz val="11"/>
      <color theme="1"/>
      <name val="等线"/>
      <family val="3"/>
      <charset val="134"/>
      <scheme val="minor"/>
    </font>
    <font>
      <u val="doubleAccounting"/>
      <sz val="11"/>
      <color theme="1"/>
      <name val="等线"/>
      <family val="2"/>
      <charset val="134"/>
      <scheme val="minor"/>
    </font>
    <font>
      <b/>
      <sz val="9"/>
      <color indexed="81"/>
      <name val="宋体"/>
      <family val="3"/>
      <charset val="134"/>
    </font>
    <font>
      <sz val="9"/>
      <color indexed="81"/>
      <name val="宋体"/>
      <family val="3"/>
      <charset val="13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rgb="FFFFC000"/>
        <bgColor indexed="64"/>
      </patternFill>
    </fill>
  </fills>
  <borders count="3">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46">
    <xf numFmtId="0" fontId="0" fillId="0" borderId="0" xfId="0">
      <alignment vertical="center"/>
    </xf>
    <xf numFmtId="176" fontId="0" fillId="0" borderId="0" xfId="0" applyNumberFormat="1">
      <alignment vertical="center"/>
    </xf>
    <xf numFmtId="0" fontId="4" fillId="0" borderId="0" xfId="0" applyFont="1">
      <alignment vertical="center"/>
    </xf>
    <xf numFmtId="10" fontId="0" fillId="0" borderId="0" xfId="1" applyNumberFormat="1" applyFont="1">
      <alignment vertical="center"/>
    </xf>
    <xf numFmtId="177" fontId="0" fillId="0" borderId="0" xfId="0" applyNumberFormat="1">
      <alignment vertical="center"/>
    </xf>
    <xf numFmtId="0" fontId="4" fillId="2" borderId="0" xfId="0" applyFont="1" applyFill="1">
      <alignment vertical="center"/>
    </xf>
    <xf numFmtId="0" fontId="5" fillId="0" borderId="0" xfId="0" applyFont="1">
      <alignment vertical="center"/>
    </xf>
    <xf numFmtId="0" fontId="0" fillId="2" borderId="0" xfId="0" applyFill="1">
      <alignment vertical="center"/>
    </xf>
    <xf numFmtId="10" fontId="5" fillId="2" borderId="0" xfId="1" applyNumberFormat="1" applyFont="1" applyFill="1">
      <alignment vertical="center"/>
    </xf>
    <xf numFmtId="178" fontId="0" fillId="0" borderId="0" xfId="0" applyNumberFormat="1">
      <alignment vertical="center"/>
    </xf>
    <xf numFmtId="9" fontId="6" fillId="0" borderId="0" xfId="1" applyFont="1">
      <alignment vertical="center"/>
    </xf>
    <xf numFmtId="10" fontId="5" fillId="3" borderId="0" xfId="1" applyNumberFormat="1" applyFont="1" applyFill="1" applyBorder="1">
      <alignment vertical="center"/>
    </xf>
    <xf numFmtId="176" fontId="2" fillId="0" borderId="0" xfId="0" applyNumberFormat="1" applyFont="1">
      <alignment vertical="center"/>
    </xf>
    <xf numFmtId="176" fontId="5" fillId="2" borderId="0" xfId="0" applyNumberFormat="1" applyFont="1" applyFill="1">
      <alignment vertical="center"/>
    </xf>
    <xf numFmtId="0" fontId="2" fillId="2" borderId="0" xfId="0" applyFont="1" applyFill="1">
      <alignment vertical="center"/>
    </xf>
    <xf numFmtId="1" fontId="2" fillId="2" borderId="0" xfId="0" applyNumberFormat="1" applyFont="1" applyFill="1">
      <alignment vertical="center"/>
    </xf>
    <xf numFmtId="1" fontId="0" fillId="0" borderId="0" xfId="0" applyNumberFormat="1">
      <alignment vertical="center"/>
    </xf>
    <xf numFmtId="176" fontId="4" fillId="2" borderId="0" xfId="0" applyNumberFormat="1" applyFont="1" applyFill="1">
      <alignment vertical="center"/>
    </xf>
    <xf numFmtId="176" fontId="0" fillId="4" borderId="0" xfId="0" applyNumberFormat="1" applyFill="1">
      <alignment vertical="center"/>
    </xf>
    <xf numFmtId="0" fontId="7" fillId="0" borderId="0" xfId="0" applyFont="1">
      <alignment vertical="center"/>
    </xf>
    <xf numFmtId="9" fontId="0" fillId="0" borderId="0" xfId="1" applyFont="1">
      <alignment vertical="center"/>
    </xf>
    <xf numFmtId="179" fontId="0" fillId="0" borderId="0" xfId="0" applyNumberFormat="1">
      <alignment vertical="center"/>
    </xf>
    <xf numFmtId="9" fontId="8" fillId="0" borderId="0" xfId="1" applyFont="1">
      <alignment vertical="center"/>
    </xf>
    <xf numFmtId="176" fontId="9" fillId="2" borderId="0" xfId="0" applyNumberFormat="1" applyFont="1" applyFill="1">
      <alignment vertical="center"/>
    </xf>
    <xf numFmtId="0" fontId="0" fillId="0" borderId="0" xfId="0" applyAlignment="1">
      <alignment vertical="top"/>
    </xf>
    <xf numFmtId="8" fontId="0" fillId="0" borderId="0" xfId="0" applyNumberFormat="1">
      <alignment vertical="center"/>
    </xf>
    <xf numFmtId="0" fontId="0" fillId="0" borderId="0" xfId="0" applyAlignment="1">
      <alignment vertical="center" wrapText="1"/>
    </xf>
    <xf numFmtId="176" fontId="0" fillId="2" borderId="0" xfId="0" applyNumberFormat="1" applyFill="1">
      <alignment vertical="center"/>
    </xf>
    <xf numFmtId="176" fontId="0" fillId="0" borderId="1" xfId="0" applyNumberFormat="1" applyBorder="1">
      <alignment vertical="center"/>
    </xf>
    <xf numFmtId="0" fontId="7" fillId="0" borderId="0" xfId="0" applyFont="1" applyAlignment="1">
      <alignment horizontal="center" vertical="center" wrapText="1"/>
    </xf>
    <xf numFmtId="0" fontId="0" fillId="0" borderId="0" xfId="0" applyAlignment="1">
      <alignment vertical="top" wrapText="1"/>
    </xf>
    <xf numFmtId="49" fontId="0" fillId="0" borderId="0" xfId="0" applyNumberFormat="1" applyAlignment="1">
      <alignment vertical="center" wrapText="1"/>
    </xf>
    <xf numFmtId="0" fontId="11" fillId="0" borderId="0" xfId="0" applyFont="1">
      <alignment vertical="center"/>
    </xf>
    <xf numFmtId="0" fontId="0" fillId="0" borderId="0" xfId="0" applyAlignment="1">
      <alignment horizontal="left" vertical="center"/>
    </xf>
    <xf numFmtId="0" fontId="0" fillId="0" borderId="0" xfId="0" applyAlignment="1">
      <alignment vertical="top" wrapText="1"/>
    </xf>
    <xf numFmtId="0" fontId="7"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horizontal="center" vertical="center"/>
    </xf>
    <xf numFmtId="0" fontId="0" fillId="0" borderId="2" xfId="0" applyBorder="1" applyAlignment="1">
      <alignment vertical="center" wrapText="1"/>
    </xf>
    <xf numFmtId="0" fontId="7" fillId="0" borderId="2" xfId="0" applyFont="1" applyBorder="1" applyAlignment="1">
      <alignment horizontal="center" vertical="center" wrapText="1"/>
    </xf>
    <xf numFmtId="0" fontId="0" fillId="0" borderId="2" xfId="0" applyBorder="1">
      <alignment vertical="center"/>
    </xf>
    <xf numFmtId="0" fontId="7" fillId="0" borderId="2" xfId="0" applyFont="1" applyBorder="1">
      <alignment vertical="center"/>
    </xf>
    <xf numFmtId="1" fontId="0" fillId="0" borderId="2" xfId="0" applyNumberFormat="1" applyBorder="1">
      <alignment vertical="center"/>
    </xf>
    <xf numFmtId="176" fontId="0" fillId="0" borderId="2" xfId="0" applyNumberFormat="1" applyBorder="1">
      <alignment vertical="center"/>
    </xf>
    <xf numFmtId="1" fontId="0" fillId="2" borderId="2" xfId="0" applyNumberFormat="1" applyFill="1" applyBorder="1">
      <alignment vertical="center"/>
    </xf>
    <xf numFmtId="1" fontId="0" fillId="5" borderId="2" xfId="0" applyNumberFormat="1" applyFill="1" applyBorder="1">
      <alignment vertical="center"/>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fece&#20998;&#26512;&#37197;&#22871;&#24037;&#20316;&#318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流程从保费开始"/>
      <sheetName val="正文附录例6"/>
      <sheetName val="例1"/>
      <sheetName val="第117页"/>
      <sheetName val="Eff83页"/>
      <sheetName val="Acquisition Exp说明"/>
      <sheetName val="保险收入说明"/>
      <sheetName val="CSM说明"/>
      <sheetName val="Sheet1"/>
    </sheetNames>
    <sheetDataSet>
      <sheetData sheetId="0"/>
      <sheetData sheetId="1">
        <row r="15">
          <cell r="D15">
            <v>0.1</v>
          </cell>
          <cell r="E15">
            <v>0.90909090909090906</v>
          </cell>
        </row>
        <row r="16">
          <cell r="D16">
            <v>0.04</v>
          </cell>
        </row>
      </sheetData>
      <sheetData sheetId="2"/>
      <sheetData sheetId="3">
        <row r="5">
          <cell r="B5">
            <v>0.05</v>
          </cell>
          <cell r="C5">
            <v>0.95238095238095233</v>
          </cell>
        </row>
        <row r="8">
          <cell r="B8">
            <v>0.02</v>
          </cell>
        </row>
        <row r="9">
          <cell r="B9">
            <v>0.04</v>
          </cell>
          <cell r="C9">
            <v>0.96153846153846145</v>
          </cell>
        </row>
        <row r="16">
          <cell r="B16">
            <v>0.05</v>
          </cell>
        </row>
        <row r="17">
          <cell r="B17">
            <v>1000</v>
          </cell>
        </row>
      </sheetData>
      <sheetData sheetId="4"/>
      <sheetData sheetId="5"/>
      <sheetData sheetId="6"/>
      <sheetData sheetId="7"/>
      <sheetData sheetId="8"/>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EF7D5-362F-4B32-AE5D-0E678BD2D7B9}">
  <dimension ref="A1:L155"/>
  <sheetViews>
    <sheetView tabSelected="1" zoomScaleNormal="100" workbookViewId="0">
      <selection activeCell="G13" sqref="G13"/>
    </sheetView>
  </sheetViews>
  <sheetFormatPr defaultRowHeight="13.8" x14ac:dyDescent="0.25"/>
  <cols>
    <col min="1" max="1" width="8.44140625" customWidth="1"/>
    <col min="2" max="2" width="28.88671875" customWidth="1"/>
    <col min="3" max="3" width="17.88671875" customWidth="1"/>
    <col min="4" max="4" width="10.77734375" customWidth="1"/>
    <col min="5" max="5" width="19.5546875" customWidth="1"/>
    <col min="6" max="6" width="11.33203125" customWidth="1"/>
    <col min="9" max="9" width="10.77734375" customWidth="1"/>
    <col min="10" max="10" width="10.44140625" customWidth="1"/>
    <col min="11" max="11" width="10" bestFit="1" customWidth="1"/>
    <col min="12" max="12" width="10.44140625" customWidth="1"/>
  </cols>
  <sheetData>
    <row r="1" spans="2:12" x14ac:dyDescent="0.25">
      <c r="C1" t="s">
        <v>0</v>
      </c>
    </row>
    <row r="2" spans="2:12" x14ac:dyDescent="0.25">
      <c r="B2" t="s">
        <v>1</v>
      </c>
    </row>
    <row r="4" spans="2:12" x14ac:dyDescent="0.25">
      <c r="B4" t="s">
        <v>2</v>
      </c>
      <c r="I4" s="1">
        <f>D36</f>
        <v>67.679901237812373</v>
      </c>
      <c r="J4" s="1">
        <f t="shared" ref="J4:K4" si="0">E36</f>
        <v>60.228220949673869</v>
      </c>
      <c r="K4" s="1">
        <f t="shared" si="0"/>
        <v>51.943560179322958</v>
      </c>
    </row>
    <row r="5" spans="2:12" x14ac:dyDescent="0.25">
      <c r="B5" t="s">
        <v>3</v>
      </c>
      <c r="C5" t="s">
        <v>4</v>
      </c>
      <c r="D5" s="2">
        <v>200</v>
      </c>
      <c r="H5" s="3">
        <v>0.03</v>
      </c>
      <c r="I5" s="4">
        <f t="dataTable" ref="I5:K10" dt2D="0" dtr="0" r1="D16"/>
        <v>70.165120458289039</v>
      </c>
      <c r="J5" s="4">
        <v>60.135637072216468</v>
      </c>
      <c r="K5" s="4">
        <v>49.212952431468239</v>
      </c>
      <c r="L5" s="4"/>
    </row>
    <row r="6" spans="2:12" x14ac:dyDescent="0.25">
      <c r="C6" t="s">
        <v>5</v>
      </c>
      <c r="D6" s="2">
        <v>3</v>
      </c>
      <c r="H6" s="3">
        <v>0.04</v>
      </c>
      <c r="I6" s="4">
        <v>67.679901237812373</v>
      </c>
      <c r="J6" s="4">
        <v>60.228220949673869</v>
      </c>
      <c r="K6" s="4">
        <v>51.943560179322958</v>
      </c>
      <c r="L6" s="4"/>
    </row>
    <row r="7" spans="2:12" x14ac:dyDescent="0.25">
      <c r="B7" t="s">
        <v>6</v>
      </c>
      <c r="D7" t="s">
        <v>7</v>
      </c>
      <c r="H7" s="3">
        <v>0.05</v>
      </c>
      <c r="I7" s="4">
        <v>65.194682017335253</v>
      </c>
      <c r="J7" s="4">
        <v>60.296078788186151</v>
      </c>
      <c r="K7" s="4">
        <v>54.70055061073208</v>
      </c>
      <c r="L7" s="4"/>
    </row>
    <row r="8" spans="2:12" x14ac:dyDescent="0.25">
      <c r="B8" t="s">
        <v>8</v>
      </c>
      <c r="C8" t="s">
        <v>9</v>
      </c>
      <c r="D8" t="s">
        <v>10</v>
      </c>
      <c r="H8" s="3">
        <v>0.06</v>
      </c>
      <c r="I8" s="4">
        <v>62.709462796858588</v>
      </c>
      <c r="J8" s="4">
        <v>60.339210587753769</v>
      </c>
      <c r="K8" s="4">
        <v>57.483923725694694</v>
      </c>
      <c r="L8" s="4"/>
    </row>
    <row r="9" spans="2:12" x14ac:dyDescent="0.25">
      <c r="C9" t="s">
        <v>11</v>
      </c>
      <c r="D9" s="5">
        <v>15</v>
      </c>
      <c r="H9" s="3">
        <v>7.0000000000000007E-2</v>
      </c>
      <c r="I9" s="4">
        <v>60.224243576381468</v>
      </c>
      <c r="J9" s="4">
        <v>60.357616348376723</v>
      </c>
      <c r="K9" s="4">
        <v>60.293679524212166</v>
      </c>
      <c r="L9" s="4"/>
    </row>
    <row r="10" spans="2:12" x14ac:dyDescent="0.25">
      <c r="C10" t="s">
        <v>12</v>
      </c>
      <c r="D10" t="s">
        <v>13</v>
      </c>
      <c r="H10" s="3">
        <v>0.08</v>
      </c>
      <c r="I10" s="4">
        <v>57.739024355904803</v>
      </c>
      <c r="J10" s="4">
        <v>60.351296070054104</v>
      </c>
      <c r="K10" s="4">
        <v>63.129818006283131</v>
      </c>
      <c r="L10" s="4"/>
    </row>
    <row r="11" spans="2:12" x14ac:dyDescent="0.25">
      <c r="B11" t="s">
        <v>14</v>
      </c>
      <c r="C11">
        <v>1</v>
      </c>
      <c r="D11">
        <v>2</v>
      </c>
      <c r="E11">
        <v>3</v>
      </c>
      <c r="H11" s="3"/>
    </row>
    <row r="12" spans="2:12" x14ac:dyDescent="0.25">
      <c r="B12" t="s">
        <v>15</v>
      </c>
      <c r="C12" s="6">
        <v>2</v>
      </c>
      <c r="D12" s="6">
        <v>2</v>
      </c>
      <c r="E12" s="6">
        <v>2</v>
      </c>
      <c r="H12" s="3"/>
    </row>
    <row r="13" spans="2:12" x14ac:dyDescent="0.25">
      <c r="B13" t="s">
        <v>16</v>
      </c>
      <c r="C13" s="7">
        <f>D5</f>
        <v>200</v>
      </c>
      <c r="D13" s="7">
        <f>C13-C12</f>
        <v>198</v>
      </c>
      <c r="E13" s="7">
        <f>D13-D12</f>
        <v>196</v>
      </c>
    </row>
    <row r="14" spans="2:12" x14ac:dyDescent="0.25">
      <c r="B14" t="s">
        <v>17</v>
      </c>
    </row>
    <row r="15" spans="2:12" x14ac:dyDescent="0.25">
      <c r="C15" t="s">
        <v>18</v>
      </c>
      <c r="D15" s="8">
        <v>0.1</v>
      </c>
      <c r="E15" s="9">
        <f>1/(1+R_FCO)</f>
        <v>0.90909090909090906</v>
      </c>
    </row>
    <row r="16" spans="2:12" x14ac:dyDescent="0.25">
      <c r="C16" t="s">
        <v>19</v>
      </c>
      <c r="D16" s="8">
        <v>0.04</v>
      </c>
      <c r="K16" s="1"/>
    </row>
    <row r="17" spans="2:12" x14ac:dyDescent="0.25">
      <c r="B17" t="s">
        <v>20</v>
      </c>
      <c r="C17" s="10">
        <v>0.1</v>
      </c>
      <c r="D17" s="10">
        <v>0.1</v>
      </c>
      <c r="E17" s="10">
        <v>0.1</v>
      </c>
    </row>
    <row r="18" spans="2:12" x14ac:dyDescent="0.25">
      <c r="B18" t="s">
        <v>21</v>
      </c>
      <c r="C18" s="10">
        <v>0.03</v>
      </c>
      <c r="D18" s="10">
        <v>0.03</v>
      </c>
      <c r="E18" s="10">
        <v>0.03</v>
      </c>
    </row>
    <row r="19" spans="2:12" x14ac:dyDescent="0.25">
      <c r="D19" s="11"/>
    </row>
    <row r="20" spans="2:12" x14ac:dyDescent="0.25">
      <c r="D20" s="10"/>
    </row>
    <row r="21" spans="2:12" x14ac:dyDescent="0.25">
      <c r="C21" t="s">
        <v>22</v>
      </c>
      <c r="D21">
        <v>1</v>
      </c>
      <c r="E21">
        <v>2</v>
      </c>
      <c r="F21">
        <v>3</v>
      </c>
    </row>
    <row r="22" spans="2:12" x14ac:dyDescent="0.25">
      <c r="B22" t="s">
        <v>23</v>
      </c>
      <c r="C22" s="1">
        <f>-D5*D9</f>
        <v>-3000</v>
      </c>
      <c r="D22" s="1">
        <v>0</v>
      </c>
      <c r="E22" s="1">
        <v>0</v>
      </c>
      <c r="F22" s="1">
        <v>0</v>
      </c>
      <c r="H22" s="1"/>
      <c r="I22" t="s">
        <v>24</v>
      </c>
    </row>
    <row r="23" spans="2:12" x14ac:dyDescent="0.25">
      <c r="B23" t="s">
        <v>25</v>
      </c>
      <c r="C23" s="12">
        <f>-C64</f>
        <v>2595.3248180296309</v>
      </c>
      <c r="D23" s="12">
        <f>-C65</f>
        <v>2823.429299832595</v>
      </c>
      <c r="E23" s="12">
        <f>-C66</f>
        <v>3072.8482570158544</v>
      </c>
      <c r="F23" s="1">
        <v>0</v>
      </c>
      <c r="H23" s="12"/>
      <c r="I23" t="s">
        <v>26</v>
      </c>
    </row>
    <row r="24" spans="2:12" x14ac:dyDescent="0.25">
      <c r="B24" t="s">
        <v>27</v>
      </c>
      <c r="C24" s="1">
        <f>C22+C23</f>
        <v>-404.67518197036907</v>
      </c>
      <c r="D24" s="1">
        <f t="shared" ref="D24:F24" si="1">D22+D23</f>
        <v>2823.429299832595</v>
      </c>
      <c r="E24" s="1">
        <f t="shared" si="1"/>
        <v>3072.8482570158544</v>
      </c>
      <c r="F24" s="1">
        <f t="shared" si="1"/>
        <v>0</v>
      </c>
    </row>
    <row r="25" spans="2:12" x14ac:dyDescent="0.25">
      <c r="B25" t="s">
        <v>28</v>
      </c>
      <c r="C25" s="13">
        <v>30</v>
      </c>
      <c r="D25" s="13">
        <v>20</v>
      </c>
      <c r="E25" s="13">
        <v>10</v>
      </c>
      <c r="F25" s="1"/>
      <c r="I25" t="s">
        <v>29</v>
      </c>
    </row>
    <row r="26" spans="2:12" x14ac:dyDescent="0.25">
      <c r="B26" t="s">
        <v>30</v>
      </c>
      <c r="C26" s="1">
        <f>C24+C25</f>
        <v>-374.67518197036907</v>
      </c>
      <c r="D26" s="1">
        <f t="shared" ref="D26:E26" si="2">D24+D25</f>
        <v>2843.429299832595</v>
      </c>
      <c r="E26" s="1">
        <f t="shared" si="2"/>
        <v>3082.8482570158544</v>
      </c>
      <c r="F26" s="1"/>
      <c r="I26" t="s">
        <v>31</v>
      </c>
      <c r="L26" t="s">
        <v>32</v>
      </c>
    </row>
    <row r="27" spans="2:12" x14ac:dyDescent="0.25">
      <c r="B27" t="s">
        <v>33</v>
      </c>
      <c r="C27" s="1">
        <f>0-C26</f>
        <v>374.67518197036907</v>
      </c>
      <c r="D27" s="1">
        <f>C27*(1+R_csm)/SUM(C13:E13)*SUM(D13:E13)</f>
        <v>258.4627989295933</v>
      </c>
      <c r="E27" s="1">
        <f>D27*(1+R_csm)/SUM(D13:F13)*SUM(E13:F13)</f>
        <v>133.71841861372667</v>
      </c>
      <c r="F27" s="1"/>
      <c r="H27" t="s">
        <v>34</v>
      </c>
      <c r="L27" t="s">
        <v>35</v>
      </c>
    </row>
    <row r="28" spans="2:12" x14ac:dyDescent="0.25">
      <c r="B28" s="7" t="s">
        <v>36</v>
      </c>
      <c r="I28" t="s">
        <v>37</v>
      </c>
    </row>
    <row r="29" spans="2:12" x14ac:dyDescent="0.25">
      <c r="B29" t="s">
        <v>38</v>
      </c>
      <c r="C29" t="s">
        <v>22</v>
      </c>
      <c r="D29" t="s">
        <v>39</v>
      </c>
      <c r="I29" t="s">
        <v>40</v>
      </c>
      <c r="J29" t="s">
        <v>41</v>
      </c>
      <c r="K29" t="s">
        <v>42</v>
      </c>
      <c r="L29" t="s">
        <v>43</v>
      </c>
    </row>
    <row r="30" spans="2:12" x14ac:dyDescent="0.25">
      <c r="B30" t="s">
        <v>44</v>
      </c>
      <c r="C30" s="14">
        <f>ABS(C22)</f>
        <v>3000</v>
      </c>
      <c r="D30" s="1">
        <f>C30*(1-C18)*(1+C17)+D49</f>
        <v>3169.5720000000006</v>
      </c>
      <c r="E30" s="1">
        <f>(D30-D36)*(1-D18)*(1+D17)+D54</f>
        <v>3276.7948965792548</v>
      </c>
      <c r="F30" s="1">
        <f>(E30-E36)*(1-E18)*(1+E17)+D59</f>
        <v>3397.5854889914831</v>
      </c>
    </row>
    <row r="31" spans="2:12" x14ac:dyDescent="0.25">
      <c r="C31" s="14" t="s">
        <v>45</v>
      </c>
    </row>
    <row r="32" spans="2:12" x14ac:dyDescent="0.25">
      <c r="B32" t="s">
        <v>46</v>
      </c>
      <c r="C32" s="15">
        <f>ABS(C23)</f>
        <v>2595.3248180296309</v>
      </c>
      <c r="D32" s="16">
        <f t="shared" ref="D32:E32" si="3">ABS(D23)</f>
        <v>2823.429299832595</v>
      </c>
      <c r="E32" s="16">
        <f t="shared" si="3"/>
        <v>3072.8482570158544</v>
      </c>
      <c r="F32" s="1">
        <f>D61</f>
        <v>3345.6419288121601</v>
      </c>
    </row>
    <row r="33" spans="1:9" x14ac:dyDescent="0.25">
      <c r="A33" t="s">
        <v>47</v>
      </c>
      <c r="B33" t="s">
        <v>48</v>
      </c>
      <c r="C33" s="1">
        <f>C25</f>
        <v>30</v>
      </c>
      <c r="D33" s="1">
        <f>D25</f>
        <v>20</v>
      </c>
      <c r="E33" s="1">
        <f>E25</f>
        <v>10</v>
      </c>
      <c r="F33">
        <v>0</v>
      </c>
    </row>
    <row r="34" spans="1:9" x14ac:dyDescent="0.25">
      <c r="B34" t="s">
        <v>33</v>
      </c>
      <c r="C34" s="1">
        <f>C27</f>
        <v>374.67518197036907</v>
      </c>
      <c r="D34" s="1">
        <f t="shared" ref="D34:E34" si="4">D27</f>
        <v>258.4627989295933</v>
      </c>
      <c r="E34" s="1">
        <f t="shared" si="4"/>
        <v>133.71841861372667</v>
      </c>
      <c r="F34">
        <v>0</v>
      </c>
    </row>
    <row r="35" spans="1:9" x14ac:dyDescent="0.25">
      <c r="B35" t="s">
        <v>49</v>
      </c>
      <c r="C35" s="1">
        <f>SUM(C32:C34)</f>
        <v>3000</v>
      </c>
      <c r="D35" s="1">
        <f>SUM(D32:D34)</f>
        <v>3101.8920987621882</v>
      </c>
      <c r="E35" s="1">
        <f>SUM(E32:E34)</f>
        <v>3216.5666756295809</v>
      </c>
      <c r="F35" s="1">
        <f>SUM(F32:F34)</f>
        <v>3345.6419288121601</v>
      </c>
    </row>
    <row r="36" spans="1:9" x14ac:dyDescent="0.25">
      <c r="B36" t="s">
        <v>50</v>
      </c>
      <c r="D36" s="1">
        <f>MAX(D30-D35,0)</f>
        <v>67.679901237812373</v>
      </c>
      <c r="E36" s="1">
        <f t="shared" ref="E36:F36" si="5">MAX(E30-E35,0)</f>
        <v>60.228220949673869</v>
      </c>
      <c r="F36" s="1">
        <f t="shared" si="5"/>
        <v>51.943560179322958</v>
      </c>
      <c r="G36" s="17">
        <f>SUM(D36:F36)</f>
        <v>179.8516823668092</v>
      </c>
    </row>
    <row r="37" spans="1:9" x14ac:dyDescent="0.25">
      <c r="B37" t="s">
        <v>51</v>
      </c>
      <c r="D37" s="1">
        <f>D30</f>
        <v>3169.5720000000006</v>
      </c>
      <c r="E37" s="1">
        <f>D37*(1-D18)*(1+D17)+D54</f>
        <v>3349.0093512000008</v>
      </c>
      <c r="F37" s="1">
        <f>E37*(1-E18)*(1+E17)+E54</f>
        <v>3573.4030787405022</v>
      </c>
      <c r="G37" s="17"/>
    </row>
    <row r="38" spans="1:9" x14ac:dyDescent="0.25">
      <c r="B38" t="s">
        <v>52</v>
      </c>
      <c r="D38" s="1">
        <f>D37-D35</f>
        <v>67.679901237812373</v>
      </c>
      <c r="E38" s="1">
        <f t="shared" ref="E38:F38" si="6">E37-E35</f>
        <v>132.44267557041985</v>
      </c>
      <c r="F38" s="1">
        <f t="shared" si="6"/>
        <v>227.76114992834209</v>
      </c>
      <c r="G38" s="17">
        <f>(C33+C34)*(1+R_FCO)^D6</f>
        <v>538.62266720256139</v>
      </c>
    </row>
    <row r="39" spans="1:9" x14ac:dyDescent="0.25">
      <c r="C39" t="s">
        <v>53</v>
      </c>
      <c r="D39" s="1" t="s">
        <v>54</v>
      </c>
      <c r="E39" s="18" t="s">
        <v>55</v>
      </c>
      <c r="F39" s="1"/>
    </row>
    <row r="40" spans="1:9" x14ac:dyDescent="0.25">
      <c r="B40" t="s">
        <v>56</v>
      </c>
      <c r="D40" s="1"/>
      <c r="E40" s="18"/>
      <c r="F40" s="1"/>
    </row>
    <row r="41" spans="1:9" ht="53.4" customHeight="1" x14ac:dyDescent="0.25">
      <c r="B41" s="36" t="s">
        <v>57</v>
      </c>
      <c r="C41" s="36"/>
      <c r="D41" s="36"/>
      <c r="E41" s="36"/>
      <c r="F41" s="36"/>
      <c r="G41" s="36"/>
      <c r="H41" s="36"/>
      <c r="I41" s="36"/>
    </row>
    <row r="42" spans="1:9" ht="38.4" customHeight="1" x14ac:dyDescent="0.25">
      <c r="B42" s="36" t="s">
        <v>58</v>
      </c>
      <c r="C42" s="36"/>
      <c r="D42" s="36"/>
      <c r="E42" s="36"/>
      <c r="F42" s="36"/>
      <c r="G42" s="36"/>
      <c r="H42" s="36"/>
      <c r="I42" s="36"/>
    </row>
    <row r="43" spans="1:9" ht="50.4" customHeight="1" x14ac:dyDescent="0.25">
      <c r="B43" s="36" t="s">
        <v>59</v>
      </c>
      <c r="C43" s="36"/>
      <c r="D43" s="36"/>
      <c r="E43" s="36"/>
      <c r="F43" s="36"/>
      <c r="G43" s="36"/>
      <c r="H43" s="36"/>
      <c r="I43" s="36"/>
    </row>
    <row r="44" spans="1:9" ht="45.6" customHeight="1" x14ac:dyDescent="0.25">
      <c r="B44" t="s">
        <v>60</v>
      </c>
      <c r="C44" s="37" t="s">
        <v>61</v>
      </c>
      <c r="D44" s="37"/>
      <c r="E44" s="35" t="s">
        <v>62</v>
      </c>
      <c r="F44" s="35"/>
      <c r="G44" s="35" t="s">
        <v>63</v>
      </c>
      <c r="H44" s="35"/>
    </row>
    <row r="45" spans="1:9" x14ac:dyDescent="0.25">
      <c r="B45" s="19" t="s">
        <v>64</v>
      </c>
      <c r="D45" s="1">
        <v>0</v>
      </c>
      <c r="F45" s="1">
        <v>0</v>
      </c>
      <c r="H45" s="1">
        <v>0</v>
      </c>
    </row>
    <row r="46" spans="1:9" x14ac:dyDescent="0.25">
      <c r="B46" t="s">
        <v>65</v>
      </c>
      <c r="D46" s="1">
        <f>D9*D5</f>
        <v>3000</v>
      </c>
      <c r="F46" s="1">
        <f>D9*D5</f>
        <v>3000</v>
      </c>
      <c r="H46" s="1">
        <f>D9*D5</f>
        <v>3000</v>
      </c>
    </row>
    <row r="47" spans="1:9" x14ac:dyDescent="0.25">
      <c r="B47" t="s">
        <v>66</v>
      </c>
      <c r="C47" s="20">
        <v>0.03</v>
      </c>
      <c r="D47" s="1">
        <f>-C47*D46</f>
        <v>-90</v>
      </c>
      <c r="E47" s="20">
        <v>0.03</v>
      </c>
      <c r="F47" s="1">
        <f>-E47*F46</f>
        <v>-90</v>
      </c>
      <c r="G47" s="20">
        <v>0.03</v>
      </c>
      <c r="H47" s="1">
        <f>-G47*H46</f>
        <v>-90</v>
      </c>
    </row>
    <row r="48" spans="1:9" x14ac:dyDescent="0.25">
      <c r="B48" t="s">
        <v>67</v>
      </c>
      <c r="C48" s="20">
        <v>0.08</v>
      </c>
      <c r="D48" s="1">
        <f>C48*(D46+D47)</f>
        <v>232.8</v>
      </c>
      <c r="E48" s="20">
        <v>0.08</v>
      </c>
      <c r="F48" s="1">
        <f>E48*(F46+F47)</f>
        <v>232.8</v>
      </c>
      <c r="G48" s="20">
        <v>0.08</v>
      </c>
      <c r="H48" s="1">
        <f>G48*(H46+H47)</f>
        <v>232.8</v>
      </c>
    </row>
    <row r="49" spans="2:9" x14ac:dyDescent="0.25">
      <c r="B49" t="s">
        <v>68</v>
      </c>
      <c r="C49" s="21">
        <f>2/200</f>
        <v>0.01</v>
      </c>
      <c r="D49" s="1">
        <f>-C49*SUM(D46:D48)</f>
        <v>-31.428000000000001</v>
      </c>
      <c r="E49" s="21">
        <f>2/200</f>
        <v>0.01</v>
      </c>
      <c r="F49" s="1">
        <f>-E49*SUM(F46:F48)</f>
        <v>-31.428000000000001</v>
      </c>
      <c r="G49" s="21">
        <f>2/200</f>
        <v>0.01</v>
      </c>
      <c r="H49" s="1">
        <f>-G49*SUM(H46:H48)</f>
        <v>-31.428000000000001</v>
      </c>
    </row>
    <row r="51" spans="2:9" x14ac:dyDescent="0.25">
      <c r="B51" s="19" t="s">
        <v>69</v>
      </c>
      <c r="D51" s="1">
        <f>SUM(D46:D49)</f>
        <v>3111.3720000000003</v>
      </c>
      <c r="F51" s="1">
        <f>SUM(F46:F49)</f>
        <v>3111.3720000000003</v>
      </c>
      <c r="H51" s="1">
        <f>SUM(H46:H49)</f>
        <v>3111.3720000000003</v>
      </c>
    </row>
    <row r="52" spans="2:9" x14ac:dyDescent="0.25">
      <c r="B52" t="s">
        <v>66</v>
      </c>
      <c r="C52" s="20">
        <v>0.03</v>
      </c>
      <c r="D52" s="1">
        <f>-C52*D51</f>
        <v>-93.341160000000002</v>
      </c>
      <c r="E52" s="20">
        <v>0.03</v>
      </c>
      <c r="F52" s="1">
        <f>-E52*F51</f>
        <v>-93.341160000000002</v>
      </c>
      <c r="G52" s="20">
        <v>0.03</v>
      </c>
      <c r="H52" s="1">
        <f>-G52*H51</f>
        <v>-93.341160000000002</v>
      </c>
    </row>
    <row r="53" spans="2:9" x14ac:dyDescent="0.25">
      <c r="B53" t="s">
        <v>70</v>
      </c>
      <c r="C53" s="20">
        <v>0.08</v>
      </c>
      <c r="D53" s="1">
        <f>C53*(D51+D52)</f>
        <v>241.44246720000004</v>
      </c>
      <c r="E53" s="22">
        <v>0.05</v>
      </c>
      <c r="F53" s="1">
        <f>E53*(F51+F52)</f>
        <v>150.90154200000003</v>
      </c>
      <c r="G53" s="22">
        <v>0.06</v>
      </c>
      <c r="H53" s="1">
        <f>G53*(H51+H52)</f>
        <v>181.08185040000001</v>
      </c>
    </row>
    <row r="54" spans="2:9" x14ac:dyDescent="0.25">
      <c r="B54" t="s">
        <v>71</v>
      </c>
      <c r="C54" s="21">
        <f>2/198</f>
        <v>1.0101010101010102E-2</v>
      </c>
      <c r="D54" s="1">
        <f>-C54*SUM(D51:D53)</f>
        <v>-32.923972800000008</v>
      </c>
      <c r="E54" s="21">
        <f>C54</f>
        <v>1.0101010101010102E-2</v>
      </c>
      <c r="F54" s="1">
        <f>-E54*SUM(F51:F53)</f>
        <v>-32.009418000000004</v>
      </c>
      <c r="G54" s="21">
        <f>C54</f>
        <v>1.0101010101010102E-2</v>
      </c>
      <c r="H54" s="1">
        <f>-G54*SUM(H51:H53)</f>
        <v>-32.314269600000003</v>
      </c>
    </row>
    <row r="56" spans="2:9" x14ac:dyDescent="0.25">
      <c r="B56" s="19" t="s">
        <v>72</v>
      </c>
      <c r="D56" s="1">
        <f>SUM(D51:D54)</f>
        <v>3226.5493344000001</v>
      </c>
      <c r="F56" s="1">
        <f>SUM(F51:F54)</f>
        <v>3136.9229640000003</v>
      </c>
      <c r="H56" s="1">
        <f>SUM(H51:H54)</f>
        <v>3166.7984208000003</v>
      </c>
    </row>
    <row r="57" spans="2:9" x14ac:dyDescent="0.25">
      <c r="B57" t="s">
        <v>66</v>
      </c>
      <c r="C57" s="20">
        <v>0.03</v>
      </c>
      <c r="D57" s="1">
        <f>-C57*D56</f>
        <v>-96.796480032000005</v>
      </c>
      <c r="E57" s="20">
        <v>0.03</v>
      </c>
      <c r="F57" s="1">
        <f>-E57*F56</f>
        <v>-94.107688920000001</v>
      </c>
      <c r="G57" s="20">
        <v>0.03</v>
      </c>
      <c r="H57" s="1">
        <f>-G57*H56</f>
        <v>-95.003952624000007</v>
      </c>
    </row>
    <row r="58" spans="2:9" x14ac:dyDescent="0.25">
      <c r="B58" t="s">
        <v>70</v>
      </c>
      <c r="C58" s="20">
        <v>0.08</v>
      </c>
      <c r="D58" s="1">
        <f>C58*(D56+D57)</f>
        <v>250.38022834944002</v>
      </c>
      <c r="E58" s="22">
        <v>0.05</v>
      </c>
      <c r="F58" s="1">
        <f>E58*(F56+F57)</f>
        <v>152.14076375400003</v>
      </c>
      <c r="G58" s="22">
        <v>0.06</v>
      </c>
      <c r="H58" s="1">
        <f>G58*(H56+H57)</f>
        <v>184.30766809056001</v>
      </c>
    </row>
    <row r="59" spans="2:9" x14ac:dyDescent="0.25">
      <c r="B59" t="s">
        <v>73</v>
      </c>
      <c r="C59" s="21">
        <f>2/196</f>
        <v>1.020408163265306E-2</v>
      </c>
      <c r="D59" s="1">
        <f>-C59*SUM(D56:D58)</f>
        <v>-34.491153905280001</v>
      </c>
      <c r="E59" s="21">
        <f>C59</f>
        <v>1.020408163265306E-2</v>
      </c>
      <c r="F59" s="1">
        <f>-E59*SUM(F56:F58)</f>
        <v>-32.601592233000005</v>
      </c>
      <c r="G59" s="21">
        <f>C59</f>
        <v>1.020408163265306E-2</v>
      </c>
      <c r="H59" s="1">
        <f>-G59*SUM(H56:H58)</f>
        <v>-33.225532002720001</v>
      </c>
    </row>
    <row r="61" spans="2:9" x14ac:dyDescent="0.25">
      <c r="B61" s="19" t="s">
        <v>74</v>
      </c>
      <c r="D61" s="1">
        <f>SUM(D56:D59)</f>
        <v>3345.6419288121601</v>
      </c>
      <c r="F61" s="1">
        <f>SUM(F56:F59)</f>
        <v>3162.3544466010007</v>
      </c>
      <c r="H61" s="1">
        <f>SUM(H56:H59)</f>
        <v>3222.8766042638408</v>
      </c>
    </row>
    <row r="63" spans="2:9" x14ac:dyDescent="0.25">
      <c r="B63" t="s">
        <v>75</v>
      </c>
      <c r="I63" t="s">
        <v>76</v>
      </c>
    </row>
    <row r="64" spans="2:9" x14ac:dyDescent="0.25">
      <c r="B64">
        <v>1</v>
      </c>
      <c r="C64" s="23">
        <f>NPV(R_FCO,D64:D$66)</f>
        <v>-2595.3248180296309</v>
      </c>
      <c r="D64" s="1">
        <f>D49</f>
        <v>-31.428000000000001</v>
      </c>
    </row>
    <row r="65" spans="2:9" x14ac:dyDescent="0.25">
      <c r="B65">
        <v>2</v>
      </c>
      <c r="C65" s="23">
        <f>NPV(R_FCO,D65:D$66)</f>
        <v>-2823.429299832595</v>
      </c>
      <c r="D65" s="1">
        <f>D54</f>
        <v>-32.923972800000008</v>
      </c>
    </row>
    <row r="66" spans="2:9" x14ac:dyDescent="0.25">
      <c r="B66">
        <v>3</v>
      </c>
      <c r="C66" s="23">
        <f>NPV(R_FCO,D66:D$66)</f>
        <v>-3072.8482570158544</v>
      </c>
      <c r="D66" s="1">
        <f>-D61+D59</f>
        <v>-3380.1330827174402</v>
      </c>
    </row>
    <row r="67" spans="2:9" s="24" customFormat="1" ht="38.4" customHeight="1" x14ac:dyDescent="0.25">
      <c r="B67" s="34" t="s">
        <v>77</v>
      </c>
      <c r="C67" s="34"/>
      <c r="D67" s="34"/>
      <c r="E67" s="34"/>
      <c r="F67" s="34"/>
      <c r="G67" s="34"/>
      <c r="H67" s="34"/>
      <c r="I67" s="34"/>
    </row>
    <row r="68" spans="2:9" x14ac:dyDescent="0.25">
      <c r="B68" t="s">
        <v>78</v>
      </c>
      <c r="C68" s="25"/>
    </row>
    <row r="69" spans="2:9" ht="40.200000000000003" customHeight="1" x14ac:dyDescent="0.25">
      <c r="C69" s="35" t="s">
        <v>61</v>
      </c>
      <c r="D69" s="35"/>
      <c r="E69" s="35" t="s">
        <v>62</v>
      </c>
      <c r="F69" s="35"/>
      <c r="G69" s="35" t="s">
        <v>63</v>
      </c>
      <c r="H69" s="35"/>
    </row>
    <row r="70" spans="2:9" ht="13.2" customHeight="1" x14ac:dyDescent="0.25"/>
    <row r="71" spans="2:9" x14ac:dyDescent="0.25">
      <c r="B71" t="s">
        <v>79</v>
      </c>
      <c r="D71" s="1">
        <f>-D54</f>
        <v>32.923972800000008</v>
      </c>
      <c r="F71" s="1">
        <f>-F54</f>
        <v>32.009418000000004</v>
      </c>
      <c r="H71" s="1">
        <f>-H54</f>
        <v>32.314269600000003</v>
      </c>
      <c r="I71">
        <v>1</v>
      </c>
    </row>
    <row r="72" spans="2:9" x14ac:dyDescent="0.25">
      <c r="B72" t="s">
        <v>80</v>
      </c>
      <c r="D72" s="1">
        <f>-D59</f>
        <v>34.491153905280001</v>
      </c>
      <c r="F72" s="1">
        <f>-F59</f>
        <v>32.601592233000005</v>
      </c>
      <c r="H72" s="1">
        <f>-H59</f>
        <v>33.225532002720001</v>
      </c>
      <c r="I72">
        <f>I71*v_O</f>
        <v>0.90909090909090906</v>
      </c>
    </row>
    <row r="73" spans="2:9" x14ac:dyDescent="0.25">
      <c r="B73" t="s">
        <v>81</v>
      </c>
      <c r="D73" s="1">
        <f>D61</f>
        <v>3345.6419288121601</v>
      </c>
      <c r="F73" s="1">
        <f>F61</f>
        <v>3162.3544466010007</v>
      </c>
      <c r="H73" s="1">
        <f>H61</f>
        <v>3222.8766042638408</v>
      </c>
      <c r="I73">
        <f>I72*v_O</f>
        <v>0.82644628099173545</v>
      </c>
    </row>
    <row r="74" spans="2:9" x14ac:dyDescent="0.25">
      <c r="B74" t="s">
        <v>82</v>
      </c>
      <c r="D74" s="1">
        <f>SUM(D71:D73)</f>
        <v>3413.0570555174399</v>
      </c>
      <c r="F74" s="1">
        <f>SUM(F71:F73)</f>
        <v>3226.9654568340006</v>
      </c>
      <c r="H74" s="1">
        <f>SUM(H71:H73)</f>
        <v>3288.416405866561</v>
      </c>
    </row>
    <row r="75" spans="2:9" x14ac:dyDescent="0.25">
      <c r="F75" s="25">
        <f>F74*I72</f>
        <v>2933.6049607581822</v>
      </c>
      <c r="H75">
        <f>H74*I72</f>
        <v>2989.4694598786919</v>
      </c>
      <c r="I75" s="25">
        <f>H75-F75</f>
        <v>55.864499120509663</v>
      </c>
    </row>
    <row r="76" spans="2:9" x14ac:dyDescent="0.25">
      <c r="B76" t="s">
        <v>83</v>
      </c>
    </row>
    <row r="77" spans="2:9" x14ac:dyDescent="0.25">
      <c r="B77" t="s">
        <v>84</v>
      </c>
    </row>
    <row r="78" spans="2:9" ht="29.4" customHeight="1" x14ac:dyDescent="0.25">
      <c r="B78" s="19" t="s">
        <v>85</v>
      </c>
      <c r="C78" s="35" t="s">
        <v>86</v>
      </c>
      <c r="D78" s="35"/>
      <c r="E78" s="35" t="s">
        <v>87</v>
      </c>
      <c r="F78" s="35"/>
    </row>
    <row r="80" spans="2:9" x14ac:dyDescent="0.25">
      <c r="B80" t="s">
        <v>88</v>
      </c>
      <c r="D80" s="1">
        <f>D74</f>
        <v>3413.0570555174399</v>
      </c>
      <c r="F80" s="16">
        <f>NPV(R_FCO,D71,D72+D73)</f>
        <v>2823.429299832595</v>
      </c>
    </row>
    <row r="81" spans="2:7" ht="31.2" customHeight="1" x14ac:dyDescent="0.25">
      <c r="B81" s="26" t="s">
        <v>89</v>
      </c>
      <c r="D81" s="1">
        <f>F74</f>
        <v>3226.9654568340006</v>
      </c>
      <c r="F81" s="16">
        <f>D81/(1+0.07)</f>
        <v>3015.8555671345798</v>
      </c>
    </row>
    <row r="82" spans="2:7" ht="31.2" customHeight="1" x14ac:dyDescent="0.25">
      <c r="B82" s="26" t="s">
        <v>90</v>
      </c>
      <c r="D82" s="1">
        <f>H74</f>
        <v>3288.416405866561</v>
      </c>
      <c r="F82" s="16">
        <f>D82/(1+0.07)</f>
        <v>3073.2863606229539</v>
      </c>
    </row>
    <row r="83" spans="2:7" ht="31.2" customHeight="1" x14ac:dyDescent="0.25">
      <c r="B83" s="26" t="s">
        <v>91</v>
      </c>
      <c r="D83" s="27">
        <f>D81-D80</f>
        <v>-186.09159868343932</v>
      </c>
      <c r="F83" s="27">
        <f>F81-F80</f>
        <v>192.42626730198481</v>
      </c>
    </row>
    <row r="84" spans="2:7" ht="31.2" customHeight="1" x14ac:dyDescent="0.25">
      <c r="B84" s="26" t="s">
        <v>92</v>
      </c>
      <c r="D84" s="27">
        <f>D82-D81</f>
        <v>61.450949032560402</v>
      </c>
      <c r="F84" s="1">
        <f>F82-F81</f>
        <v>57.430793488374093</v>
      </c>
    </row>
    <row r="85" spans="2:7" x14ac:dyDescent="0.25">
      <c r="B85" s="26" t="s">
        <v>93</v>
      </c>
      <c r="D85" s="1">
        <f>F54</f>
        <v>-32.009418000000004</v>
      </c>
      <c r="F85" s="1">
        <f>H54</f>
        <v>-32.314269600000003</v>
      </c>
    </row>
    <row r="86" spans="2:7" ht="14.4" thickBot="1" x14ac:dyDescent="0.3">
      <c r="B86" s="26" t="s">
        <v>94</v>
      </c>
      <c r="D86" s="28">
        <f>D82+D85</f>
        <v>3256.4069878665609</v>
      </c>
      <c r="F86" s="28">
        <f>F82+F85</f>
        <v>3040.9720910229539</v>
      </c>
    </row>
    <row r="87" spans="2:7" ht="14.4" thickTop="1" x14ac:dyDescent="0.25"/>
    <row r="88" spans="2:7" ht="33" customHeight="1" x14ac:dyDescent="0.25">
      <c r="B88" s="34" t="s">
        <v>95</v>
      </c>
      <c r="C88" s="34"/>
      <c r="D88" s="34"/>
      <c r="E88" s="34"/>
      <c r="F88" s="34"/>
      <c r="G88" s="34"/>
    </row>
    <row r="89" spans="2:7" ht="27.6" x14ac:dyDescent="0.25">
      <c r="B89" s="38"/>
      <c r="C89" s="39" t="s">
        <v>96</v>
      </c>
      <c r="D89" s="39" t="s">
        <v>48</v>
      </c>
      <c r="E89" s="39" t="s">
        <v>33</v>
      </c>
      <c r="F89" s="29" t="s">
        <v>97</v>
      </c>
      <c r="G89" s="29"/>
    </row>
    <row r="90" spans="2:7" x14ac:dyDescent="0.25">
      <c r="B90" s="40"/>
      <c r="C90" s="40"/>
      <c r="D90" s="40"/>
      <c r="E90" s="40"/>
    </row>
    <row r="91" spans="2:7" x14ac:dyDescent="0.25">
      <c r="B91" s="41" t="s">
        <v>98</v>
      </c>
      <c r="C91" s="42">
        <f>F80</f>
        <v>2823.429299832595</v>
      </c>
      <c r="D91" s="43">
        <f>D33</f>
        <v>20</v>
      </c>
      <c r="E91" s="44">
        <f>C27*(1+R_csm)*(198+196)/(200+198+196)</f>
        <v>258.4627989295933</v>
      </c>
      <c r="F91" s="16">
        <f>SUM(C91:E91)</f>
        <v>3101.8920987621882</v>
      </c>
    </row>
    <row r="92" spans="2:7" x14ac:dyDescent="0.25">
      <c r="B92" s="40" t="s">
        <v>99</v>
      </c>
      <c r="C92" s="42">
        <f>F83+F84-F84/(1+R_csm)</f>
        <v>194.63514397461458</v>
      </c>
      <c r="D92" s="40"/>
      <c r="E92" s="42">
        <f>E91*R_csm</f>
        <v>10.338511957183732</v>
      </c>
    </row>
    <row r="93" spans="2:7" x14ac:dyDescent="0.25">
      <c r="B93" s="40" t="s">
        <v>100</v>
      </c>
      <c r="C93" s="45">
        <f>D84/(1+R_FCO)</f>
        <v>55.86449912050945</v>
      </c>
      <c r="D93" s="40"/>
      <c r="E93" s="45">
        <f>-C93</f>
        <v>-55.86449912050945</v>
      </c>
    </row>
    <row r="94" spans="2:7" x14ac:dyDescent="0.25">
      <c r="B94" s="40" t="s">
        <v>101</v>
      </c>
      <c r="C94" s="40"/>
      <c r="D94" s="40">
        <f>-10</f>
        <v>-10</v>
      </c>
      <c r="E94" s="42">
        <f>-SUM(E91:E93)/SUM(D13:E13)*D13</f>
        <v>-107.00885464396191</v>
      </c>
    </row>
    <row r="95" spans="2:7" x14ac:dyDescent="0.25">
      <c r="B95" s="40" t="s">
        <v>102</v>
      </c>
      <c r="C95" s="43">
        <f>F54</f>
        <v>-32.009418000000004</v>
      </c>
      <c r="D95" s="40"/>
      <c r="E95" s="40"/>
    </row>
    <row r="96" spans="2:7" x14ac:dyDescent="0.25">
      <c r="B96" s="41" t="s">
        <v>103</v>
      </c>
      <c r="C96" s="42">
        <f>SUM(C91:C95)</f>
        <v>3041.9195249277191</v>
      </c>
      <c r="D96" s="42">
        <f>SUM(D91:D95)</f>
        <v>10</v>
      </c>
      <c r="E96" s="42">
        <f>SUM(E91:E94)</f>
        <v>105.92795712230571</v>
      </c>
      <c r="F96" s="16">
        <f>SUM(C96:E96)</f>
        <v>3157.8474820500246</v>
      </c>
    </row>
    <row r="98" spans="2:7" x14ac:dyDescent="0.25">
      <c r="B98" t="s">
        <v>104</v>
      </c>
    </row>
    <row r="99" spans="2:7" ht="13.8" customHeight="1" x14ac:dyDescent="0.25">
      <c r="B99" s="34" t="s">
        <v>105</v>
      </c>
      <c r="C99" s="34"/>
      <c r="D99" s="34"/>
      <c r="E99" s="34"/>
      <c r="F99" s="34"/>
      <c r="G99" s="34"/>
    </row>
    <row r="100" spans="2:7" ht="13.8" customHeight="1" x14ac:dyDescent="0.25">
      <c r="B100" s="34" t="s">
        <v>106</v>
      </c>
      <c r="C100" s="34"/>
      <c r="D100" s="34"/>
      <c r="E100" s="34"/>
      <c r="F100" s="34"/>
      <c r="G100" s="34"/>
    </row>
    <row r="101" spans="2:7" ht="13.8" customHeight="1" x14ac:dyDescent="0.25">
      <c r="B101" s="34" t="s">
        <v>107</v>
      </c>
      <c r="C101" s="34"/>
      <c r="D101" s="34"/>
      <c r="E101" s="34"/>
      <c r="F101" s="34"/>
      <c r="G101" s="34"/>
    </row>
    <row r="102" spans="2:7" x14ac:dyDescent="0.25">
      <c r="B102" s="34" t="s">
        <v>108</v>
      </c>
      <c r="C102" s="34"/>
      <c r="D102" s="34"/>
      <c r="E102" s="34"/>
      <c r="F102" s="34"/>
      <c r="G102" s="34"/>
    </row>
    <row r="104" spans="2:7" x14ac:dyDescent="0.25">
      <c r="B104" s="26" t="s">
        <v>109</v>
      </c>
    </row>
    <row r="105" spans="2:7" ht="409.6" x14ac:dyDescent="0.25">
      <c r="B105" s="26" t="s">
        <v>110</v>
      </c>
    </row>
    <row r="106" spans="2:7" ht="289.8" x14ac:dyDescent="0.25">
      <c r="B106" s="26" t="s">
        <v>111</v>
      </c>
    </row>
    <row r="108" spans="2:7" ht="409.6" x14ac:dyDescent="0.25">
      <c r="B108" s="26" t="s">
        <v>112</v>
      </c>
      <c r="C108" s="30" t="s">
        <v>113</v>
      </c>
    </row>
    <row r="109" spans="2:7" ht="409.6" x14ac:dyDescent="0.25">
      <c r="B109" s="26" t="s">
        <v>114</v>
      </c>
      <c r="C109" s="30" t="s">
        <v>115</v>
      </c>
    </row>
    <row r="111" spans="2:7" x14ac:dyDescent="0.25">
      <c r="B111" s="26" t="s">
        <v>116</v>
      </c>
    </row>
    <row r="112" spans="2:7" ht="358.8" x14ac:dyDescent="0.25">
      <c r="B112" s="30" t="s">
        <v>117</v>
      </c>
      <c r="C112" s="30" t="s">
        <v>118</v>
      </c>
    </row>
    <row r="147" spans="2:6" x14ac:dyDescent="0.25">
      <c r="B147" t="s">
        <v>119</v>
      </c>
    </row>
    <row r="148" spans="2:6" ht="27.6" x14ac:dyDescent="0.25">
      <c r="C148" s="31" t="s">
        <v>27</v>
      </c>
      <c r="D148" s="31" t="s">
        <v>120</v>
      </c>
      <c r="E148" s="31" t="s">
        <v>33</v>
      </c>
      <c r="F148" s="31" t="s">
        <v>97</v>
      </c>
    </row>
    <row r="150" spans="2:6" ht="19.8" customHeight="1" x14ac:dyDescent="0.25">
      <c r="B150" t="s">
        <v>98</v>
      </c>
      <c r="C150" s="1">
        <f>D23</f>
        <v>2823.429299832595</v>
      </c>
    </row>
    <row r="151" spans="2:6" x14ac:dyDescent="0.25">
      <c r="B151" t="s">
        <v>99</v>
      </c>
    </row>
    <row r="152" spans="2:6" ht="31.8" customHeight="1" x14ac:dyDescent="0.25">
      <c r="B152" s="26" t="s">
        <v>121</v>
      </c>
    </row>
    <row r="153" spans="2:6" x14ac:dyDescent="0.25">
      <c r="B153" t="s">
        <v>122</v>
      </c>
    </row>
    <row r="154" spans="2:6" x14ac:dyDescent="0.25">
      <c r="B154" t="s">
        <v>102</v>
      </c>
    </row>
    <row r="155" spans="2:6" ht="19.2" customHeight="1" x14ac:dyDescent="0.25">
      <c r="B155" t="s">
        <v>103</v>
      </c>
      <c r="C155" s="32"/>
      <c r="D155" s="32"/>
      <c r="E155" s="32"/>
      <c r="F155" s="32"/>
    </row>
  </sheetData>
  <mergeCells count="17">
    <mergeCell ref="B41:I41"/>
    <mergeCell ref="B42:I42"/>
    <mergeCell ref="B43:I43"/>
    <mergeCell ref="C44:D44"/>
    <mergeCell ref="E44:F44"/>
    <mergeCell ref="G44:H44"/>
    <mergeCell ref="B67:I67"/>
    <mergeCell ref="C69:D69"/>
    <mergeCell ref="E69:F69"/>
    <mergeCell ref="G69:H69"/>
    <mergeCell ref="C78:D78"/>
    <mergeCell ref="E78:F78"/>
    <mergeCell ref="B88:G88"/>
    <mergeCell ref="B99:G99"/>
    <mergeCell ref="B100:G100"/>
    <mergeCell ref="B101:G101"/>
    <mergeCell ref="B102:G102"/>
  </mergeCells>
  <phoneticPr fontId="3"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1963-7000-4AAC-8A3C-5135F2D12EA5}">
  <dimension ref="A2:A14"/>
  <sheetViews>
    <sheetView topLeftCell="A12" workbookViewId="0">
      <selection activeCell="D13" sqref="D13"/>
    </sheetView>
  </sheetViews>
  <sheetFormatPr defaultRowHeight="13.8" x14ac:dyDescent="0.25"/>
  <cols>
    <col min="1" max="1" width="67" customWidth="1"/>
  </cols>
  <sheetData>
    <row r="2" spans="1:1" x14ac:dyDescent="0.25">
      <c r="A2" t="s">
        <v>123</v>
      </c>
    </row>
    <row r="3" spans="1:1" x14ac:dyDescent="0.25">
      <c r="A3" t="s">
        <v>124</v>
      </c>
    </row>
    <row r="4" spans="1:1" x14ac:dyDescent="0.25">
      <c r="A4" t="s">
        <v>125</v>
      </c>
    </row>
    <row r="5" spans="1:1" x14ac:dyDescent="0.25">
      <c r="A5" t="s">
        <v>126</v>
      </c>
    </row>
    <row r="6" spans="1:1" x14ac:dyDescent="0.25">
      <c r="A6" t="s">
        <v>127</v>
      </c>
    </row>
    <row r="8" spans="1:1" x14ac:dyDescent="0.25">
      <c r="A8" s="33">
        <v>44</v>
      </c>
    </row>
    <row r="9" spans="1:1" ht="41.4" x14ac:dyDescent="0.25">
      <c r="A9" s="26" t="s">
        <v>128</v>
      </c>
    </row>
    <row r="10" spans="1:1" ht="55.2" x14ac:dyDescent="0.25">
      <c r="A10" s="26" t="s">
        <v>129</v>
      </c>
    </row>
    <row r="13" spans="1:1" ht="82.8" x14ac:dyDescent="0.25">
      <c r="A13" s="26" t="s">
        <v>130</v>
      </c>
    </row>
    <row r="14" spans="1:1" ht="82.8" x14ac:dyDescent="0.25">
      <c r="A14" s="26" t="s">
        <v>131</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E816-A1C3-43D7-A3BC-F57AB782FA8B}">
  <dimension ref="A1"/>
  <sheetViews>
    <sheetView workbookViewId="0"/>
  </sheetViews>
  <sheetFormatPr defaultRowHeight="13.8" x14ac:dyDescent="0.25"/>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4E20D-14C2-454D-8E38-CB5F6F382042}">
  <dimension ref="A1"/>
  <sheetViews>
    <sheetView workbookViewId="0"/>
  </sheetViews>
  <sheetFormatPr defaultRowHeight="13.8" x14ac:dyDescent="0.25"/>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05A8A-8B70-4258-84F1-C32D0EF415AE}">
  <dimension ref="A1"/>
  <sheetViews>
    <sheetView workbookViewId="0"/>
  </sheetViews>
  <sheetFormatPr defaultRowHeight="13.8"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3</vt:i4>
      </vt:variant>
    </vt:vector>
  </HeadingPairs>
  <TitlesOfParts>
    <vt:vector size="8" baseType="lpstr">
      <vt:lpstr>正文附录例6</vt:lpstr>
      <vt:lpstr>CSM说明</vt:lpstr>
      <vt:lpstr>Sheet1</vt:lpstr>
      <vt:lpstr>Sheet2</vt:lpstr>
      <vt:lpstr>Sheet3</vt:lpstr>
      <vt:lpstr>R_csm</vt:lpstr>
      <vt:lpstr>R_FCO</vt:lpstr>
      <vt:lpstr>v_O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hxy</dc:creator>
  <cp:lastModifiedBy>hxy</cp:lastModifiedBy>
  <dcterms:created xsi:type="dcterms:W3CDTF">2018-10-27T00:12:27Z</dcterms:created>
  <dcterms:modified xsi:type="dcterms:W3CDTF">2018-11-03T14:45:38Z</dcterms:modified>
</cp:coreProperties>
</file>