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IT\MDMB\Assesment\Assesment 2 - Coursework with calculations and written answers\"/>
    </mc:Choice>
  </mc:AlternateContent>
  <xr:revisionPtr revIDLastSave="0" documentId="13_ncr:1_{1F3A08F8-9787-4A4A-B6C4-3B603E0525F4}" xr6:coauthVersionLast="47" xr6:coauthVersionMax="47" xr10:uidLastSave="{00000000-0000-0000-0000-000000000000}"/>
  <bookViews>
    <workbookView xWindow="-110" yWindow="-110" windowWidth="19420" windowHeight="11500" activeTab="4" xr2:uid="{10815F64-5087-45A2-A78F-41EB7EAD178E}"/>
  </bookViews>
  <sheets>
    <sheet name="Q1" sheetId="7" r:id="rId1"/>
    <sheet name="Q2" sheetId="1" r:id="rId2"/>
    <sheet name="Q3.1" sheetId="2" r:id="rId3"/>
    <sheet name="Q3.2" sheetId="3" r:id="rId4"/>
    <sheet name="Q4.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7" l="1"/>
  <c r="D38" i="7"/>
  <c r="F38" i="7" s="1"/>
  <c r="E37" i="7"/>
  <c r="D37" i="7"/>
  <c r="F37" i="7" s="1"/>
  <c r="E36" i="7"/>
  <c r="F36" i="7" s="1"/>
  <c r="D36" i="7"/>
  <c r="F26" i="7"/>
  <c r="F25" i="7"/>
  <c r="F24" i="7"/>
  <c r="F20" i="7"/>
  <c r="F19" i="7"/>
  <c r="F18" i="7"/>
  <c r="I14" i="7"/>
  <c r="F14" i="7"/>
  <c r="I13" i="7"/>
  <c r="F13" i="7"/>
  <c r="I12" i="7"/>
  <c r="F12" i="7"/>
  <c r="Y55" i="7"/>
  <c r="X55" i="7"/>
  <c r="W55" i="7"/>
  <c r="V55" i="7"/>
  <c r="AA54" i="7"/>
  <c r="Z54" i="7"/>
  <c r="AB54" i="7" s="1"/>
  <c r="AA53" i="7"/>
  <c r="Z53" i="7"/>
  <c r="AA52" i="7"/>
  <c r="Z52" i="7"/>
  <c r="AB52" i="7" s="1"/>
  <c r="AA51" i="7"/>
  <c r="Z51" i="7"/>
  <c r="AB51" i="7" s="1"/>
  <c r="AA50" i="7"/>
  <c r="Z50" i="7"/>
  <c r="AB50" i="7" s="1"/>
  <c r="AA49" i="7"/>
  <c r="Z49" i="7"/>
  <c r="AA48" i="7"/>
  <c r="Z48" i="7"/>
  <c r="AA47" i="7"/>
  <c r="Z47" i="7"/>
  <c r="AB47" i="7" s="1"/>
  <c r="AA46" i="7"/>
  <c r="Z46" i="7"/>
  <c r="AB46" i="7" s="1"/>
  <c r="AA45" i="7"/>
  <c r="Z45" i="7"/>
  <c r="AB45" i="7" s="1"/>
  <c r="AA44" i="7"/>
  <c r="Z44" i="7"/>
  <c r="AB44" i="7" s="1"/>
  <c r="AA43" i="7"/>
  <c r="Z43" i="7"/>
  <c r="AA42" i="7"/>
  <c r="Z42" i="7"/>
  <c r="AA41" i="7"/>
  <c r="Z41" i="7"/>
  <c r="AB41" i="7" s="1"/>
  <c r="AA40" i="7"/>
  <c r="Z40" i="7"/>
  <c r="AB40" i="7" s="1"/>
  <c r="AA39" i="7"/>
  <c r="Z39" i="7"/>
  <c r="AB39" i="7" s="1"/>
  <c r="AA38" i="7"/>
  <c r="Z38" i="7"/>
  <c r="AB38" i="7" s="1"/>
  <c r="AA37" i="7"/>
  <c r="Z37" i="7"/>
  <c r="AB37" i="7" s="1"/>
  <c r="AA36" i="7"/>
  <c r="Z36" i="7"/>
  <c r="AB36" i="7" s="1"/>
  <c r="AA35" i="7"/>
  <c r="Z35" i="7"/>
  <c r="AB35" i="7" s="1"/>
  <c r="AA34" i="7"/>
  <c r="Z34" i="7"/>
  <c r="AB34" i="7" s="1"/>
  <c r="AA33" i="7"/>
  <c r="Z33" i="7"/>
  <c r="AB33" i="7" s="1"/>
  <c r="AA32" i="7"/>
  <c r="Z32" i="7"/>
  <c r="AA31" i="7"/>
  <c r="Z31" i="7"/>
  <c r="AB31" i="7" s="1"/>
  <c r="AA30" i="7"/>
  <c r="Z30" i="7"/>
  <c r="AA29" i="7"/>
  <c r="Z29" i="7"/>
  <c r="AB29" i="7" s="1"/>
  <c r="AA28" i="7"/>
  <c r="Z28" i="7"/>
  <c r="AB28" i="7" s="1"/>
  <c r="AA27" i="7"/>
  <c r="Z27" i="7"/>
  <c r="AA26" i="7"/>
  <c r="Z26" i="7"/>
  <c r="AB26" i="7" s="1"/>
  <c r="AA25" i="7"/>
  <c r="Z25" i="7"/>
  <c r="AB25" i="7" s="1"/>
  <c r="AA24" i="7"/>
  <c r="Z24" i="7"/>
  <c r="AA23" i="7"/>
  <c r="Z23" i="7"/>
  <c r="AA22" i="7"/>
  <c r="Z22" i="7"/>
  <c r="AB22" i="7" s="1"/>
  <c r="AA21" i="7"/>
  <c r="Z21" i="7"/>
  <c r="AB21" i="7" s="1"/>
  <c r="AA20" i="7"/>
  <c r="Z20" i="7"/>
  <c r="AA19" i="7"/>
  <c r="Z19" i="7"/>
  <c r="AB19" i="7" s="1"/>
  <c r="AA18" i="7"/>
  <c r="Z18" i="7"/>
  <c r="AA17" i="7"/>
  <c r="Z17" i="7"/>
  <c r="AA16" i="7"/>
  <c r="Z16" i="7"/>
  <c r="AA15" i="7"/>
  <c r="Z15" i="7"/>
  <c r="AB15" i="7" s="1"/>
  <c r="AA14" i="7"/>
  <c r="Z14" i="7"/>
  <c r="AA13" i="7"/>
  <c r="Z13" i="7"/>
  <c r="AB13" i="7" s="1"/>
  <c r="AA12" i="7"/>
  <c r="Z12" i="7"/>
  <c r="AA11" i="7"/>
  <c r="Z11" i="7"/>
  <c r="AB11" i="7" s="1"/>
  <c r="AA10" i="7"/>
  <c r="Z10" i="7"/>
  <c r="AB10" i="7" s="1"/>
  <c r="AA9" i="7"/>
  <c r="Z9" i="7"/>
  <c r="AB9" i="7" s="1"/>
  <c r="AA8" i="7"/>
  <c r="Z8" i="7"/>
  <c r="AB8" i="7" s="1"/>
  <c r="AA7" i="7"/>
  <c r="Z7" i="7"/>
  <c r="AB7" i="7" s="1"/>
  <c r="AA6" i="7"/>
  <c r="Z6" i="7"/>
  <c r="AB6" i="7" s="1"/>
  <c r="AA5" i="7"/>
  <c r="Z5" i="7"/>
  <c r="AB5" i="7" s="1"/>
  <c r="AA4" i="7"/>
  <c r="Z4" i="7"/>
  <c r="AB4" i="7" s="1"/>
  <c r="AA3" i="7"/>
  <c r="Z3" i="7"/>
  <c r="AB17" i="7" l="1"/>
  <c r="AB23" i="7"/>
  <c r="AB12" i="7"/>
  <c r="AB18" i="7"/>
  <c r="AB24" i="7"/>
  <c r="AB30" i="7"/>
  <c r="AB53" i="7"/>
  <c r="AB14" i="7"/>
  <c r="AB20" i="7"/>
  <c r="AB49" i="7"/>
  <c r="AB42" i="7"/>
  <c r="Z55" i="7"/>
  <c r="AA55" i="7"/>
  <c r="AB16" i="7"/>
  <c r="AB32" i="7"/>
  <c r="AB48" i="7"/>
  <c r="AB27" i="7"/>
  <c r="AB43" i="7"/>
  <c r="AB3" i="7"/>
  <c r="AB55" i="7" l="1"/>
  <c r="P55" i="7"/>
  <c r="O55" i="7"/>
  <c r="N55" i="7"/>
  <c r="M55" i="7"/>
  <c r="R54" i="7"/>
  <c r="Q54" i="7"/>
  <c r="S54" i="7" s="1"/>
  <c r="R53" i="7"/>
  <c r="Q53" i="7"/>
  <c r="R52" i="7"/>
  <c r="Q52" i="7"/>
  <c r="R51" i="7"/>
  <c r="Q51" i="7"/>
  <c r="R50" i="7"/>
  <c r="Q50" i="7"/>
  <c r="S50" i="7" s="1"/>
  <c r="R49" i="7"/>
  <c r="Q49" i="7"/>
  <c r="S49" i="7" s="1"/>
  <c r="R48" i="7"/>
  <c r="Q48" i="7"/>
  <c r="S48" i="7" s="1"/>
  <c r="R47" i="7"/>
  <c r="Q47" i="7"/>
  <c r="S47" i="7" s="1"/>
  <c r="R46" i="7"/>
  <c r="Q46" i="7"/>
  <c r="R45" i="7"/>
  <c r="Q45" i="7"/>
  <c r="R44" i="7"/>
  <c r="Q44" i="7"/>
  <c r="S44" i="7" s="1"/>
  <c r="R43" i="7"/>
  <c r="Q43" i="7"/>
  <c r="S43" i="7" s="1"/>
  <c r="R42" i="7"/>
  <c r="Q42" i="7"/>
  <c r="S42" i="7" s="1"/>
  <c r="R41" i="7"/>
  <c r="Q41" i="7"/>
  <c r="R40" i="7"/>
  <c r="Q40" i="7"/>
  <c r="R39" i="7"/>
  <c r="Q39" i="7"/>
  <c r="S39" i="7" s="1"/>
  <c r="R38" i="7"/>
  <c r="Q38" i="7"/>
  <c r="S38" i="7" s="1"/>
  <c r="R37" i="7"/>
  <c r="Q37" i="7"/>
  <c r="S37" i="7" s="1"/>
  <c r="R36" i="7"/>
  <c r="Q36" i="7"/>
  <c r="S36" i="7" s="1"/>
  <c r="R35" i="7"/>
  <c r="Q35" i="7"/>
  <c r="S35" i="7" s="1"/>
  <c r="R34" i="7"/>
  <c r="Q34" i="7"/>
  <c r="S34" i="7" s="1"/>
  <c r="R33" i="7"/>
  <c r="Q33" i="7"/>
  <c r="S33" i="7" s="1"/>
  <c r="R32" i="7"/>
  <c r="Q32" i="7"/>
  <c r="S32" i="7" s="1"/>
  <c r="R31" i="7"/>
  <c r="Q31" i="7"/>
  <c r="S31" i="7" s="1"/>
  <c r="R30" i="7"/>
  <c r="Q30" i="7"/>
  <c r="S30" i="7" s="1"/>
  <c r="R29" i="7"/>
  <c r="Q29" i="7"/>
  <c r="S29" i="7" s="1"/>
  <c r="R28" i="7"/>
  <c r="Q28" i="7"/>
  <c r="S28" i="7" s="1"/>
  <c r="R27" i="7"/>
  <c r="Q27" i="7"/>
  <c r="S27" i="7" s="1"/>
  <c r="R26" i="7"/>
  <c r="Q26" i="7"/>
  <c r="S26" i="7" s="1"/>
  <c r="R25" i="7"/>
  <c r="Q25" i="7"/>
  <c r="S25" i="7" s="1"/>
  <c r="R24" i="7"/>
  <c r="Q24" i="7"/>
  <c r="S24" i="7" s="1"/>
  <c r="R23" i="7"/>
  <c r="Q23" i="7"/>
  <c r="R22" i="7"/>
  <c r="Q22" i="7"/>
  <c r="R21" i="7"/>
  <c r="Q21" i="7"/>
  <c r="R20" i="7"/>
  <c r="Q20" i="7"/>
  <c r="S20" i="7" s="1"/>
  <c r="R19" i="7"/>
  <c r="Q19" i="7"/>
  <c r="S19" i="7" s="1"/>
  <c r="R18" i="7"/>
  <c r="Q18" i="7"/>
  <c r="S18" i="7" s="1"/>
  <c r="R17" i="7"/>
  <c r="Q17" i="7"/>
  <c r="R16" i="7"/>
  <c r="Q16" i="7"/>
  <c r="R15" i="7"/>
  <c r="Q15" i="7"/>
  <c r="S15" i="7" s="1"/>
  <c r="R14" i="7"/>
  <c r="Q14" i="7"/>
  <c r="S14" i="7" s="1"/>
  <c r="R13" i="7"/>
  <c r="Q13" i="7"/>
  <c r="S13" i="7" s="1"/>
  <c r="R12" i="7"/>
  <c r="Q12" i="7"/>
  <c r="S12" i="7" s="1"/>
  <c r="R11" i="7"/>
  <c r="Q11" i="7"/>
  <c r="S11" i="7" s="1"/>
  <c r="R10" i="7"/>
  <c r="Q10" i="7"/>
  <c r="S10" i="7" s="1"/>
  <c r="R9" i="7"/>
  <c r="Q9" i="7"/>
  <c r="S9" i="7" s="1"/>
  <c r="R8" i="7"/>
  <c r="Q8" i="7"/>
  <c r="S8" i="7" s="1"/>
  <c r="R7" i="7"/>
  <c r="Q7" i="7"/>
  <c r="S7" i="7" s="1"/>
  <c r="R6" i="7"/>
  <c r="Q6" i="7"/>
  <c r="S6" i="7" s="1"/>
  <c r="R5" i="7"/>
  <c r="Q5" i="7"/>
  <c r="S5" i="7" s="1"/>
  <c r="R4" i="7"/>
  <c r="Q4" i="7"/>
  <c r="S4" i="7" s="1"/>
  <c r="R3" i="7"/>
  <c r="Q3" i="7"/>
  <c r="S3" i="7" s="1"/>
  <c r="E5" i="7"/>
  <c r="F5" i="7"/>
  <c r="G5" i="7"/>
  <c r="H5" i="7"/>
  <c r="I5" i="7"/>
  <c r="J5" i="7"/>
  <c r="D5" i="7"/>
  <c r="S21" i="7" l="1"/>
  <c r="S45" i="7"/>
  <c r="S51" i="7"/>
  <c r="R55" i="7"/>
  <c r="S16" i="7"/>
  <c r="S22" i="7"/>
  <c r="S40" i="7"/>
  <c r="S46" i="7"/>
  <c r="S52" i="7"/>
  <c r="S17" i="7"/>
  <c r="S23" i="7"/>
  <c r="S41" i="7"/>
  <c r="S53" i="7"/>
  <c r="Q55" i="7"/>
  <c r="S55" i="7" l="1"/>
  <c r="C62" i="1"/>
  <c r="D58" i="1"/>
  <c r="E57" i="1"/>
  <c r="E51" i="1"/>
  <c r="E50" i="1"/>
  <c r="F46" i="1" s="1"/>
  <c r="E49" i="1"/>
  <c r="F45" i="1" s="1"/>
  <c r="C10" i="4"/>
  <c r="C12" i="4"/>
  <c r="C14" i="4"/>
  <c r="J55" i="2"/>
  <c r="C55" i="2"/>
  <c r="N50" i="2"/>
  <c r="L50" i="2"/>
  <c r="N49" i="2"/>
  <c r="L49" i="2"/>
  <c r="N48" i="2"/>
  <c r="L48" i="2"/>
  <c r="N47" i="2"/>
  <c r="L47" i="2"/>
  <c r="N46" i="2"/>
  <c r="L46" i="2"/>
  <c r="N45" i="2"/>
  <c r="K45" i="2"/>
  <c r="L45" i="2" s="1"/>
  <c r="G46" i="2"/>
  <c r="G47" i="2"/>
  <c r="G48" i="2"/>
  <c r="G49" i="2"/>
  <c r="G50" i="2"/>
  <c r="G45" i="2"/>
  <c r="E46" i="2"/>
  <c r="E47" i="2"/>
  <c r="E48" i="2"/>
  <c r="E49" i="2"/>
  <c r="E50" i="2"/>
  <c r="D45" i="2"/>
  <c r="E45" i="2" s="1"/>
  <c r="E51" i="2" s="1"/>
  <c r="K66" i="2"/>
  <c r="K67" i="2"/>
  <c r="K68" i="2"/>
  <c r="K69" i="2"/>
  <c r="K65" i="2"/>
  <c r="J63" i="2"/>
  <c r="K63" i="2" s="1"/>
  <c r="K64" i="2"/>
  <c r="D72" i="2"/>
  <c r="E64" i="2"/>
  <c r="E65" i="2"/>
  <c r="E66" i="2"/>
  <c r="E67" i="2"/>
  <c r="E68" i="2"/>
  <c r="E69" i="2"/>
  <c r="E63" i="2"/>
  <c r="F63" i="2" s="1"/>
  <c r="D70" i="2"/>
  <c r="C70" i="2"/>
  <c r="K20" i="2"/>
  <c r="K19" i="2"/>
  <c r="K18" i="2"/>
  <c r="K17" i="2"/>
  <c r="K16" i="2"/>
  <c r="K15" i="2"/>
  <c r="L15" i="2" s="1"/>
  <c r="E15" i="2"/>
  <c r="E20" i="2"/>
  <c r="E19" i="2"/>
  <c r="E18" i="2"/>
  <c r="E17" i="2"/>
  <c r="E16" i="2"/>
  <c r="J23" i="2"/>
  <c r="D23" i="2"/>
  <c r="J36" i="2"/>
  <c r="J35" i="2"/>
  <c r="J34" i="2"/>
  <c r="J33" i="2"/>
  <c r="J32" i="2"/>
  <c r="I31" i="2"/>
  <c r="J31" i="2" s="1"/>
  <c r="E34" i="2"/>
  <c r="E35" i="2"/>
  <c r="E32" i="2"/>
  <c r="E33" i="2"/>
  <c r="E36" i="2"/>
  <c r="D31" i="2"/>
  <c r="E31" i="2" s="1"/>
  <c r="D21" i="2"/>
  <c r="C21" i="2"/>
  <c r="J21" i="2"/>
  <c r="I21" i="2"/>
  <c r="F18" i="1"/>
  <c r="F19" i="1"/>
  <c r="F17" i="1"/>
  <c r="F7" i="1"/>
  <c r="F8" i="1"/>
  <c r="F6" i="1"/>
  <c r="N51" i="2" l="1"/>
  <c r="G51" i="2"/>
  <c r="F47" i="1"/>
  <c r="L16" i="2"/>
  <c r="L17" i="2" s="1"/>
  <c r="L51" i="2"/>
  <c r="K70" i="2"/>
  <c r="F64" i="2"/>
  <c r="F65" i="2" s="1"/>
  <c r="F66" i="2" s="1"/>
  <c r="F67" i="2" s="1"/>
  <c r="F68" i="2" s="1"/>
  <c r="F69" i="2" s="1"/>
  <c r="K21" i="2"/>
  <c r="E21" i="2"/>
  <c r="F15" i="2"/>
  <c r="F16" i="2" s="1"/>
  <c r="F17" i="2" s="1"/>
  <c r="F18" i="2" s="1"/>
  <c r="F19" i="2" s="1"/>
  <c r="E70" i="2"/>
  <c r="E37" i="2"/>
  <c r="J37" i="2"/>
</calcChain>
</file>

<file path=xl/sharedStrings.xml><?xml version="1.0" encoding="utf-8"?>
<sst xmlns="http://schemas.openxmlformats.org/spreadsheetml/2006/main" count="460" uniqueCount="237">
  <si>
    <t>States of nature</t>
  </si>
  <si>
    <t>Campaign A</t>
  </si>
  <si>
    <t>Campaign B</t>
  </si>
  <si>
    <t>Campaign C</t>
  </si>
  <si>
    <t>Low growth</t>
  </si>
  <si>
    <t>Medium growth</t>
  </si>
  <si>
    <t>High growth</t>
  </si>
  <si>
    <t>Payoffs in £000</t>
  </si>
  <si>
    <t>Maximax Rule</t>
  </si>
  <si>
    <t>Decision :</t>
  </si>
  <si>
    <t>Maximin Rule</t>
  </si>
  <si>
    <t>Minimax Regret Rule</t>
  </si>
  <si>
    <t>Highest Regret</t>
  </si>
  <si>
    <t>Max Payoff</t>
  </si>
  <si>
    <t>Min Payoff</t>
  </si>
  <si>
    <t>High growth (0.2)</t>
  </si>
  <si>
    <t>Medium growth  (0.2)</t>
  </si>
  <si>
    <t>EMV</t>
  </si>
  <si>
    <t>Low growth (0.6)</t>
  </si>
  <si>
    <t>Period</t>
  </si>
  <si>
    <t>Year 1</t>
  </si>
  <si>
    <t>Year 2</t>
  </si>
  <si>
    <t>Year 3</t>
  </si>
  <si>
    <t>Year 4</t>
  </si>
  <si>
    <t>Year 5</t>
  </si>
  <si>
    <t>Machine A</t>
  </si>
  <si>
    <t>Machine B</t>
  </si>
  <si>
    <t>Year 0</t>
  </si>
  <si>
    <t>Cash Inflow</t>
  </si>
  <si>
    <t>Cash Outflow</t>
  </si>
  <si>
    <t>Net Cashflow</t>
  </si>
  <si>
    <t>Total</t>
  </si>
  <si>
    <t>NPV</t>
  </si>
  <si>
    <t>Discount factor (5%)</t>
  </si>
  <si>
    <t>PV</t>
  </si>
  <si>
    <t>Payback Period =</t>
  </si>
  <si>
    <t>3 + (400/2000) =</t>
  </si>
  <si>
    <t>1 + (4600/5000) =</t>
  </si>
  <si>
    <t>Unrecoverd Investment</t>
  </si>
  <si>
    <t>Payoff Table</t>
  </si>
  <si>
    <t>A)</t>
  </si>
  <si>
    <t>B)</t>
  </si>
  <si>
    <t>C)</t>
  </si>
  <si>
    <t>D)</t>
  </si>
  <si>
    <t>Payoff Table for Machine A</t>
  </si>
  <si>
    <t>5 + (370/1000) =</t>
  </si>
  <si>
    <t>IRR</t>
  </si>
  <si>
    <t>DF - 5%</t>
  </si>
  <si>
    <t>PV - DF for 5%</t>
  </si>
  <si>
    <t>DF - 20%</t>
  </si>
  <si>
    <t>PV - DF for 20%</t>
  </si>
  <si>
    <t>IRR =</t>
  </si>
  <si>
    <r>
      <t>(N</t>
    </r>
    <r>
      <rPr>
        <vertAlign val="subscript"/>
        <sz val="11"/>
        <color theme="1"/>
        <rFont val="Aptos Narrow"/>
        <family val="2"/>
        <scheme val="minor"/>
      </rPr>
      <t xml:space="preserve">1 </t>
    </r>
    <r>
      <rPr>
        <sz val="11"/>
        <color theme="1"/>
        <rFont val="Aptos Narrow"/>
        <family val="2"/>
        <scheme val="minor"/>
      </rPr>
      <t>r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- N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r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) / (N</t>
    </r>
    <r>
      <rPr>
        <vertAlign val="subscript"/>
        <sz val="11"/>
        <color theme="1"/>
        <rFont val="Aptos Narrow"/>
        <family val="2"/>
        <scheme val="minor"/>
      </rPr>
      <t xml:space="preserve">1 </t>
    </r>
    <r>
      <rPr>
        <sz val="11"/>
        <color theme="1"/>
        <rFont val="Aptos Narrow"/>
        <family val="2"/>
        <scheme val="minor"/>
      </rPr>
      <t>- N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</si>
  <si>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t xml:space="preserve">       =</t>
  </si>
  <si>
    <t>(2,445.80 * 0.2 - (-24.50) * 0.05) / (2,445.80 - (-24.50))</t>
  </si>
  <si>
    <t>(837.00 * 0.2 - (-845.40) * 0.05) / (837.00 - (-845.40))</t>
  </si>
  <si>
    <t>Product</t>
  </si>
  <si>
    <t>Vulcanisation</t>
  </si>
  <si>
    <t>Stitching</t>
  </si>
  <si>
    <t>Assembling</t>
  </si>
  <si>
    <t>Packaging</t>
  </si>
  <si>
    <t>Minutes per trainer</t>
  </si>
  <si>
    <t>Minutes available
in the machines</t>
  </si>
  <si>
    <t>The unit contribution margin for running sneakers is £4, and for fashion sneakers is £5.</t>
  </si>
  <si>
    <t>Running trainers (A)</t>
  </si>
  <si>
    <t>Fashion trainers (B)</t>
  </si>
  <si>
    <t>Linear programming model</t>
  </si>
  <si>
    <t>Max 4A + 5B</t>
  </si>
  <si>
    <t>Subject to:</t>
  </si>
  <si>
    <t>12A + 18B ≤ 240</t>
  </si>
  <si>
    <t>30A + 45B ≤ 450</t>
  </si>
  <si>
    <t>20A + 60B ≤ 480</t>
  </si>
  <si>
    <t>40A + 30B ≤ 480</t>
  </si>
  <si>
    <t>Vulcanisation constraint</t>
  </si>
  <si>
    <t>(Stitching constraint)</t>
  </si>
  <si>
    <t>(Assembling constraint)</t>
  </si>
  <si>
    <t>(Packaging constraint)</t>
  </si>
  <si>
    <t>R ≥0; D ≥0</t>
  </si>
  <si>
    <t>(Non-negativity constraint)</t>
  </si>
  <si>
    <t>(objective function: maximize profit)</t>
  </si>
  <si>
    <t>12A + 18B = 240</t>
  </si>
  <si>
    <t>(A=0, B=13.33)</t>
  </si>
  <si>
    <t>(B=0, A=20)</t>
  </si>
  <si>
    <t>30A + 45B = 450</t>
  </si>
  <si>
    <t>20A + 60B = 480</t>
  </si>
  <si>
    <t>40A + 30B = 480</t>
  </si>
  <si>
    <t>(A=0, B=10)</t>
  </si>
  <si>
    <t>(B=0, A=15)</t>
  </si>
  <si>
    <t>(A=0, B=8)</t>
  </si>
  <si>
    <t>(B=0, A=24)</t>
  </si>
  <si>
    <t>(A=0, B=16)</t>
  </si>
  <si>
    <t>(B=0, A=12)</t>
  </si>
  <si>
    <t>A</t>
  </si>
  <si>
    <t>B</t>
  </si>
  <si>
    <t>4A + 5B = 20</t>
  </si>
  <si>
    <t>(A=0, B=4)</t>
  </si>
  <si>
    <t>(B=0, A=5)</t>
  </si>
  <si>
    <t>A = 6, B = 6</t>
  </si>
  <si>
    <t>30A + 45B = 450 _1</t>
  </si>
  <si>
    <t>20A + 60B = 480 _2</t>
  </si>
  <si>
    <t>*2</t>
  </si>
  <si>
    <t>*3</t>
  </si>
  <si>
    <t>60A + 90B = 900 _3</t>
  </si>
  <si>
    <t>60A + 180B = 1440 _4</t>
  </si>
  <si>
    <t>4 - 3</t>
  </si>
  <si>
    <t>(60A + 180B) - (60A + 90B) = 1440 - 900</t>
  </si>
  <si>
    <t>90B = 540</t>
  </si>
  <si>
    <t>B = 6</t>
  </si>
  <si>
    <t>1, B=6</t>
  </si>
  <si>
    <t>30A + (45*6) = 450</t>
  </si>
  <si>
    <t>30A + 270 = 450</t>
  </si>
  <si>
    <t>30A = 180</t>
  </si>
  <si>
    <t>A = 6</t>
  </si>
  <si>
    <t>Decision</t>
  </si>
  <si>
    <t>Option A</t>
  </si>
  <si>
    <t>Option B</t>
  </si>
  <si>
    <t>Option C</t>
  </si>
  <si>
    <t>Economic growth</t>
  </si>
  <si>
    <t>High (0.2)</t>
  </si>
  <si>
    <t>Low (0.6)</t>
  </si>
  <si>
    <t>Zero (0.2)</t>
  </si>
  <si>
    <t>Option A =</t>
  </si>
  <si>
    <t>Option C =</t>
  </si>
  <si>
    <t>Option B =</t>
  </si>
  <si>
    <t>(90*0.2) + (50*0.6) + (0*0.2)</t>
  </si>
  <si>
    <t>(200*0.2) + (50*0.6) + (50*0.2)</t>
  </si>
  <si>
    <t>(-10*0.2) + (10*0.6) + (50*0.2)</t>
  </si>
  <si>
    <t>(150*0.2) + (25*0.2) + (-100*0.6) =</t>
  </si>
  <si>
    <t>(45*0.2) + (45*0.2) + (0*0.6) =</t>
  </si>
  <si>
    <t>(-10*0.2) + (10*0.2) + (50*0.6) =</t>
  </si>
  <si>
    <t xml:space="preserve">                   =</t>
  </si>
  <si>
    <t>EMV;</t>
  </si>
  <si>
    <t>Sucessful</t>
  </si>
  <si>
    <t>Unsucessful</t>
  </si>
  <si>
    <t>Do a MC</t>
  </si>
  <si>
    <t>Not do a MC</t>
  </si>
  <si>
    <t>Option</t>
  </si>
  <si>
    <t>150 - 150 = 0</t>
  </si>
  <si>
    <t>150 - 45 = 105</t>
  </si>
  <si>
    <t>150 - (-10) = 160</t>
  </si>
  <si>
    <t>45 - 25 = 20</t>
  </si>
  <si>
    <t>45 - 45 = 0</t>
  </si>
  <si>
    <t>45 - 10 = 35</t>
  </si>
  <si>
    <t>50 - (-100) = 150</t>
  </si>
  <si>
    <t>50 - 0 = 50</t>
  </si>
  <si>
    <t>50 - 50 = 0</t>
  </si>
  <si>
    <t>Expected Monetary Value (EMV)</t>
  </si>
  <si>
    <t>EMV (A) =</t>
  </si>
  <si>
    <t>EMV (B) =</t>
  </si>
  <si>
    <t>EMV (C) =</t>
  </si>
  <si>
    <t>Value of perfect information =      69 - 30 =</t>
  </si>
  <si>
    <t>EV with perfect information   =      (0.2*150 + 0.2*45 + 0.6*50) =</t>
  </si>
  <si>
    <t>Best EMV =</t>
  </si>
  <si>
    <t>Net profit/loss =</t>
  </si>
  <si>
    <t>Value of perfect information - information cost</t>
  </si>
  <si>
    <t xml:space="preserve">  =</t>
  </si>
  <si>
    <t>39 - 50</t>
  </si>
  <si>
    <t>Week</t>
  </si>
  <si>
    <t>Demand</t>
  </si>
  <si>
    <t>Sales</t>
  </si>
  <si>
    <t>Purchasing</t>
  </si>
  <si>
    <t>Inventory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</si>
  <si>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</si>
  <si>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</si>
  <si>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</si>
  <si>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</si>
  <si>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</si>
  <si>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</si>
  <si>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</si>
  <si>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</si>
  <si>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</si>
  <si>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</si>
  <si>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</si>
  <si>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</si>
  <si>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</si>
  <si>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</si>
  <si>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</si>
  <si>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</si>
  <si>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</si>
  <si>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</si>
  <si>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</si>
  <si>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</si>
  <si>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</si>
  <si>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</si>
  <si>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</si>
  <si>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</si>
  <si>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</si>
  <si>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</si>
  <si>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</si>
  <si>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</si>
  <si>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</si>
  <si>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</si>
  <si>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</si>
  <si>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</si>
  <si>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</si>
  <si>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</si>
  <si>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</si>
  <si>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</si>
  <si>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</si>
  <si>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</si>
  <si>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</si>
  <si>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</si>
  <si>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</si>
  <si>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</si>
  <si>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</si>
  <si>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</si>
  <si>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</si>
  <si>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</si>
  <si>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</si>
  <si>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</si>
  <si>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</si>
  <si>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</si>
  <si>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</si>
  <si>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</si>
  <si>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Decline sales</t>
  </si>
  <si>
    <t>Demand &gt; Inventory cap.</t>
  </si>
  <si>
    <t>Demand &lt; Inventory cap.</t>
  </si>
  <si>
    <t>Decline sales when, Demand &gt; Inventory cap.</t>
  </si>
  <si>
    <t>Decline sales when, Demand &lt; Inventory cap.</t>
  </si>
  <si>
    <t>£5</t>
  </si>
  <si>
    <t>Expected contribution per unit when delivery time 2 weeks</t>
  </si>
  <si>
    <t>£2.50</t>
  </si>
  <si>
    <t>Expected contribution per unit when delivery time 0 weeks</t>
  </si>
  <si>
    <t>Short term</t>
  </si>
  <si>
    <t>Long term</t>
  </si>
  <si>
    <t>Fast deliver with 0 weeks</t>
  </si>
  <si>
    <t>Expanding Warehouse</t>
  </si>
  <si>
    <t>Combination</t>
  </si>
  <si>
    <t>2.50*(145,117+137,768)</t>
  </si>
  <si>
    <t>5*(145,117) - 400,000</t>
  </si>
  <si>
    <t>2.50*(145,117+137,768)-400,000</t>
  </si>
  <si>
    <t>5*337,708</t>
  </si>
  <si>
    <t>Men</t>
  </si>
  <si>
    <t>Women</t>
  </si>
  <si>
    <t>Maximax 
Rule</t>
  </si>
  <si>
    <t>Maximin 
Rule</t>
  </si>
  <si>
    <t>Minmax 
Regret
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</si>
</sst>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7"/>
      <color rgb="FF333333"/>
      <name val="Arial"/>
      <family val="2"/>
    </font>
    <font>
      <sz val="7"/>
      <color rgb="FF333333"/>
      <name val="Arial"/>
      <family val="2"/>
    </font>
    <font>
      <b/>
      <i/>
      <sz val="7"/>
      <color rgb="FF333333"/>
      <name val="Arial"/>
      <family val="2"/>
    </font>
    <font>
      <sz val="11"/>
      <color rgb="FFFF0000"/>
      <name val="Aptos Narrow"/>
      <family val="2"/>
      <scheme val="minor"/>
    </font>
    <font>
      <sz val="11"/>
      <color rgb="FF333333"/>
      <name val="Arial"/>
      <family val="2"/>
    </font>
    <font>
      <b/>
      <sz val="8"/>
      <color rgb="FF333333"/>
      <name val="Arial"/>
      <family val="2"/>
    </font>
    <font>
      <b/>
      <i/>
      <sz val="9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2DEDE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4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3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0" fontId="0" fillId="0" borderId="6" xfId="0" applyBorder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49" fontId="0" fillId="0" borderId="0" xfId="0" applyNumberFormat="1" applyAlignment="1">
      <alignment horizontal="center"/>
    </xf>
    <xf numFmtId="0" fontId="0" fillId="6" borderId="0" xfId="0" applyFill="1"/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3"/>
    </xf>
    <xf numFmtId="0" fontId="0" fillId="0" borderId="5" xfId="0" applyBorder="1" applyAlignment="1">
      <alignment horizontal="left" vertical="center" indent="3"/>
    </xf>
    <xf numFmtId="0" fontId="0" fillId="0" borderId="0" xfId="0" applyAlignment="1">
      <alignment horizontal="right" vertical="center" indent="14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10"/>
    </xf>
    <xf numFmtId="0" fontId="5" fillId="8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3" fontId="0" fillId="0" borderId="1" xfId="0" applyNumberFormat="1" applyBorder="1"/>
    <xf numFmtId="4" fontId="0" fillId="2" borderId="1" xfId="0" applyNumberFormat="1" applyFill="1" applyBorder="1" applyAlignment="1">
      <alignment horizontal="left" indent="3"/>
    </xf>
    <xf numFmtId="3" fontId="0" fillId="0" borderId="1" xfId="0" applyNumberFormat="1" applyBorder="1" applyAlignment="1">
      <alignment horizontal="left" indent="3"/>
    </xf>
    <xf numFmtId="4" fontId="0" fillId="0" borderId="1" xfId="0" applyNumberFormat="1" applyBorder="1" applyAlignment="1">
      <alignment horizontal="left" indent="3"/>
    </xf>
    <xf numFmtId="3" fontId="0" fillId="2" borderId="1" xfId="0" applyNumberFormat="1" applyFill="1" applyBorder="1" applyAlignment="1">
      <alignment horizontal="left" indent="3"/>
    </xf>
    <xf numFmtId="43" fontId="0" fillId="0" borderId="1" xfId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left" indent="2"/>
    </xf>
    <xf numFmtId="3" fontId="0" fillId="2" borderId="1" xfId="0" applyNumberFormat="1" applyFill="1" applyBorder="1" applyAlignment="1">
      <alignment horizontal="left" indent="2"/>
    </xf>
    <xf numFmtId="4" fontId="0" fillId="7" borderId="1" xfId="0" applyNumberFormat="1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wrapText="1"/>
    </xf>
    <xf numFmtId="0" fontId="5" fillId="9" borderId="1" xfId="0" applyFont="1" applyFill="1" applyBorder="1" applyAlignment="1">
      <alignment horizontal="left" vertical="top" wrapText="1"/>
    </xf>
    <xf numFmtId="3" fontId="6" fillId="9" borderId="1" xfId="0" applyNumberFormat="1" applyFont="1" applyFill="1" applyBorder="1" applyAlignment="1">
      <alignment horizontal="right" vertical="top" wrapText="1"/>
    </xf>
    <xf numFmtId="0" fontId="6" fillId="9" borderId="1" xfId="0" applyFont="1" applyFill="1" applyBorder="1" applyAlignment="1">
      <alignment horizontal="right" vertical="top" wrapText="1"/>
    </xf>
    <xf numFmtId="0" fontId="5" fillId="10" borderId="1" xfId="0" applyFont="1" applyFill="1" applyBorder="1" applyAlignment="1">
      <alignment horizontal="left" vertical="top" wrapText="1"/>
    </xf>
    <xf numFmtId="3" fontId="6" fillId="10" borderId="1" xfId="0" applyNumberFormat="1" applyFont="1" applyFill="1" applyBorder="1" applyAlignment="1">
      <alignment horizontal="right" vertical="top" wrapText="1"/>
    </xf>
    <xf numFmtId="0" fontId="6" fillId="10" borderId="1" xfId="0" applyFont="1" applyFill="1" applyBorder="1" applyAlignment="1">
      <alignment horizontal="right" vertical="top" wrapText="1"/>
    </xf>
    <xf numFmtId="0" fontId="5" fillId="8" borderId="1" xfId="0" applyFont="1" applyFill="1" applyBorder="1" applyAlignment="1">
      <alignment horizontal="left" vertical="top" wrapText="1"/>
    </xf>
    <xf numFmtId="3" fontId="6" fillId="8" borderId="1" xfId="0" applyNumberFormat="1" applyFont="1" applyFill="1" applyBorder="1" applyAlignment="1">
      <alignment horizontal="right" vertical="top" wrapText="1"/>
    </xf>
    <xf numFmtId="0" fontId="6" fillId="8" borderId="1" xfId="0" applyFont="1" applyFill="1" applyBorder="1" applyAlignment="1">
      <alignment horizontal="right" vertical="top" wrapText="1"/>
    </xf>
    <xf numFmtId="0" fontId="5" fillId="0" borderId="1" xfId="0" applyFont="1" applyBorder="1" applyAlignment="1">
      <alignment horizontal="center" vertical="center" wrapText="1"/>
    </xf>
    <xf numFmtId="3" fontId="0" fillId="0" borderId="13" xfId="0" applyNumberFormat="1" applyBorder="1"/>
    <xf numFmtId="3" fontId="0" fillId="0" borderId="14" xfId="0" applyNumberFormat="1" applyBorder="1"/>
    <xf numFmtId="3" fontId="8" fillId="0" borderId="14" xfId="0" applyNumberFormat="1" applyFont="1" applyBorder="1"/>
    <xf numFmtId="0" fontId="10" fillId="8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1" borderId="12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25</xdr:row>
      <xdr:rowOff>0</xdr:rowOff>
    </xdr:from>
    <xdr:to>
      <xdr:col>9</xdr:col>
      <xdr:colOff>90714</xdr:colOff>
      <xdr:row>30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FB988DC-0A48-2FBE-AB84-6A1777925986}"/>
            </a:ext>
          </a:extLst>
        </xdr:cNvPr>
        <xdr:cNvCxnSpPr/>
      </xdr:nvCxnSpPr>
      <xdr:spPr>
        <a:xfrm flipH="1" flipV="1">
          <a:off x="7347857" y="4649107"/>
          <a:ext cx="648607" cy="929822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40822</xdr:rowOff>
    </xdr:from>
    <xdr:to>
      <xdr:col>8</xdr:col>
      <xdr:colOff>104321</xdr:colOff>
      <xdr:row>30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8068D05-5DC6-D80E-4BBC-850E262C74DE}"/>
            </a:ext>
          </a:extLst>
        </xdr:cNvPr>
        <xdr:cNvCxnSpPr/>
      </xdr:nvCxnSpPr>
      <xdr:spPr>
        <a:xfrm flipH="1" flipV="1">
          <a:off x="7347857" y="4875893"/>
          <a:ext cx="476250" cy="703036"/>
        </a:xfrm>
        <a:prstGeom prst="line">
          <a:avLst/>
        </a:prstGeom>
        <a:ln>
          <a:solidFill>
            <a:srgbClr val="FFF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24</xdr:row>
      <xdr:rowOff>0</xdr:rowOff>
    </xdr:from>
    <xdr:to>
      <xdr:col>8</xdr:col>
      <xdr:colOff>0</xdr:colOff>
      <xdr:row>30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7D66C50-18B8-E050-454A-49DF14F25ADE}"/>
            </a:ext>
          </a:extLst>
        </xdr:cNvPr>
        <xdr:cNvCxnSpPr/>
      </xdr:nvCxnSpPr>
      <xdr:spPr>
        <a:xfrm flipH="1" flipV="1">
          <a:off x="7347857" y="4463143"/>
          <a:ext cx="371929" cy="1115786"/>
        </a:xfrm>
        <a:prstGeom prst="line">
          <a:avLst/>
        </a:prstGeom>
        <a:ln>
          <a:solidFill>
            <a:srgbClr val="92D05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181429</xdr:rowOff>
    </xdr:from>
    <xdr:to>
      <xdr:col>10</xdr:col>
      <xdr:colOff>4536</xdr:colOff>
      <xdr:row>30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35D2FE1-ED48-4F26-655A-689238E81B61}"/>
            </a:ext>
          </a:extLst>
        </xdr:cNvPr>
        <xdr:cNvCxnSpPr/>
      </xdr:nvCxnSpPr>
      <xdr:spPr>
        <a:xfrm flipH="1" flipV="1">
          <a:off x="7347857" y="5016500"/>
          <a:ext cx="748393" cy="562429"/>
        </a:xfrm>
        <a:prstGeom prst="line">
          <a:avLst/>
        </a:prstGeom>
        <a:ln>
          <a:solidFill>
            <a:srgbClr val="00B05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28</xdr:row>
      <xdr:rowOff>142875</xdr:rowOff>
    </xdr:from>
    <xdr:to>
      <xdr:col>7</xdr:col>
      <xdr:colOff>0</xdr:colOff>
      <xdr:row>29</xdr:row>
      <xdr:rowOff>178593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B12D4D84-217A-E979-6EF0-9E6AF4C90A26}"/>
            </a:ext>
          </a:extLst>
        </xdr:cNvPr>
        <xdr:cNvCxnSpPr/>
      </xdr:nvCxnSpPr>
      <xdr:spPr>
        <a:xfrm>
          <a:off x="7358063" y="5254625"/>
          <a:ext cx="182562" cy="218281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152738</xdr:colOff>
      <xdr:row>27</xdr:row>
      <xdr:rowOff>136641</xdr:rowOff>
    </xdr:from>
    <xdr:to>
      <xdr:col>7</xdr:col>
      <xdr:colOff>151484</xdr:colOff>
      <xdr:row>28</xdr:row>
      <xdr:rowOff>172283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8CE084F-93AB-43CA-930B-B1A3948FD08C}"/>
            </a:ext>
          </a:extLst>
        </xdr:cNvPr>
        <xdr:cNvCxnSpPr/>
      </xdr:nvCxnSpPr>
      <xdr:spPr>
        <a:xfrm>
          <a:off x="7506924" y="5120653"/>
          <a:ext cx="183339" cy="220235"/>
        </a:xfrm>
        <a:prstGeom prst="line">
          <a:avLst/>
        </a:prstGeom>
        <a:ln w="1905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138949</xdr:colOff>
      <xdr:row>28</xdr:row>
      <xdr:rowOff>157330</xdr:rowOff>
    </xdr:from>
    <xdr:to>
      <xdr:col>8</xdr:col>
      <xdr:colOff>138948</xdr:colOff>
      <xdr:row>30</xdr:row>
      <xdr:rowOff>9231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5376E188-4B96-48A3-9423-A43E36963F9D}"/>
            </a:ext>
          </a:extLst>
        </xdr:cNvPr>
        <xdr:cNvCxnSpPr/>
      </xdr:nvCxnSpPr>
      <xdr:spPr>
        <a:xfrm>
          <a:off x="7672054" y="5304172"/>
          <a:ext cx="183815" cy="219533"/>
        </a:xfrm>
        <a:prstGeom prst="line">
          <a:avLst/>
        </a:prstGeom>
        <a:ln w="1905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1839</xdr:colOff>
      <xdr:row>26</xdr:row>
      <xdr:rowOff>140534</xdr:rowOff>
    </xdr:from>
    <xdr:to>
      <xdr:col>7</xdr:col>
      <xdr:colOff>1839</xdr:colOff>
      <xdr:row>27</xdr:row>
      <xdr:rowOff>176254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88D512C-6A8F-4265-9A9A-4327C65EE4CE}"/>
            </a:ext>
          </a:extLst>
        </xdr:cNvPr>
        <xdr:cNvCxnSpPr/>
      </xdr:nvCxnSpPr>
      <xdr:spPr>
        <a:xfrm>
          <a:off x="7351128" y="4919745"/>
          <a:ext cx="183816" cy="219535"/>
        </a:xfrm>
        <a:prstGeom prst="line">
          <a:avLst/>
        </a:prstGeom>
        <a:ln w="1905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1133476</xdr:colOff>
      <xdr:row>28</xdr:row>
      <xdr:rowOff>87313</xdr:rowOff>
    </xdr:from>
    <xdr:to>
      <xdr:col>7</xdr:col>
      <xdr:colOff>92076</xdr:colOff>
      <xdr:row>28</xdr:row>
      <xdr:rowOff>88901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77EE68DC-95FA-342C-2C4D-751CB83F1464}"/>
            </a:ext>
          </a:extLst>
        </xdr:cNvPr>
        <xdr:cNvCxnSpPr/>
      </xdr:nvCxnSpPr>
      <xdr:spPr>
        <a:xfrm>
          <a:off x="7261226" y="5243513"/>
          <a:ext cx="368300" cy="1588"/>
        </a:xfrm>
        <a:prstGeom prst="line">
          <a:avLst/>
        </a:prstGeom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85726</xdr:colOff>
      <xdr:row>28</xdr:row>
      <xdr:rowOff>80963</xdr:rowOff>
    </xdr:from>
    <xdr:to>
      <xdr:col>7</xdr:col>
      <xdr:colOff>85726</xdr:colOff>
      <xdr:row>30</xdr:row>
      <xdr:rowOff>92076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D918577C-D02F-31D8-93FE-BC17132DEA71}"/>
            </a:ext>
          </a:extLst>
        </xdr:cNvPr>
        <xdr:cNvCxnSpPr/>
      </xdr:nvCxnSpPr>
      <xdr:spPr>
        <a:xfrm>
          <a:off x="7623176" y="5237163"/>
          <a:ext cx="0" cy="379413"/>
        </a:xfrm>
        <a:prstGeom prst="line">
          <a:avLst/>
        </a:prstGeom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5</xdr:col>
      <xdr:colOff>120650</xdr:colOff>
      <xdr:row>29</xdr:row>
      <xdr:rowOff>33313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51A7DF9-C8C3-4101-8779-AF0023DE21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83" t="3024" r="20503" b="8266"/>
        <a:stretch/>
      </xdr:blipFill>
      <xdr:spPr>
        <a:xfrm>
          <a:off x="730250" y="3314700"/>
          <a:ext cx="3041650" cy="2058963"/>
        </a:xfrm>
        <a:prstGeom prst="rect">
          <a:avLst/>
        </a:prstGeom>
      </xdr:spPr>
    </xdr:pic>
    <xdr:clientData/>
  </xdr:twoCellAnchor>
  <xdr:twoCellAnchor editAs="oneCell">
    <xdr:from>
      <xdr:col>5</xdr:col>
      <xdr:colOff>730249</xdr:colOff>
      <xdr:row>32</xdr:row>
      <xdr:rowOff>0</xdr:rowOff>
    </xdr:from>
    <xdr:to>
      <xdr:col>12</xdr:col>
      <xdr:colOff>103070</xdr:colOff>
      <xdr:row>44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E50B5-B76C-4C45-9A84-D5D6B90C1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499" y="5892800"/>
          <a:ext cx="4484571" cy="2266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750F-F492-4656-BAFF-A0F1B8A59278}">
  <dimension ref="B1:AB55"/>
  <sheetViews>
    <sheetView topLeftCell="A20" workbookViewId="0">
      <selection activeCell="I26" sqref="I26"/>
    </sheetView>
  </sheetViews>
  <sheetFormatPr defaultRowHeight="14.5" x14ac:dyDescent="0.35"/>
  <cols>
    <col min="2" max="2" width="8.7265625" customWidth="1"/>
    <col min="3" max="3" width="21.6328125" customWidth="1"/>
    <col min="4" max="10" width="15.453125" customWidth="1"/>
  </cols>
  <sheetData>
    <row r="1" spans="3:28" x14ac:dyDescent="0.35">
      <c r="L1" s="80" t="s">
        <v>232</v>
      </c>
      <c r="M1" s="80"/>
      <c r="N1" s="80"/>
      <c r="O1" s="80"/>
      <c r="P1" s="80"/>
      <c r="Q1" s="80"/>
      <c r="R1" s="80"/>
      <c r="S1" s="80"/>
      <c r="U1" s="80" t="s">
        <v>233</v>
      </c>
      <c r="V1" s="80"/>
      <c r="W1" s="80"/>
      <c r="X1" s="80"/>
      <c r="Y1" s="80"/>
      <c r="Z1" s="80"/>
      <c r="AA1" s="80"/>
      <c r="AB1" s="80"/>
    </row>
    <row r="2" spans="3:28" ht="32.5" x14ac:dyDescent="0.35">
      <c r="C2" s="2"/>
      <c r="D2" s="71" t="s">
        <v>158</v>
      </c>
      <c r="E2" s="71" t="s">
        <v>159</v>
      </c>
      <c r="F2" s="71" t="s">
        <v>160</v>
      </c>
      <c r="G2" s="71" t="s">
        <v>161</v>
      </c>
      <c r="H2" s="71" t="s">
        <v>214</v>
      </c>
      <c r="I2" s="71" t="s">
        <v>217</v>
      </c>
      <c r="J2" s="71" t="s">
        <v>218</v>
      </c>
      <c r="L2" s="57" t="s">
        <v>157</v>
      </c>
      <c r="M2" s="44" t="s">
        <v>158</v>
      </c>
      <c r="N2" s="44" t="s">
        <v>159</v>
      </c>
      <c r="O2" s="44" t="s">
        <v>160</v>
      </c>
      <c r="P2" s="44" t="s">
        <v>161</v>
      </c>
      <c r="Q2" s="44" t="s">
        <v>214</v>
      </c>
      <c r="R2" s="44" t="s">
        <v>215</v>
      </c>
      <c r="S2" s="44" t="s">
        <v>216</v>
      </c>
      <c r="U2" s="57" t="s">
        <v>157</v>
      </c>
      <c r="V2" s="44" t="s">
        <v>158</v>
      </c>
      <c r="W2" s="44" t="s">
        <v>159</v>
      </c>
      <c r="X2" s="44" t="s">
        <v>160</v>
      </c>
      <c r="Y2" s="44" t="s">
        <v>161</v>
      </c>
      <c r="Z2" s="44" t="s">
        <v>214</v>
      </c>
      <c r="AA2" s="44" t="s">
        <v>215</v>
      </c>
      <c r="AB2" s="44" t="s">
        <v>216</v>
      </c>
    </row>
    <row r="3" spans="3:28" x14ac:dyDescent="0.35">
      <c r="C3" s="72" t="s">
        <v>232</v>
      </c>
      <c r="D3" s="46">
        <v>154448</v>
      </c>
      <c r="E3" s="46">
        <v>70969</v>
      </c>
      <c r="F3" s="46">
        <v>68552</v>
      </c>
      <c r="G3" s="46">
        <v>4715</v>
      </c>
      <c r="H3" s="46">
        <v>83479</v>
      </c>
      <c r="I3" s="46">
        <v>19313</v>
      </c>
      <c r="J3" s="46">
        <v>64166</v>
      </c>
      <c r="L3" s="58" t="s">
        <v>162</v>
      </c>
      <c r="M3" s="59">
        <v>1832</v>
      </c>
      <c r="N3" s="59">
        <v>1832</v>
      </c>
      <c r="O3" s="60">
        <v>0</v>
      </c>
      <c r="P3" s="60">
        <v>585</v>
      </c>
      <c r="Q3" s="46">
        <f>M3-N3</f>
        <v>0</v>
      </c>
      <c r="R3" s="2">
        <f t="shared" ref="R3:R54" si="0">IF(M3&gt;3000,M3-3000,0)</f>
        <v>0</v>
      </c>
      <c r="S3" s="2">
        <f t="shared" ref="S3:S54" si="1">IF(M3&lt;3000,Q3,Q3-R3)</f>
        <v>0</v>
      </c>
      <c r="U3" s="58" t="s">
        <v>162</v>
      </c>
      <c r="V3" s="59">
        <v>2394</v>
      </c>
      <c r="W3" s="59">
        <v>2394</v>
      </c>
      <c r="X3" s="60">
        <v>0</v>
      </c>
      <c r="Y3" s="60">
        <v>312</v>
      </c>
      <c r="Z3" s="46">
        <f>V3-W3</f>
        <v>0</v>
      </c>
      <c r="AA3" s="2">
        <f t="shared" ref="AA3:AA54" si="2">IF(V3&gt;3000,V3-3000,0)</f>
        <v>0</v>
      </c>
      <c r="AB3" s="2">
        <f t="shared" ref="AB3:AB54" si="3">IF(V3&lt;3000,Z3,Z3-AA3)</f>
        <v>0</v>
      </c>
    </row>
    <row r="4" spans="3:28" ht="15" thickBot="1" x14ac:dyDescent="0.4">
      <c r="C4" s="73" t="s">
        <v>233</v>
      </c>
      <c r="D4" s="68">
        <v>183260</v>
      </c>
      <c r="E4" s="68">
        <v>74148</v>
      </c>
      <c r="F4" s="68">
        <v>74442</v>
      </c>
      <c r="G4" s="68">
        <v>5107</v>
      </c>
      <c r="H4" s="68">
        <v>109112</v>
      </c>
      <c r="I4" s="68">
        <v>35510</v>
      </c>
      <c r="J4" s="68">
        <v>73602</v>
      </c>
      <c r="L4" s="61" t="s">
        <v>163</v>
      </c>
      <c r="M4" s="62">
        <v>1696</v>
      </c>
      <c r="N4" s="63">
        <v>585</v>
      </c>
      <c r="O4" s="63">
        <v>0</v>
      </c>
      <c r="P4" s="63">
        <v>0</v>
      </c>
      <c r="Q4" s="46">
        <f t="shared" ref="Q4:Q54" si="4">M4-N4</f>
        <v>1111</v>
      </c>
      <c r="R4" s="2">
        <f t="shared" si="0"/>
        <v>0</v>
      </c>
      <c r="S4" s="2">
        <f t="shared" si="1"/>
        <v>1111</v>
      </c>
      <c r="U4" s="61" t="s">
        <v>163</v>
      </c>
      <c r="V4" s="62">
        <v>2217</v>
      </c>
      <c r="W4" s="63">
        <v>312</v>
      </c>
      <c r="X4" s="63">
        <v>0</v>
      </c>
      <c r="Y4" s="63">
        <v>0</v>
      </c>
      <c r="Z4" s="46">
        <f t="shared" ref="Z4:Z54" si="5">V4-W4</f>
        <v>1905</v>
      </c>
      <c r="AA4" s="2">
        <f t="shared" si="2"/>
        <v>0</v>
      </c>
      <c r="AB4" s="2">
        <f t="shared" si="3"/>
        <v>1905</v>
      </c>
    </row>
    <row r="5" spans="3:28" ht="15" thickBot="1" x14ac:dyDescent="0.4">
      <c r="C5" s="74" t="s">
        <v>31</v>
      </c>
      <c r="D5" s="69">
        <f>SUM(D3:D4)</f>
        <v>337708</v>
      </c>
      <c r="E5" s="69">
        <f t="shared" ref="E5:J5" si="6">SUM(E3:E4)</f>
        <v>145117</v>
      </c>
      <c r="F5" s="69">
        <f t="shared" si="6"/>
        <v>142994</v>
      </c>
      <c r="G5" s="69">
        <f t="shared" si="6"/>
        <v>9822</v>
      </c>
      <c r="H5" s="70">
        <f t="shared" si="6"/>
        <v>192591</v>
      </c>
      <c r="I5" s="69">
        <f t="shared" si="6"/>
        <v>54823</v>
      </c>
      <c r="J5" s="69">
        <f t="shared" si="6"/>
        <v>137768</v>
      </c>
      <c r="L5" s="61" t="s">
        <v>164</v>
      </c>
      <c r="M5" s="62">
        <v>1574</v>
      </c>
      <c r="N5" s="63">
        <v>0</v>
      </c>
      <c r="O5" s="63">
        <v>0</v>
      </c>
      <c r="P5" s="63">
        <v>0</v>
      </c>
      <c r="Q5" s="46">
        <f t="shared" si="4"/>
        <v>1574</v>
      </c>
      <c r="R5" s="2">
        <f t="shared" si="0"/>
        <v>0</v>
      </c>
      <c r="S5" s="2">
        <f t="shared" si="1"/>
        <v>1574</v>
      </c>
      <c r="U5" s="61" t="s">
        <v>164</v>
      </c>
      <c r="V5" s="62">
        <v>2887</v>
      </c>
      <c r="W5" s="62">
        <v>2688</v>
      </c>
      <c r="X5" s="62">
        <v>2688</v>
      </c>
      <c r="Y5" s="63">
        <v>0</v>
      </c>
      <c r="Z5" s="46">
        <f t="shared" si="5"/>
        <v>199</v>
      </c>
      <c r="AA5" s="2">
        <f t="shared" si="2"/>
        <v>0</v>
      </c>
      <c r="AB5" s="2">
        <f t="shared" si="3"/>
        <v>199</v>
      </c>
    </row>
    <row r="6" spans="3:28" ht="15" thickTop="1" x14ac:dyDescent="0.35">
      <c r="L6" s="64" t="s">
        <v>165</v>
      </c>
      <c r="M6" s="65">
        <v>1919</v>
      </c>
      <c r="N6" s="65">
        <v>1919</v>
      </c>
      <c r="O6" s="65">
        <v>3000</v>
      </c>
      <c r="P6" s="65">
        <v>1081</v>
      </c>
      <c r="Q6" s="46">
        <f t="shared" si="4"/>
        <v>0</v>
      </c>
      <c r="R6" s="2">
        <f t="shared" si="0"/>
        <v>0</v>
      </c>
      <c r="S6" s="2">
        <f t="shared" si="1"/>
        <v>0</v>
      </c>
      <c r="U6" s="61" t="s">
        <v>165</v>
      </c>
      <c r="V6" s="62">
        <v>2057</v>
      </c>
      <c r="W6" s="63">
        <v>0</v>
      </c>
      <c r="X6" s="63">
        <v>0</v>
      </c>
      <c r="Y6" s="63">
        <v>0</v>
      </c>
      <c r="Z6" s="46">
        <f t="shared" si="5"/>
        <v>2057</v>
      </c>
      <c r="AA6" s="2">
        <f t="shared" si="2"/>
        <v>0</v>
      </c>
      <c r="AB6" s="2">
        <f t="shared" si="3"/>
        <v>2057</v>
      </c>
    </row>
    <row r="7" spans="3:28" x14ac:dyDescent="0.35">
      <c r="C7" s="76" t="s">
        <v>220</v>
      </c>
      <c r="D7" s="77"/>
      <c r="E7" s="78"/>
      <c r="F7" s="9" t="s">
        <v>219</v>
      </c>
      <c r="L7" s="61" t="s">
        <v>166</v>
      </c>
      <c r="M7" s="62">
        <v>1661</v>
      </c>
      <c r="N7" s="62">
        <v>1081</v>
      </c>
      <c r="O7" s="63">
        <v>0</v>
      </c>
      <c r="P7" s="63">
        <v>0</v>
      </c>
      <c r="Q7" s="46">
        <f t="shared" si="4"/>
        <v>580</v>
      </c>
      <c r="R7" s="2">
        <f t="shared" si="0"/>
        <v>0</v>
      </c>
      <c r="S7" s="2">
        <f t="shared" si="1"/>
        <v>580</v>
      </c>
      <c r="U7" s="58" t="s">
        <v>166</v>
      </c>
      <c r="V7" s="59">
        <v>2057</v>
      </c>
      <c r="W7" s="59">
        <v>2057</v>
      </c>
      <c r="X7" s="59">
        <v>3000</v>
      </c>
      <c r="Y7" s="60">
        <v>943</v>
      </c>
      <c r="Z7" s="46">
        <f t="shared" si="5"/>
        <v>0</v>
      </c>
      <c r="AA7" s="2">
        <f t="shared" si="2"/>
        <v>0</v>
      </c>
      <c r="AB7" s="2">
        <f t="shared" si="3"/>
        <v>0</v>
      </c>
    </row>
    <row r="8" spans="3:28" x14ac:dyDescent="0.35">
      <c r="C8" s="79" t="s">
        <v>222</v>
      </c>
      <c r="D8" s="79"/>
      <c r="E8" s="79"/>
      <c r="F8" s="9" t="s">
        <v>221</v>
      </c>
      <c r="L8" s="61" t="s">
        <v>167</v>
      </c>
      <c r="M8" s="62">
        <v>1696</v>
      </c>
      <c r="N8" s="63">
        <v>0</v>
      </c>
      <c r="O8" s="63">
        <v>0</v>
      </c>
      <c r="P8" s="63">
        <v>0</v>
      </c>
      <c r="Q8" s="46">
        <f t="shared" si="4"/>
        <v>1696</v>
      </c>
      <c r="R8" s="2">
        <f t="shared" si="0"/>
        <v>0</v>
      </c>
      <c r="S8" s="2">
        <f t="shared" si="1"/>
        <v>1696</v>
      </c>
      <c r="U8" s="61" t="s">
        <v>167</v>
      </c>
      <c r="V8" s="62">
        <v>2217</v>
      </c>
      <c r="W8" s="63">
        <v>943</v>
      </c>
      <c r="X8" s="63">
        <v>0</v>
      </c>
      <c r="Y8" s="63">
        <v>0</v>
      </c>
      <c r="Z8" s="46">
        <f t="shared" si="5"/>
        <v>1274</v>
      </c>
      <c r="AA8" s="2">
        <f t="shared" si="2"/>
        <v>0</v>
      </c>
      <c r="AB8" s="2">
        <f t="shared" si="3"/>
        <v>1274</v>
      </c>
    </row>
    <row r="9" spans="3:28" x14ac:dyDescent="0.35">
      <c r="L9" s="58" t="s">
        <v>168</v>
      </c>
      <c r="M9" s="59">
        <v>2102</v>
      </c>
      <c r="N9" s="59">
        <v>2102</v>
      </c>
      <c r="O9" s="59">
        <v>3000</v>
      </c>
      <c r="P9" s="60">
        <v>898</v>
      </c>
      <c r="Q9" s="46">
        <f t="shared" si="4"/>
        <v>0</v>
      </c>
      <c r="R9" s="2">
        <f t="shared" si="0"/>
        <v>0</v>
      </c>
      <c r="S9" s="2">
        <f t="shared" si="1"/>
        <v>0</v>
      </c>
      <c r="U9" s="61" t="s">
        <v>168</v>
      </c>
      <c r="V9" s="62">
        <v>2394</v>
      </c>
      <c r="W9" s="63">
        <v>0</v>
      </c>
      <c r="X9" s="63">
        <v>0</v>
      </c>
      <c r="Y9" s="63">
        <v>0</v>
      </c>
      <c r="Z9" s="46">
        <f t="shared" si="5"/>
        <v>2394</v>
      </c>
      <c r="AA9" s="2">
        <f t="shared" si="2"/>
        <v>0</v>
      </c>
      <c r="AB9" s="2">
        <f t="shared" si="3"/>
        <v>2394</v>
      </c>
    </row>
    <row r="10" spans="3:28" x14ac:dyDescent="0.35">
      <c r="L10" s="61" t="s">
        <v>169</v>
      </c>
      <c r="M10" s="62">
        <v>2065</v>
      </c>
      <c r="N10" s="63">
        <v>898</v>
      </c>
      <c r="O10" s="63">
        <v>0</v>
      </c>
      <c r="P10" s="63">
        <v>0</v>
      </c>
      <c r="Q10" s="46">
        <f t="shared" si="4"/>
        <v>1167</v>
      </c>
      <c r="R10" s="2">
        <f t="shared" si="0"/>
        <v>0</v>
      </c>
      <c r="S10" s="2">
        <f t="shared" si="1"/>
        <v>1167</v>
      </c>
      <c r="U10" s="64" t="s">
        <v>169</v>
      </c>
      <c r="V10" s="65">
        <v>2754</v>
      </c>
      <c r="W10" s="65">
        <v>2754</v>
      </c>
      <c r="X10" s="65">
        <v>3000</v>
      </c>
      <c r="Y10" s="66">
        <v>246</v>
      </c>
      <c r="Z10" s="46">
        <f t="shared" si="5"/>
        <v>0</v>
      </c>
      <c r="AA10" s="2">
        <f t="shared" si="2"/>
        <v>0</v>
      </c>
      <c r="AB10" s="2">
        <f t="shared" si="3"/>
        <v>0</v>
      </c>
    </row>
    <row r="11" spans="3:28" x14ac:dyDescent="0.35">
      <c r="C11" s="9" t="s">
        <v>136</v>
      </c>
      <c r="D11" s="81" t="s">
        <v>223</v>
      </c>
      <c r="E11" s="81"/>
      <c r="F11" s="81"/>
      <c r="G11" s="80" t="s">
        <v>224</v>
      </c>
      <c r="H11" s="80"/>
      <c r="I11" s="80"/>
      <c r="L11" s="61" t="s">
        <v>170</v>
      </c>
      <c r="M11" s="62">
        <v>2091</v>
      </c>
      <c r="N11" s="63">
        <v>0</v>
      </c>
      <c r="O11" s="63">
        <v>0</v>
      </c>
      <c r="P11" s="63">
        <v>0</v>
      </c>
      <c r="Q11" s="46">
        <f t="shared" si="4"/>
        <v>2091</v>
      </c>
      <c r="R11" s="2">
        <f t="shared" si="0"/>
        <v>0</v>
      </c>
      <c r="S11" s="2">
        <f t="shared" si="1"/>
        <v>2091</v>
      </c>
      <c r="U11" s="61" t="s">
        <v>170</v>
      </c>
      <c r="V11" s="62">
        <v>2735</v>
      </c>
      <c r="W11" s="63">
        <v>246</v>
      </c>
      <c r="X11" s="63">
        <v>0</v>
      </c>
      <c r="Y11" s="63">
        <v>0</v>
      </c>
      <c r="Z11" s="46">
        <f t="shared" si="5"/>
        <v>2489</v>
      </c>
      <c r="AA11" s="2">
        <f t="shared" si="2"/>
        <v>0</v>
      </c>
      <c r="AB11" s="2">
        <f t="shared" si="3"/>
        <v>2489</v>
      </c>
    </row>
    <row r="12" spans="3:28" x14ac:dyDescent="0.35">
      <c r="C12" s="2" t="s">
        <v>225</v>
      </c>
      <c r="D12" s="80" t="s">
        <v>228</v>
      </c>
      <c r="E12" s="80"/>
      <c r="F12" s="51">
        <f>2.5*(145117+137768)</f>
        <v>707212.5</v>
      </c>
      <c r="G12" s="80" t="s">
        <v>228</v>
      </c>
      <c r="H12" s="80"/>
      <c r="I12" s="51">
        <f>2.5*(145117+137768)</f>
        <v>707212.5</v>
      </c>
      <c r="L12" s="61" t="s">
        <v>171</v>
      </c>
      <c r="M12" s="62">
        <v>3625</v>
      </c>
      <c r="N12" s="62">
        <v>3000</v>
      </c>
      <c r="O12" s="62">
        <v>3000</v>
      </c>
      <c r="P12" s="63">
        <v>0</v>
      </c>
      <c r="Q12" s="46">
        <f t="shared" si="4"/>
        <v>625</v>
      </c>
      <c r="R12" s="2">
        <f t="shared" si="0"/>
        <v>625</v>
      </c>
      <c r="S12" s="2">
        <f t="shared" si="1"/>
        <v>0</v>
      </c>
      <c r="U12" s="61" t="s">
        <v>171</v>
      </c>
      <c r="V12" s="62">
        <v>3413</v>
      </c>
      <c r="W12" s="62">
        <v>2754</v>
      </c>
      <c r="X12" s="62">
        <v>2754</v>
      </c>
      <c r="Y12" s="63">
        <v>0</v>
      </c>
      <c r="Z12" s="46">
        <f t="shared" si="5"/>
        <v>659</v>
      </c>
      <c r="AA12" s="2">
        <f t="shared" si="2"/>
        <v>413</v>
      </c>
      <c r="AB12" s="2">
        <f t="shared" si="3"/>
        <v>246</v>
      </c>
    </row>
    <row r="13" spans="3:28" ht="14.5" customHeight="1" x14ac:dyDescent="0.35">
      <c r="C13" s="2" t="s">
        <v>226</v>
      </c>
      <c r="D13" s="80" t="s">
        <v>229</v>
      </c>
      <c r="E13" s="80"/>
      <c r="F13" s="16">
        <f>5*(145117) - 400000</f>
        <v>325585</v>
      </c>
      <c r="G13" s="80" t="s">
        <v>231</v>
      </c>
      <c r="H13" s="80"/>
      <c r="I13" s="52">
        <f>5*337708</f>
        <v>1688540</v>
      </c>
      <c r="L13" s="61" t="s">
        <v>172</v>
      </c>
      <c r="M13" s="62">
        <v>2348</v>
      </c>
      <c r="N13" s="63">
        <v>0</v>
      </c>
      <c r="O13" s="63">
        <v>0</v>
      </c>
      <c r="P13" s="63">
        <v>0</v>
      </c>
      <c r="Q13" s="46">
        <f t="shared" si="4"/>
        <v>2348</v>
      </c>
      <c r="R13" s="2">
        <f t="shared" si="0"/>
        <v>0</v>
      </c>
      <c r="S13" s="2">
        <f t="shared" si="1"/>
        <v>2348</v>
      </c>
      <c r="U13" s="61" t="s">
        <v>172</v>
      </c>
      <c r="V13" s="62">
        <v>3069</v>
      </c>
      <c r="W13" s="63">
        <v>0</v>
      </c>
      <c r="X13" s="63">
        <v>0</v>
      </c>
      <c r="Y13" s="63">
        <v>0</v>
      </c>
      <c r="Z13" s="46">
        <f t="shared" si="5"/>
        <v>3069</v>
      </c>
      <c r="AA13" s="2">
        <f t="shared" si="2"/>
        <v>69</v>
      </c>
      <c r="AB13" s="2">
        <f t="shared" si="3"/>
        <v>3000</v>
      </c>
    </row>
    <row r="14" spans="3:28" ht="14.5" customHeight="1" x14ac:dyDescent="0.35">
      <c r="C14" s="2" t="s">
        <v>227</v>
      </c>
      <c r="D14" s="81" t="s">
        <v>230</v>
      </c>
      <c r="E14" s="81"/>
      <c r="F14" s="51">
        <f>2.5*(145117+137768)-400000</f>
        <v>307212.5</v>
      </c>
      <c r="G14" s="80" t="s">
        <v>231</v>
      </c>
      <c r="H14" s="80"/>
      <c r="I14" s="52">
        <f>5*337708</f>
        <v>1688540</v>
      </c>
      <c r="L14" s="61" t="s">
        <v>173</v>
      </c>
      <c r="M14" s="62">
        <v>3005</v>
      </c>
      <c r="N14" s="62">
        <v>3000</v>
      </c>
      <c r="O14" s="62">
        <v>3000</v>
      </c>
      <c r="P14" s="63">
        <v>0</v>
      </c>
      <c r="Q14" s="46">
        <f t="shared" si="4"/>
        <v>5</v>
      </c>
      <c r="R14" s="2">
        <f t="shared" si="0"/>
        <v>5</v>
      </c>
      <c r="S14" s="2">
        <f t="shared" si="1"/>
        <v>0</v>
      </c>
      <c r="U14" s="61" t="s">
        <v>173</v>
      </c>
      <c r="V14" s="62">
        <v>3577</v>
      </c>
      <c r="W14" s="62">
        <v>3000</v>
      </c>
      <c r="X14" s="62">
        <v>3000</v>
      </c>
      <c r="Y14" s="63">
        <v>0</v>
      </c>
      <c r="Z14" s="46">
        <f t="shared" si="5"/>
        <v>577</v>
      </c>
      <c r="AA14" s="2">
        <f t="shared" si="2"/>
        <v>577</v>
      </c>
      <c r="AB14" s="2">
        <f t="shared" si="3"/>
        <v>0</v>
      </c>
    </row>
    <row r="15" spans="3:28" ht="14.5" customHeight="1" x14ac:dyDescent="0.35">
      <c r="L15" s="61" t="s">
        <v>174</v>
      </c>
      <c r="M15" s="62">
        <v>2878</v>
      </c>
      <c r="N15" s="63">
        <v>0</v>
      </c>
      <c r="O15" s="63">
        <v>0</v>
      </c>
      <c r="P15" s="63">
        <v>0</v>
      </c>
      <c r="Q15" s="46">
        <f t="shared" si="4"/>
        <v>2878</v>
      </c>
      <c r="R15" s="2">
        <f t="shared" si="0"/>
        <v>0</v>
      </c>
      <c r="S15" s="2">
        <f t="shared" si="1"/>
        <v>2878</v>
      </c>
      <c r="U15" s="61" t="s">
        <v>174</v>
      </c>
      <c r="V15" s="62">
        <v>3760</v>
      </c>
      <c r="W15" s="63">
        <v>0</v>
      </c>
      <c r="X15" s="63">
        <v>0</v>
      </c>
      <c r="Y15" s="63">
        <v>0</v>
      </c>
      <c r="Z15" s="46">
        <f t="shared" si="5"/>
        <v>3760</v>
      </c>
      <c r="AA15" s="2">
        <f t="shared" si="2"/>
        <v>760</v>
      </c>
      <c r="AB15" s="2">
        <f t="shared" si="3"/>
        <v>3000</v>
      </c>
    </row>
    <row r="16" spans="3:28" x14ac:dyDescent="0.35">
      <c r="L16" s="61" t="s">
        <v>175</v>
      </c>
      <c r="M16" s="62">
        <v>4418</v>
      </c>
      <c r="N16" s="62">
        <v>3000</v>
      </c>
      <c r="O16" s="62">
        <v>3000</v>
      </c>
      <c r="P16" s="63">
        <v>0</v>
      </c>
      <c r="Q16" s="46">
        <f t="shared" si="4"/>
        <v>1418</v>
      </c>
      <c r="R16" s="2">
        <f t="shared" si="0"/>
        <v>1418</v>
      </c>
      <c r="S16" s="2">
        <f t="shared" si="1"/>
        <v>0</v>
      </c>
      <c r="U16" s="61" t="s">
        <v>175</v>
      </c>
      <c r="V16" s="62">
        <v>4187</v>
      </c>
      <c r="W16" s="62">
        <v>3000</v>
      </c>
      <c r="X16" s="62">
        <v>3000</v>
      </c>
      <c r="Y16" s="63">
        <v>0</v>
      </c>
      <c r="Z16" s="46">
        <f t="shared" si="5"/>
        <v>1187</v>
      </c>
      <c r="AA16" s="2">
        <f t="shared" si="2"/>
        <v>1187</v>
      </c>
      <c r="AB16" s="2">
        <f t="shared" si="3"/>
        <v>0</v>
      </c>
    </row>
    <row r="17" spans="2:28" x14ac:dyDescent="0.35">
      <c r="B17" s="82" t="s">
        <v>234</v>
      </c>
      <c r="C17" s="9" t="s">
        <v>136</v>
      </c>
      <c r="D17" s="9" t="s">
        <v>223</v>
      </c>
      <c r="E17" s="9" t="s">
        <v>224</v>
      </c>
      <c r="F17" s="9" t="s">
        <v>13</v>
      </c>
      <c r="L17" s="61" t="s">
        <v>176</v>
      </c>
      <c r="M17" s="62">
        <v>3393</v>
      </c>
      <c r="N17" s="63">
        <v>0</v>
      </c>
      <c r="O17" s="63">
        <v>0</v>
      </c>
      <c r="P17" s="63">
        <v>0</v>
      </c>
      <c r="Q17" s="46">
        <f t="shared" si="4"/>
        <v>3393</v>
      </c>
      <c r="R17" s="2">
        <f t="shared" si="0"/>
        <v>393</v>
      </c>
      <c r="S17" s="2">
        <f t="shared" si="1"/>
        <v>3000</v>
      </c>
      <c r="U17" s="61" t="s">
        <v>176</v>
      </c>
      <c r="V17" s="62">
        <v>4433</v>
      </c>
      <c r="W17" s="63">
        <v>0</v>
      </c>
      <c r="X17" s="63">
        <v>0</v>
      </c>
      <c r="Y17" s="63">
        <v>0</v>
      </c>
      <c r="Z17" s="46">
        <f t="shared" si="5"/>
        <v>4433</v>
      </c>
      <c r="AA17" s="2">
        <f t="shared" si="2"/>
        <v>1433</v>
      </c>
      <c r="AB17" s="2">
        <f t="shared" si="3"/>
        <v>3000</v>
      </c>
    </row>
    <row r="18" spans="2:28" x14ac:dyDescent="0.35">
      <c r="B18" s="83"/>
      <c r="C18" s="2" t="s">
        <v>225</v>
      </c>
      <c r="D18" s="29">
        <v>707212.5</v>
      </c>
      <c r="E18" s="29">
        <v>707212.5</v>
      </c>
      <c r="F18" s="53">
        <f>D18</f>
        <v>707212.5</v>
      </c>
      <c r="L18" s="61" t="s">
        <v>177</v>
      </c>
      <c r="M18" s="62">
        <v>4279</v>
      </c>
      <c r="N18" s="62">
        <v>3000</v>
      </c>
      <c r="O18" s="62">
        <v>3000</v>
      </c>
      <c r="P18" s="63">
        <v>0</v>
      </c>
      <c r="Q18" s="46">
        <f t="shared" si="4"/>
        <v>1279</v>
      </c>
      <c r="R18" s="2">
        <f t="shared" si="0"/>
        <v>1279</v>
      </c>
      <c r="S18" s="2">
        <f t="shared" si="1"/>
        <v>0</v>
      </c>
      <c r="U18" s="61" t="s">
        <v>177</v>
      </c>
      <c r="V18" s="62">
        <v>4675</v>
      </c>
      <c r="W18" s="62">
        <v>3000</v>
      </c>
      <c r="X18" s="62">
        <v>3000</v>
      </c>
      <c r="Y18" s="63">
        <v>0</v>
      </c>
      <c r="Z18" s="46">
        <f t="shared" si="5"/>
        <v>1675</v>
      </c>
      <c r="AA18" s="2">
        <f t="shared" si="2"/>
        <v>1675</v>
      </c>
      <c r="AB18" s="2">
        <f t="shared" si="3"/>
        <v>0</v>
      </c>
    </row>
    <row r="19" spans="2:28" x14ac:dyDescent="0.35">
      <c r="B19" s="83"/>
      <c r="C19" s="2" t="s">
        <v>226</v>
      </c>
      <c r="D19" s="16">
        <v>325585</v>
      </c>
      <c r="E19" s="16">
        <v>1668540</v>
      </c>
      <c r="F19" s="54">
        <f>E19</f>
        <v>1668540</v>
      </c>
      <c r="L19" s="61" t="s">
        <v>178</v>
      </c>
      <c r="M19" s="62">
        <v>3584</v>
      </c>
      <c r="N19" s="63">
        <v>0</v>
      </c>
      <c r="O19" s="63">
        <v>0</v>
      </c>
      <c r="P19" s="63">
        <v>0</v>
      </c>
      <c r="Q19" s="46">
        <f t="shared" si="4"/>
        <v>3584</v>
      </c>
      <c r="R19" s="2">
        <f t="shared" si="0"/>
        <v>584</v>
      </c>
      <c r="S19" s="2">
        <f t="shared" si="1"/>
        <v>3000</v>
      </c>
      <c r="U19" s="61" t="s">
        <v>178</v>
      </c>
      <c r="V19" s="62">
        <v>4682</v>
      </c>
      <c r="W19" s="63">
        <v>0</v>
      </c>
      <c r="X19" s="63">
        <v>0</v>
      </c>
      <c r="Y19" s="63">
        <v>0</v>
      </c>
      <c r="Z19" s="46">
        <f t="shared" si="5"/>
        <v>4682</v>
      </c>
      <c r="AA19" s="2">
        <f t="shared" si="2"/>
        <v>1682</v>
      </c>
      <c r="AB19" s="2">
        <f t="shared" si="3"/>
        <v>3000</v>
      </c>
    </row>
    <row r="20" spans="2:28" x14ac:dyDescent="0.35">
      <c r="B20" s="83"/>
      <c r="C20" s="2" t="s">
        <v>227</v>
      </c>
      <c r="D20" s="29">
        <v>307212.5</v>
      </c>
      <c r="E20" s="16">
        <v>1668540</v>
      </c>
      <c r="F20" s="54">
        <f>E20</f>
        <v>1668540</v>
      </c>
      <c r="L20" s="61" t="s">
        <v>179</v>
      </c>
      <c r="M20" s="62">
        <v>4248</v>
      </c>
      <c r="N20" s="62">
        <v>3000</v>
      </c>
      <c r="O20" s="62">
        <v>3000</v>
      </c>
      <c r="P20" s="63">
        <v>0</v>
      </c>
      <c r="Q20" s="46">
        <f t="shared" si="4"/>
        <v>1248</v>
      </c>
      <c r="R20" s="2">
        <f t="shared" si="0"/>
        <v>1248</v>
      </c>
      <c r="S20" s="2">
        <f t="shared" si="1"/>
        <v>0</v>
      </c>
      <c r="U20" s="61" t="s">
        <v>179</v>
      </c>
      <c r="V20" s="62">
        <v>5015</v>
      </c>
      <c r="W20" s="62">
        <v>3000</v>
      </c>
      <c r="X20" s="62">
        <v>3000</v>
      </c>
      <c r="Y20" s="63">
        <v>0</v>
      </c>
      <c r="Z20" s="46">
        <f t="shared" si="5"/>
        <v>2015</v>
      </c>
      <c r="AA20" s="2">
        <f t="shared" si="2"/>
        <v>2015</v>
      </c>
      <c r="AB20" s="2">
        <f t="shared" si="3"/>
        <v>0</v>
      </c>
    </row>
    <row r="21" spans="2:28" x14ac:dyDescent="0.35">
      <c r="L21" s="61" t="s">
        <v>180</v>
      </c>
      <c r="M21" s="62">
        <v>3665</v>
      </c>
      <c r="N21" s="63">
        <v>0</v>
      </c>
      <c r="O21" s="63">
        <v>0</v>
      </c>
      <c r="P21" s="63">
        <v>0</v>
      </c>
      <c r="Q21" s="46">
        <f t="shared" si="4"/>
        <v>3665</v>
      </c>
      <c r="R21" s="2">
        <f t="shared" si="0"/>
        <v>665</v>
      </c>
      <c r="S21" s="2">
        <f t="shared" si="1"/>
        <v>3000</v>
      </c>
      <c r="U21" s="61" t="s">
        <v>180</v>
      </c>
      <c r="V21" s="62">
        <v>4788</v>
      </c>
      <c r="W21" s="63">
        <v>0</v>
      </c>
      <c r="X21" s="63">
        <v>0</v>
      </c>
      <c r="Y21" s="63">
        <v>0</v>
      </c>
      <c r="Z21" s="46">
        <f t="shared" si="5"/>
        <v>4788</v>
      </c>
      <c r="AA21" s="2">
        <f t="shared" si="2"/>
        <v>1788</v>
      </c>
      <c r="AB21" s="2">
        <f t="shared" si="3"/>
        <v>3000</v>
      </c>
    </row>
    <row r="22" spans="2:28" x14ac:dyDescent="0.35">
      <c r="L22" s="61" t="s">
        <v>181</v>
      </c>
      <c r="M22" s="62">
        <v>4996</v>
      </c>
      <c r="N22" s="62">
        <v>3000</v>
      </c>
      <c r="O22" s="62">
        <v>3000</v>
      </c>
      <c r="P22" s="63">
        <v>0</v>
      </c>
      <c r="Q22" s="46">
        <f t="shared" si="4"/>
        <v>1996</v>
      </c>
      <c r="R22" s="2">
        <f t="shared" si="0"/>
        <v>1996</v>
      </c>
      <c r="S22" s="2">
        <f t="shared" si="1"/>
        <v>0</v>
      </c>
      <c r="U22" s="61" t="s">
        <v>181</v>
      </c>
      <c r="V22" s="62">
        <v>4682</v>
      </c>
      <c r="W22" s="62">
        <v>3000</v>
      </c>
      <c r="X22" s="62">
        <v>3000</v>
      </c>
      <c r="Y22" s="63">
        <v>0</v>
      </c>
      <c r="Z22" s="46">
        <f t="shared" si="5"/>
        <v>1682</v>
      </c>
      <c r="AA22" s="2">
        <f t="shared" si="2"/>
        <v>1682</v>
      </c>
      <c r="AB22" s="2">
        <f t="shared" si="3"/>
        <v>0</v>
      </c>
    </row>
    <row r="23" spans="2:28" x14ac:dyDescent="0.35">
      <c r="B23" s="82" t="s">
        <v>235</v>
      </c>
      <c r="C23" s="9" t="s">
        <v>136</v>
      </c>
      <c r="D23" s="9" t="s">
        <v>223</v>
      </c>
      <c r="E23" s="9" t="s">
        <v>224</v>
      </c>
      <c r="F23" s="9" t="s">
        <v>14</v>
      </c>
      <c r="L23" s="61" t="s">
        <v>182</v>
      </c>
      <c r="M23" s="62">
        <v>3528</v>
      </c>
      <c r="N23" s="63">
        <v>0</v>
      </c>
      <c r="O23" s="63">
        <v>0</v>
      </c>
      <c r="P23" s="63">
        <v>0</v>
      </c>
      <c r="Q23" s="46">
        <f t="shared" si="4"/>
        <v>3528</v>
      </c>
      <c r="R23" s="2">
        <f t="shared" si="0"/>
        <v>528</v>
      </c>
      <c r="S23" s="2">
        <f t="shared" si="1"/>
        <v>3000</v>
      </c>
      <c r="U23" s="61" t="s">
        <v>182</v>
      </c>
      <c r="V23" s="62">
        <v>4611</v>
      </c>
      <c r="W23" s="63">
        <v>0</v>
      </c>
      <c r="X23" s="63">
        <v>0</v>
      </c>
      <c r="Y23" s="63">
        <v>0</v>
      </c>
      <c r="Z23" s="46">
        <f t="shared" si="5"/>
        <v>4611</v>
      </c>
      <c r="AA23" s="2">
        <f t="shared" si="2"/>
        <v>1611</v>
      </c>
      <c r="AB23" s="2">
        <f t="shared" si="3"/>
        <v>3000</v>
      </c>
    </row>
    <row r="24" spans="2:28" x14ac:dyDescent="0.35">
      <c r="B24" s="83"/>
      <c r="C24" s="2" t="s">
        <v>225</v>
      </c>
      <c r="D24" s="29">
        <v>707212.5</v>
      </c>
      <c r="E24" s="29">
        <v>707212.5</v>
      </c>
      <c r="F24" s="47">
        <f>E24</f>
        <v>707212.5</v>
      </c>
      <c r="L24" s="61" t="s">
        <v>183</v>
      </c>
      <c r="M24" s="62">
        <v>4283</v>
      </c>
      <c r="N24" s="62">
        <v>3000</v>
      </c>
      <c r="O24" s="62">
        <v>3000</v>
      </c>
      <c r="P24" s="63">
        <v>0</v>
      </c>
      <c r="Q24" s="46">
        <f t="shared" si="4"/>
        <v>1283</v>
      </c>
      <c r="R24" s="2">
        <f t="shared" si="0"/>
        <v>1283</v>
      </c>
      <c r="S24" s="2">
        <f t="shared" si="1"/>
        <v>0</v>
      </c>
      <c r="U24" s="61" t="s">
        <v>183</v>
      </c>
      <c r="V24" s="62">
        <v>4748</v>
      </c>
      <c r="W24" s="62">
        <v>3000</v>
      </c>
      <c r="X24" s="62">
        <v>3000</v>
      </c>
      <c r="Y24" s="63">
        <v>0</v>
      </c>
      <c r="Z24" s="46">
        <f t="shared" si="5"/>
        <v>1748</v>
      </c>
      <c r="AA24" s="2">
        <f t="shared" si="2"/>
        <v>1748</v>
      </c>
      <c r="AB24" s="2">
        <f t="shared" si="3"/>
        <v>0</v>
      </c>
    </row>
    <row r="25" spans="2:28" x14ac:dyDescent="0.35">
      <c r="B25" s="83"/>
      <c r="C25" s="2" t="s">
        <v>226</v>
      </c>
      <c r="D25" s="16">
        <v>325585</v>
      </c>
      <c r="E25" s="16">
        <v>1668540</v>
      </c>
      <c r="F25" s="48">
        <f>D25</f>
        <v>325585</v>
      </c>
      <c r="L25" s="61" t="s">
        <v>184</v>
      </c>
      <c r="M25" s="62">
        <v>3136</v>
      </c>
      <c r="N25" s="63">
        <v>0</v>
      </c>
      <c r="O25" s="63">
        <v>0</v>
      </c>
      <c r="P25" s="63">
        <v>0</v>
      </c>
      <c r="Q25" s="46">
        <f t="shared" si="4"/>
        <v>3136</v>
      </c>
      <c r="R25" s="2">
        <f t="shared" si="0"/>
        <v>136</v>
      </c>
      <c r="S25" s="2">
        <f t="shared" si="1"/>
        <v>3000</v>
      </c>
      <c r="U25" s="61" t="s">
        <v>184</v>
      </c>
      <c r="V25" s="62">
        <v>4097</v>
      </c>
      <c r="W25" s="63">
        <v>0</v>
      </c>
      <c r="X25" s="63">
        <v>0</v>
      </c>
      <c r="Y25" s="63">
        <v>0</v>
      </c>
      <c r="Z25" s="46">
        <f t="shared" si="5"/>
        <v>4097</v>
      </c>
      <c r="AA25" s="2">
        <f t="shared" si="2"/>
        <v>1097</v>
      </c>
      <c r="AB25" s="2">
        <f t="shared" si="3"/>
        <v>3000</v>
      </c>
    </row>
    <row r="26" spans="2:28" ht="14.5" customHeight="1" x14ac:dyDescent="0.35">
      <c r="B26" s="83"/>
      <c r="C26" s="2" t="s">
        <v>227</v>
      </c>
      <c r="D26" s="29">
        <v>307212.5</v>
      </c>
      <c r="E26" s="16">
        <v>1668540</v>
      </c>
      <c r="F26" s="49">
        <f>D26</f>
        <v>307212.5</v>
      </c>
      <c r="L26" s="61" t="s">
        <v>185</v>
      </c>
      <c r="M26" s="62">
        <v>4302</v>
      </c>
      <c r="N26" s="62">
        <v>3000</v>
      </c>
      <c r="O26" s="62">
        <v>3000</v>
      </c>
      <c r="P26" s="63">
        <v>0</v>
      </c>
      <c r="Q26" s="46">
        <f t="shared" si="4"/>
        <v>1302</v>
      </c>
      <c r="R26" s="2">
        <f t="shared" si="0"/>
        <v>1302</v>
      </c>
      <c r="S26" s="2">
        <f t="shared" si="1"/>
        <v>0</v>
      </c>
      <c r="U26" s="61" t="s">
        <v>185</v>
      </c>
      <c r="V26" s="62">
        <v>3760</v>
      </c>
      <c r="W26" s="62">
        <v>3000</v>
      </c>
      <c r="X26" s="62">
        <v>3000</v>
      </c>
      <c r="Y26" s="63">
        <v>0</v>
      </c>
      <c r="Z26" s="46">
        <f t="shared" si="5"/>
        <v>760</v>
      </c>
      <c r="AA26" s="2">
        <f t="shared" si="2"/>
        <v>760</v>
      </c>
      <c r="AB26" s="2">
        <f t="shared" si="3"/>
        <v>0</v>
      </c>
    </row>
    <row r="27" spans="2:28" x14ac:dyDescent="0.35">
      <c r="L27" s="61" t="s">
        <v>186</v>
      </c>
      <c r="M27" s="62">
        <v>2620</v>
      </c>
      <c r="N27" s="63">
        <v>0</v>
      </c>
      <c r="O27" s="63">
        <v>0</v>
      </c>
      <c r="P27" s="63">
        <v>0</v>
      </c>
      <c r="Q27" s="46">
        <f t="shared" si="4"/>
        <v>2620</v>
      </c>
      <c r="R27" s="2">
        <f t="shared" si="0"/>
        <v>0</v>
      </c>
      <c r="S27" s="2">
        <f t="shared" si="1"/>
        <v>2620</v>
      </c>
      <c r="U27" s="61" t="s">
        <v>186</v>
      </c>
      <c r="V27" s="62">
        <v>3423</v>
      </c>
      <c r="W27" s="63">
        <v>0</v>
      </c>
      <c r="X27" s="63">
        <v>0</v>
      </c>
      <c r="Y27" s="63">
        <v>0</v>
      </c>
      <c r="Z27" s="46">
        <f t="shared" si="5"/>
        <v>3423</v>
      </c>
      <c r="AA27" s="2">
        <f t="shared" si="2"/>
        <v>423</v>
      </c>
      <c r="AB27" s="2">
        <f t="shared" si="3"/>
        <v>3000</v>
      </c>
    </row>
    <row r="28" spans="2:28" x14ac:dyDescent="0.35">
      <c r="L28" s="64" t="s">
        <v>187</v>
      </c>
      <c r="M28" s="65">
        <v>2694</v>
      </c>
      <c r="N28" s="65">
        <v>2694</v>
      </c>
      <c r="O28" s="65">
        <v>3000</v>
      </c>
      <c r="P28" s="66">
        <v>306</v>
      </c>
      <c r="Q28" s="46">
        <f t="shared" si="4"/>
        <v>0</v>
      </c>
      <c r="R28" s="2">
        <f t="shared" si="0"/>
        <v>0</v>
      </c>
      <c r="S28" s="2">
        <f t="shared" si="1"/>
        <v>0</v>
      </c>
      <c r="U28" s="61" t="s">
        <v>187</v>
      </c>
      <c r="V28" s="62">
        <v>3069</v>
      </c>
      <c r="W28" s="62">
        <v>3000</v>
      </c>
      <c r="X28" s="62">
        <v>3000</v>
      </c>
      <c r="Y28" s="63">
        <v>0</v>
      </c>
      <c r="Z28" s="46">
        <f t="shared" si="5"/>
        <v>69</v>
      </c>
      <c r="AA28" s="2">
        <f t="shared" si="2"/>
        <v>69</v>
      </c>
      <c r="AB28" s="2">
        <f t="shared" si="3"/>
        <v>0</v>
      </c>
    </row>
    <row r="29" spans="2:28" x14ac:dyDescent="0.35">
      <c r="B29" s="75" t="s">
        <v>236</v>
      </c>
      <c r="C29" s="9" t="s">
        <v>136</v>
      </c>
      <c r="D29" s="9" t="s">
        <v>223</v>
      </c>
      <c r="E29" s="9" t="s">
        <v>224</v>
      </c>
      <c r="L29" s="61" t="s">
        <v>188</v>
      </c>
      <c r="M29" s="62">
        <v>2103</v>
      </c>
      <c r="N29" s="63">
        <v>306</v>
      </c>
      <c r="O29" s="63">
        <v>0</v>
      </c>
      <c r="P29" s="63">
        <v>0</v>
      </c>
      <c r="Q29" s="46">
        <f t="shared" si="4"/>
        <v>1797</v>
      </c>
      <c r="R29" s="2">
        <f t="shared" si="0"/>
        <v>0</v>
      </c>
      <c r="S29" s="2">
        <f t="shared" si="1"/>
        <v>1797</v>
      </c>
      <c r="U29" s="61" t="s">
        <v>188</v>
      </c>
      <c r="V29" s="62">
        <v>2731</v>
      </c>
      <c r="W29" s="63">
        <v>0</v>
      </c>
      <c r="X29" s="63">
        <v>0</v>
      </c>
      <c r="Y29" s="63">
        <v>0</v>
      </c>
      <c r="Z29" s="46">
        <f t="shared" si="5"/>
        <v>2731</v>
      </c>
      <c r="AA29" s="2">
        <f t="shared" si="2"/>
        <v>0</v>
      </c>
      <c r="AB29" s="2">
        <f t="shared" si="3"/>
        <v>2731</v>
      </c>
    </row>
    <row r="30" spans="2:28" x14ac:dyDescent="0.35">
      <c r="B30" s="75"/>
      <c r="C30" s="2" t="s">
        <v>225</v>
      </c>
      <c r="D30" s="55">
        <v>707212.5</v>
      </c>
      <c r="E30" s="29">
        <v>707212.5</v>
      </c>
      <c r="L30" s="64" t="s">
        <v>189</v>
      </c>
      <c r="M30" s="65">
        <v>1918</v>
      </c>
      <c r="N30" s="65">
        <v>1918</v>
      </c>
      <c r="O30" s="65">
        <v>2694</v>
      </c>
      <c r="P30" s="66">
        <v>776</v>
      </c>
      <c r="Q30" s="46">
        <f t="shared" si="4"/>
        <v>0</v>
      </c>
      <c r="R30" s="2">
        <f t="shared" si="0"/>
        <v>0</v>
      </c>
      <c r="S30" s="2">
        <f t="shared" si="1"/>
        <v>0</v>
      </c>
      <c r="U30" s="61" t="s">
        <v>189</v>
      </c>
      <c r="V30" s="62">
        <v>3499</v>
      </c>
      <c r="W30" s="62">
        <v>3000</v>
      </c>
      <c r="X30" s="62">
        <v>3000</v>
      </c>
      <c r="Y30" s="63">
        <v>0</v>
      </c>
      <c r="Z30" s="46">
        <f t="shared" si="5"/>
        <v>499</v>
      </c>
      <c r="AA30" s="2">
        <f t="shared" si="2"/>
        <v>499</v>
      </c>
      <c r="AB30" s="2">
        <f t="shared" si="3"/>
        <v>0</v>
      </c>
    </row>
    <row r="31" spans="2:28" x14ac:dyDescent="0.35">
      <c r="B31" s="75"/>
      <c r="C31" s="2" t="s">
        <v>226</v>
      </c>
      <c r="D31" s="16">
        <v>325585</v>
      </c>
      <c r="E31" s="56">
        <v>1668540</v>
      </c>
      <c r="L31" s="61" t="s">
        <v>190</v>
      </c>
      <c r="M31" s="62">
        <v>1918</v>
      </c>
      <c r="N31" s="63">
        <v>776</v>
      </c>
      <c r="O31" s="63">
        <v>0</v>
      </c>
      <c r="P31" s="63">
        <v>0</v>
      </c>
      <c r="Q31" s="46">
        <f t="shared" si="4"/>
        <v>1142</v>
      </c>
      <c r="R31" s="2">
        <f t="shared" si="0"/>
        <v>0</v>
      </c>
      <c r="S31" s="2">
        <f t="shared" si="1"/>
        <v>1142</v>
      </c>
      <c r="U31" s="61" t="s">
        <v>190</v>
      </c>
      <c r="V31" s="62">
        <v>2394</v>
      </c>
      <c r="W31" s="63">
        <v>0</v>
      </c>
      <c r="X31" s="63">
        <v>0</v>
      </c>
      <c r="Y31" s="63">
        <v>0</v>
      </c>
      <c r="Z31" s="46">
        <f t="shared" si="5"/>
        <v>2394</v>
      </c>
      <c r="AA31" s="2">
        <f t="shared" si="2"/>
        <v>0</v>
      </c>
      <c r="AB31" s="2">
        <f t="shared" si="3"/>
        <v>2394</v>
      </c>
    </row>
    <row r="32" spans="2:28" x14ac:dyDescent="0.35">
      <c r="B32" s="75"/>
      <c r="C32" s="2" t="s">
        <v>227</v>
      </c>
      <c r="D32" s="29">
        <v>307212.5</v>
      </c>
      <c r="E32" s="56">
        <v>1668540</v>
      </c>
      <c r="L32" s="61" t="s">
        <v>191</v>
      </c>
      <c r="M32" s="62">
        <v>1832</v>
      </c>
      <c r="N32" s="63">
        <v>0</v>
      </c>
      <c r="O32" s="63">
        <v>0</v>
      </c>
      <c r="P32" s="63">
        <v>0</v>
      </c>
      <c r="Q32" s="46">
        <f t="shared" si="4"/>
        <v>1832</v>
      </c>
      <c r="R32" s="2">
        <f t="shared" si="0"/>
        <v>0</v>
      </c>
      <c r="S32" s="2">
        <f t="shared" si="1"/>
        <v>1832</v>
      </c>
      <c r="U32" s="61" t="s">
        <v>191</v>
      </c>
      <c r="V32" s="62">
        <v>3360</v>
      </c>
      <c r="W32" s="62">
        <v>3000</v>
      </c>
      <c r="X32" s="62">
        <v>3000</v>
      </c>
      <c r="Y32" s="63">
        <v>0</v>
      </c>
      <c r="Z32" s="46">
        <f t="shared" si="5"/>
        <v>360</v>
      </c>
      <c r="AA32" s="2">
        <f t="shared" si="2"/>
        <v>360</v>
      </c>
      <c r="AB32" s="2">
        <f t="shared" si="3"/>
        <v>0</v>
      </c>
    </row>
    <row r="33" spans="2:28" x14ac:dyDescent="0.35">
      <c r="B33" s="75"/>
      <c r="L33" s="58" t="s">
        <v>192</v>
      </c>
      <c r="M33" s="59">
        <v>2073</v>
      </c>
      <c r="N33" s="59">
        <v>2073</v>
      </c>
      <c r="O33" s="59">
        <v>3000</v>
      </c>
      <c r="P33" s="60">
        <v>927</v>
      </c>
      <c r="Q33" s="46">
        <f t="shared" si="4"/>
        <v>0</v>
      </c>
      <c r="R33" s="2">
        <f t="shared" si="0"/>
        <v>0</v>
      </c>
      <c r="S33" s="2">
        <f t="shared" si="1"/>
        <v>0</v>
      </c>
      <c r="U33" s="61" t="s">
        <v>192</v>
      </c>
      <c r="V33" s="62">
        <v>2394</v>
      </c>
      <c r="W33" s="63">
        <v>0</v>
      </c>
      <c r="X33" s="63">
        <v>0</v>
      </c>
      <c r="Y33" s="63">
        <v>0</v>
      </c>
      <c r="Z33" s="46">
        <f t="shared" si="5"/>
        <v>2394</v>
      </c>
      <c r="AA33" s="2">
        <f t="shared" si="2"/>
        <v>0</v>
      </c>
      <c r="AB33" s="2">
        <f t="shared" si="3"/>
        <v>2394</v>
      </c>
    </row>
    <row r="34" spans="2:28" x14ac:dyDescent="0.35">
      <c r="B34" s="75"/>
      <c r="L34" s="61" t="s">
        <v>193</v>
      </c>
      <c r="M34" s="62">
        <v>1959</v>
      </c>
      <c r="N34" s="63">
        <v>927</v>
      </c>
      <c r="O34" s="63">
        <v>0</v>
      </c>
      <c r="P34" s="63">
        <v>0</v>
      </c>
      <c r="Q34" s="46">
        <f t="shared" si="4"/>
        <v>1032</v>
      </c>
      <c r="R34" s="2">
        <f t="shared" si="0"/>
        <v>0</v>
      </c>
      <c r="S34" s="2">
        <f t="shared" si="1"/>
        <v>1032</v>
      </c>
      <c r="U34" s="64" t="s">
        <v>193</v>
      </c>
      <c r="V34" s="65">
        <v>2394</v>
      </c>
      <c r="W34" s="65">
        <v>2394</v>
      </c>
      <c r="X34" s="65">
        <v>3000</v>
      </c>
      <c r="Y34" s="66">
        <v>606</v>
      </c>
      <c r="Z34" s="46">
        <f t="shared" si="5"/>
        <v>0</v>
      </c>
      <c r="AA34" s="2">
        <f t="shared" si="2"/>
        <v>0</v>
      </c>
      <c r="AB34" s="2">
        <f t="shared" si="3"/>
        <v>0</v>
      </c>
    </row>
    <row r="35" spans="2:28" x14ac:dyDescent="0.35">
      <c r="B35" s="75"/>
      <c r="C35" s="9" t="s">
        <v>136</v>
      </c>
      <c r="D35" s="9" t="s">
        <v>223</v>
      </c>
      <c r="E35" s="9" t="s">
        <v>224</v>
      </c>
      <c r="F35" s="12" t="s">
        <v>12</v>
      </c>
      <c r="L35" s="61" t="s">
        <v>194</v>
      </c>
      <c r="M35" s="62">
        <v>1832</v>
      </c>
      <c r="N35" s="63">
        <v>0</v>
      </c>
      <c r="O35" s="63">
        <v>0</v>
      </c>
      <c r="P35" s="63">
        <v>0</v>
      </c>
      <c r="Q35" s="46">
        <f t="shared" si="4"/>
        <v>1832</v>
      </c>
      <c r="R35" s="2">
        <f t="shared" si="0"/>
        <v>0</v>
      </c>
      <c r="S35" s="2">
        <f t="shared" si="1"/>
        <v>1832</v>
      </c>
      <c r="U35" s="61" t="s">
        <v>194</v>
      </c>
      <c r="V35" s="62">
        <v>2394</v>
      </c>
      <c r="W35" s="63">
        <v>606</v>
      </c>
      <c r="X35" s="63">
        <v>0</v>
      </c>
      <c r="Y35" s="63">
        <v>0</v>
      </c>
      <c r="Z35" s="46">
        <f t="shared" si="5"/>
        <v>1788</v>
      </c>
      <c r="AA35" s="2">
        <f t="shared" si="2"/>
        <v>0</v>
      </c>
      <c r="AB35" s="2">
        <f t="shared" si="3"/>
        <v>1788</v>
      </c>
    </row>
    <row r="36" spans="2:28" x14ac:dyDescent="0.35">
      <c r="B36" s="75"/>
      <c r="C36" s="2" t="s">
        <v>225</v>
      </c>
      <c r="D36" s="26">
        <f>D30-D30</f>
        <v>0</v>
      </c>
      <c r="E36" s="29">
        <f>E31-E30</f>
        <v>961327.5</v>
      </c>
      <c r="F36" s="49">
        <f>E36</f>
        <v>961327.5</v>
      </c>
      <c r="L36" s="64" t="s">
        <v>195</v>
      </c>
      <c r="M36" s="65">
        <v>2858</v>
      </c>
      <c r="N36" s="65">
        <v>2858</v>
      </c>
      <c r="O36" s="65">
        <v>3000</v>
      </c>
      <c r="P36" s="66">
        <v>142</v>
      </c>
      <c r="Q36" s="46">
        <f t="shared" si="4"/>
        <v>0</v>
      </c>
      <c r="R36" s="2">
        <f t="shared" si="0"/>
        <v>0</v>
      </c>
      <c r="S36" s="2">
        <f t="shared" si="1"/>
        <v>0</v>
      </c>
      <c r="U36" s="61" t="s">
        <v>195</v>
      </c>
      <c r="V36" s="62">
        <v>2731</v>
      </c>
      <c r="W36" s="63">
        <v>0</v>
      </c>
      <c r="X36" s="63">
        <v>0</v>
      </c>
      <c r="Y36" s="63">
        <v>0</v>
      </c>
      <c r="Z36" s="46">
        <f t="shared" si="5"/>
        <v>2731</v>
      </c>
      <c r="AA36" s="2">
        <f t="shared" si="2"/>
        <v>0</v>
      </c>
      <c r="AB36" s="2">
        <f t="shared" si="3"/>
        <v>2731</v>
      </c>
    </row>
    <row r="37" spans="2:28" x14ac:dyDescent="0.35">
      <c r="B37" s="75"/>
      <c r="C37" s="2" t="s">
        <v>226</v>
      </c>
      <c r="D37" s="16">
        <f>D30-D31</f>
        <v>381627.5</v>
      </c>
      <c r="E37" s="19">
        <f>E31-E31</f>
        <v>0</v>
      </c>
      <c r="F37" s="50">
        <f>D37</f>
        <v>381627.5</v>
      </c>
      <c r="L37" s="61" t="s">
        <v>196</v>
      </c>
      <c r="M37" s="62">
        <v>2348</v>
      </c>
      <c r="N37" s="63">
        <v>142</v>
      </c>
      <c r="O37" s="63">
        <v>0</v>
      </c>
      <c r="P37" s="63">
        <v>0</v>
      </c>
      <c r="Q37" s="46">
        <f t="shared" si="4"/>
        <v>2206</v>
      </c>
      <c r="R37" s="2">
        <f t="shared" si="0"/>
        <v>0</v>
      </c>
      <c r="S37" s="2">
        <f t="shared" si="1"/>
        <v>2206</v>
      </c>
      <c r="U37" s="61" t="s">
        <v>196</v>
      </c>
      <c r="V37" s="62">
        <v>3341</v>
      </c>
      <c r="W37" s="62">
        <v>3000</v>
      </c>
      <c r="X37" s="62">
        <v>3000</v>
      </c>
      <c r="Y37" s="63">
        <v>0</v>
      </c>
      <c r="Z37" s="46">
        <f t="shared" si="5"/>
        <v>341</v>
      </c>
      <c r="AA37" s="2">
        <f t="shared" si="2"/>
        <v>341</v>
      </c>
      <c r="AB37" s="2">
        <f t="shared" si="3"/>
        <v>0</v>
      </c>
    </row>
    <row r="38" spans="2:28" x14ac:dyDescent="0.35">
      <c r="B38" s="75"/>
      <c r="C38" s="2" t="s">
        <v>227</v>
      </c>
      <c r="D38" s="16">
        <f>D30-D32</f>
        <v>400000</v>
      </c>
      <c r="E38" s="19">
        <f>E32-E32</f>
        <v>0</v>
      </c>
      <c r="F38" s="48">
        <f>D38</f>
        <v>400000</v>
      </c>
      <c r="L38" s="61" t="s">
        <v>197</v>
      </c>
      <c r="M38" s="62">
        <v>3121</v>
      </c>
      <c r="N38" s="62">
        <v>2858</v>
      </c>
      <c r="O38" s="62">
        <v>2858</v>
      </c>
      <c r="P38" s="63">
        <v>0</v>
      </c>
      <c r="Q38" s="46">
        <f t="shared" si="4"/>
        <v>263</v>
      </c>
      <c r="R38" s="2">
        <f t="shared" si="0"/>
        <v>121</v>
      </c>
      <c r="S38" s="2">
        <f t="shared" si="1"/>
        <v>142</v>
      </c>
      <c r="U38" s="61" t="s">
        <v>197</v>
      </c>
      <c r="V38" s="62">
        <v>3423</v>
      </c>
      <c r="W38" s="63">
        <v>0</v>
      </c>
      <c r="X38" s="63">
        <v>0</v>
      </c>
      <c r="Y38" s="63">
        <v>0</v>
      </c>
      <c r="Z38" s="46">
        <f t="shared" si="5"/>
        <v>3423</v>
      </c>
      <c r="AA38" s="2">
        <f t="shared" si="2"/>
        <v>423</v>
      </c>
      <c r="AB38" s="2">
        <f t="shared" si="3"/>
        <v>3000</v>
      </c>
    </row>
    <row r="39" spans="2:28" x14ac:dyDescent="0.35">
      <c r="L39" s="61" t="s">
        <v>198</v>
      </c>
      <c r="M39" s="62">
        <v>2878</v>
      </c>
      <c r="N39" s="63">
        <v>0</v>
      </c>
      <c r="O39" s="63">
        <v>0</v>
      </c>
      <c r="P39" s="63">
        <v>0</v>
      </c>
      <c r="Q39" s="46">
        <f t="shared" si="4"/>
        <v>2878</v>
      </c>
      <c r="R39" s="2">
        <f t="shared" si="0"/>
        <v>0</v>
      </c>
      <c r="S39" s="2">
        <f t="shared" si="1"/>
        <v>2878</v>
      </c>
      <c r="U39" s="61" t="s">
        <v>198</v>
      </c>
      <c r="V39" s="62">
        <v>3760</v>
      </c>
      <c r="W39" s="62">
        <v>3000</v>
      </c>
      <c r="X39" s="62">
        <v>3000</v>
      </c>
      <c r="Y39" s="63">
        <v>0</v>
      </c>
      <c r="Z39" s="46">
        <f t="shared" si="5"/>
        <v>760</v>
      </c>
      <c r="AA39" s="2">
        <f t="shared" si="2"/>
        <v>760</v>
      </c>
      <c r="AB39" s="2">
        <f t="shared" si="3"/>
        <v>0</v>
      </c>
    </row>
    <row r="40" spans="2:28" x14ac:dyDescent="0.35">
      <c r="L40" s="61" t="s">
        <v>199</v>
      </c>
      <c r="M40" s="62">
        <v>4418</v>
      </c>
      <c r="N40" s="62">
        <v>3000</v>
      </c>
      <c r="O40" s="62">
        <v>3000</v>
      </c>
      <c r="P40" s="63">
        <v>0</v>
      </c>
      <c r="Q40" s="46">
        <f t="shared" si="4"/>
        <v>1418</v>
      </c>
      <c r="R40" s="2">
        <f t="shared" si="0"/>
        <v>1418</v>
      </c>
      <c r="S40" s="2">
        <f t="shared" si="1"/>
        <v>0</v>
      </c>
      <c r="U40" s="61" t="s">
        <v>199</v>
      </c>
      <c r="V40" s="62">
        <v>4097</v>
      </c>
      <c r="W40" s="63">
        <v>0</v>
      </c>
      <c r="X40" s="63">
        <v>0</v>
      </c>
      <c r="Y40" s="63">
        <v>0</v>
      </c>
      <c r="Z40" s="46">
        <f t="shared" si="5"/>
        <v>4097</v>
      </c>
      <c r="AA40" s="2">
        <f t="shared" si="2"/>
        <v>1097</v>
      </c>
      <c r="AB40" s="2">
        <f t="shared" si="3"/>
        <v>3000</v>
      </c>
    </row>
    <row r="41" spans="2:28" x14ac:dyDescent="0.35">
      <c r="L41" s="61" t="s">
        <v>200</v>
      </c>
      <c r="M41" s="62">
        <v>3136</v>
      </c>
      <c r="N41" s="63">
        <v>0</v>
      </c>
      <c r="O41" s="63">
        <v>0</v>
      </c>
      <c r="P41" s="63">
        <v>0</v>
      </c>
      <c r="Q41" s="46">
        <f t="shared" si="4"/>
        <v>3136</v>
      </c>
      <c r="R41" s="2">
        <f t="shared" si="0"/>
        <v>136</v>
      </c>
      <c r="S41" s="2">
        <f t="shared" si="1"/>
        <v>3000</v>
      </c>
      <c r="U41" s="61" t="s">
        <v>200</v>
      </c>
      <c r="V41" s="62">
        <v>4419</v>
      </c>
      <c r="W41" s="62">
        <v>3000</v>
      </c>
      <c r="X41" s="62">
        <v>3000</v>
      </c>
      <c r="Y41" s="63">
        <v>0</v>
      </c>
      <c r="Z41" s="46">
        <f t="shared" si="5"/>
        <v>1419</v>
      </c>
      <c r="AA41" s="2">
        <f t="shared" si="2"/>
        <v>1419</v>
      </c>
      <c r="AB41" s="2">
        <f t="shared" si="3"/>
        <v>0</v>
      </c>
    </row>
    <row r="42" spans="2:28" x14ac:dyDescent="0.35">
      <c r="L42" s="61" t="s">
        <v>201</v>
      </c>
      <c r="M42" s="62">
        <v>3736</v>
      </c>
      <c r="N42" s="62">
        <v>3000</v>
      </c>
      <c r="O42" s="62">
        <v>3000</v>
      </c>
      <c r="P42" s="63">
        <v>0</v>
      </c>
      <c r="Q42" s="46">
        <f t="shared" si="4"/>
        <v>736</v>
      </c>
      <c r="R42" s="2">
        <f t="shared" si="0"/>
        <v>736</v>
      </c>
      <c r="S42" s="2">
        <f t="shared" si="1"/>
        <v>0</v>
      </c>
      <c r="U42" s="61" t="s">
        <v>201</v>
      </c>
      <c r="V42" s="62">
        <v>4097</v>
      </c>
      <c r="W42" s="63">
        <v>0</v>
      </c>
      <c r="X42" s="63">
        <v>0</v>
      </c>
      <c r="Y42" s="63">
        <v>0</v>
      </c>
      <c r="Z42" s="46">
        <f t="shared" si="5"/>
        <v>4097</v>
      </c>
      <c r="AA42" s="2">
        <f t="shared" si="2"/>
        <v>1097</v>
      </c>
      <c r="AB42" s="2">
        <f t="shared" si="3"/>
        <v>3000</v>
      </c>
    </row>
    <row r="43" spans="2:28" x14ac:dyDescent="0.35">
      <c r="L43" s="61" t="s">
        <v>202</v>
      </c>
      <c r="M43" s="62">
        <v>3136</v>
      </c>
      <c r="N43" s="63">
        <v>0</v>
      </c>
      <c r="O43" s="63">
        <v>0</v>
      </c>
      <c r="P43" s="63">
        <v>0</v>
      </c>
      <c r="Q43" s="46">
        <f t="shared" si="4"/>
        <v>3136</v>
      </c>
      <c r="R43" s="2">
        <f t="shared" si="0"/>
        <v>136</v>
      </c>
      <c r="S43" s="2">
        <f t="shared" si="1"/>
        <v>3000</v>
      </c>
      <c r="U43" s="61" t="s">
        <v>202</v>
      </c>
      <c r="V43" s="62">
        <v>4153</v>
      </c>
      <c r="W43" s="62">
        <v>3000</v>
      </c>
      <c r="X43" s="62">
        <v>3000</v>
      </c>
      <c r="Y43" s="63">
        <v>0</v>
      </c>
      <c r="Z43" s="46">
        <f t="shared" si="5"/>
        <v>1153</v>
      </c>
      <c r="AA43" s="2">
        <f t="shared" si="2"/>
        <v>1153</v>
      </c>
      <c r="AB43" s="2">
        <f t="shared" si="3"/>
        <v>0</v>
      </c>
    </row>
    <row r="44" spans="2:28" x14ac:dyDescent="0.35">
      <c r="L44" s="61" t="s">
        <v>203</v>
      </c>
      <c r="M44" s="62">
        <v>4279</v>
      </c>
      <c r="N44" s="62">
        <v>3000</v>
      </c>
      <c r="O44" s="62">
        <v>3000</v>
      </c>
      <c r="P44" s="63">
        <v>0</v>
      </c>
      <c r="Q44" s="46">
        <f t="shared" si="4"/>
        <v>1279</v>
      </c>
      <c r="R44" s="2">
        <f t="shared" si="0"/>
        <v>1279</v>
      </c>
      <c r="S44" s="2">
        <f t="shared" si="1"/>
        <v>0</v>
      </c>
      <c r="U44" s="61" t="s">
        <v>203</v>
      </c>
      <c r="V44" s="62">
        <v>4097</v>
      </c>
      <c r="W44" s="63">
        <v>0</v>
      </c>
      <c r="X44" s="63">
        <v>0</v>
      </c>
      <c r="Y44" s="63">
        <v>0</v>
      </c>
      <c r="Z44" s="46">
        <f t="shared" si="5"/>
        <v>4097</v>
      </c>
      <c r="AA44" s="2">
        <f t="shared" si="2"/>
        <v>1097</v>
      </c>
      <c r="AB44" s="2">
        <f t="shared" si="3"/>
        <v>3000</v>
      </c>
    </row>
    <row r="45" spans="2:28" x14ac:dyDescent="0.35">
      <c r="L45" s="61" t="s">
        <v>204</v>
      </c>
      <c r="M45" s="62">
        <v>3136</v>
      </c>
      <c r="N45" s="63">
        <v>0</v>
      </c>
      <c r="O45" s="63">
        <v>0</v>
      </c>
      <c r="P45" s="63">
        <v>0</v>
      </c>
      <c r="Q45" s="46">
        <f t="shared" si="4"/>
        <v>3136</v>
      </c>
      <c r="R45" s="2">
        <f t="shared" si="0"/>
        <v>136</v>
      </c>
      <c r="S45" s="2">
        <f t="shared" si="1"/>
        <v>3000</v>
      </c>
      <c r="U45" s="61" t="s">
        <v>204</v>
      </c>
      <c r="V45" s="62">
        <v>4334</v>
      </c>
      <c r="W45" s="62">
        <v>3000</v>
      </c>
      <c r="X45" s="62">
        <v>3000</v>
      </c>
      <c r="Y45" s="63">
        <v>0</v>
      </c>
      <c r="Z45" s="46">
        <f t="shared" si="5"/>
        <v>1334</v>
      </c>
      <c r="AA45" s="2">
        <f t="shared" si="2"/>
        <v>1334</v>
      </c>
      <c r="AB45" s="2">
        <f t="shared" si="3"/>
        <v>0</v>
      </c>
    </row>
    <row r="46" spans="2:28" x14ac:dyDescent="0.35">
      <c r="L46" s="61" t="s">
        <v>205</v>
      </c>
      <c r="M46" s="62">
        <v>3634</v>
      </c>
      <c r="N46" s="62">
        <v>3000</v>
      </c>
      <c r="O46" s="62">
        <v>3000</v>
      </c>
      <c r="P46" s="63">
        <v>0</v>
      </c>
      <c r="Q46" s="46">
        <f t="shared" si="4"/>
        <v>634</v>
      </c>
      <c r="R46" s="2">
        <f t="shared" si="0"/>
        <v>634</v>
      </c>
      <c r="S46" s="2">
        <f t="shared" si="1"/>
        <v>0</v>
      </c>
      <c r="U46" s="61" t="s">
        <v>205</v>
      </c>
      <c r="V46" s="62">
        <v>3760</v>
      </c>
      <c r="W46" s="63">
        <v>0</v>
      </c>
      <c r="X46" s="63">
        <v>0</v>
      </c>
      <c r="Y46" s="63">
        <v>0</v>
      </c>
      <c r="Z46" s="46">
        <f t="shared" si="5"/>
        <v>3760</v>
      </c>
      <c r="AA46" s="2">
        <f t="shared" si="2"/>
        <v>760</v>
      </c>
      <c r="AB46" s="2">
        <f t="shared" si="3"/>
        <v>3000</v>
      </c>
    </row>
    <row r="47" spans="2:28" x14ac:dyDescent="0.35">
      <c r="L47" s="61" t="s">
        <v>206</v>
      </c>
      <c r="M47" s="62">
        <v>2620</v>
      </c>
      <c r="N47" s="63">
        <v>0</v>
      </c>
      <c r="O47" s="63">
        <v>0</v>
      </c>
      <c r="P47" s="63">
        <v>0</v>
      </c>
      <c r="Q47" s="46">
        <f t="shared" si="4"/>
        <v>2620</v>
      </c>
      <c r="R47" s="2">
        <f t="shared" si="0"/>
        <v>0</v>
      </c>
      <c r="S47" s="2">
        <f t="shared" si="1"/>
        <v>2620</v>
      </c>
      <c r="U47" s="61" t="s">
        <v>206</v>
      </c>
      <c r="V47" s="62">
        <v>3577</v>
      </c>
      <c r="W47" s="62">
        <v>3000</v>
      </c>
      <c r="X47" s="62">
        <v>3000</v>
      </c>
      <c r="Y47" s="63">
        <v>0</v>
      </c>
      <c r="Z47" s="46">
        <f t="shared" si="5"/>
        <v>577</v>
      </c>
      <c r="AA47" s="2">
        <f t="shared" si="2"/>
        <v>577</v>
      </c>
      <c r="AB47" s="2">
        <f t="shared" si="3"/>
        <v>0</v>
      </c>
    </row>
    <row r="48" spans="2:28" x14ac:dyDescent="0.35">
      <c r="L48" s="61" t="s">
        <v>207</v>
      </c>
      <c r="M48" s="62">
        <v>3624</v>
      </c>
      <c r="N48" s="62">
        <v>3000</v>
      </c>
      <c r="O48" s="62">
        <v>3000</v>
      </c>
      <c r="P48" s="63">
        <v>0</v>
      </c>
      <c r="Q48" s="46">
        <f t="shared" si="4"/>
        <v>624</v>
      </c>
      <c r="R48" s="2">
        <f t="shared" si="0"/>
        <v>624</v>
      </c>
      <c r="S48" s="2">
        <f t="shared" si="1"/>
        <v>0</v>
      </c>
      <c r="U48" s="61" t="s">
        <v>207</v>
      </c>
      <c r="V48" s="62">
        <v>3423</v>
      </c>
      <c r="W48" s="63">
        <v>0</v>
      </c>
      <c r="X48" s="63">
        <v>0</v>
      </c>
      <c r="Y48" s="63">
        <v>0</v>
      </c>
      <c r="Z48" s="46">
        <f t="shared" si="5"/>
        <v>3423</v>
      </c>
      <c r="AA48" s="2">
        <f t="shared" si="2"/>
        <v>423</v>
      </c>
      <c r="AB48" s="2">
        <f t="shared" si="3"/>
        <v>3000</v>
      </c>
    </row>
    <row r="49" spans="12:28" x14ac:dyDescent="0.35">
      <c r="L49" s="61" t="s">
        <v>208</v>
      </c>
      <c r="M49" s="62">
        <v>2620</v>
      </c>
      <c r="N49" s="63">
        <v>0</v>
      </c>
      <c r="O49" s="63">
        <v>0</v>
      </c>
      <c r="P49" s="63">
        <v>0</v>
      </c>
      <c r="Q49" s="46">
        <f t="shared" si="4"/>
        <v>2620</v>
      </c>
      <c r="R49" s="2">
        <f t="shared" si="0"/>
        <v>0</v>
      </c>
      <c r="S49" s="2">
        <f t="shared" si="1"/>
        <v>2620</v>
      </c>
      <c r="U49" s="61" t="s">
        <v>208</v>
      </c>
      <c r="V49" s="62">
        <v>3470</v>
      </c>
      <c r="W49" s="62">
        <v>3000</v>
      </c>
      <c r="X49" s="62">
        <v>3000</v>
      </c>
      <c r="Y49" s="63">
        <v>0</v>
      </c>
      <c r="Z49" s="46">
        <f t="shared" si="5"/>
        <v>470</v>
      </c>
      <c r="AA49" s="2">
        <f t="shared" si="2"/>
        <v>470</v>
      </c>
      <c r="AB49" s="2">
        <f t="shared" si="3"/>
        <v>0</v>
      </c>
    </row>
    <row r="50" spans="12:28" x14ac:dyDescent="0.35">
      <c r="L50" s="61" t="s">
        <v>209</v>
      </c>
      <c r="M50" s="62">
        <v>3634</v>
      </c>
      <c r="N50" s="62">
        <v>3000</v>
      </c>
      <c r="O50" s="62">
        <v>3000</v>
      </c>
      <c r="P50" s="63">
        <v>0</v>
      </c>
      <c r="Q50" s="46">
        <f t="shared" si="4"/>
        <v>634</v>
      </c>
      <c r="R50" s="2">
        <f t="shared" si="0"/>
        <v>634</v>
      </c>
      <c r="S50" s="2">
        <f t="shared" si="1"/>
        <v>0</v>
      </c>
      <c r="U50" s="61" t="s">
        <v>209</v>
      </c>
      <c r="V50" s="62">
        <v>3760</v>
      </c>
      <c r="W50" s="63">
        <v>0</v>
      </c>
      <c r="X50" s="63">
        <v>0</v>
      </c>
      <c r="Y50" s="63">
        <v>0</v>
      </c>
      <c r="Z50" s="46">
        <f t="shared" si="5"/>
        <v>3760</v>
      </c>
      <c r="AA50" s="2">
        <f t="shared" si="2"/>
        <v>760</v>
      </c>
      <c r="AB50" s="2">
        <f t="shared" si="3"/>
        <v>3000</v>
      </c>
    </row>
    <row r="51" spans="12:28" x14ac:dyDescent="0.35">
      <c r="L51" s="61" t="s">
        <v>210</v>
      </c>
      <c r="M51" s="62">
        <v>3136</v>
      </c>
      <c r="N51" s="63">
        <v>0</v>
      </c>
      <c r="O51" s="63">
        <v>0</v>
      </c>
      <c r="P51" s="63">
        <v>0</v>
      </c>
      <c r="Q51" s="46">
        <f t="shared" si="4"/>
        <v>3136</v>
      </c>
      <c r="R51" s="2">
        <f t="shared" si="0"/>
        <v>136</v>
      </c>
      <c r="S51" s="2">
        <f t="shared" si="1"/>
        <v>3000</v>
      </c>
      <c r="U51" s="61" t="s">
        <v>210</v>
      </c>
      <c r="V51" s="62">
        <v>4334</v>
      </c>
      <c r="W51" s="62">
        <v>3000</v>
      </c>
      <c r="X51" s="62">
        <v>3000</v>
      </c>
      <c r="Y51" s="63">
        <v>0</v>
      </c>
      <c r="Z51" s="46">
        <f t="shared" si="5"/>
        <v>1334</v>
      </c>
      <c r="AA51" s="2">
        <f t="shared" si="2"/>
        <v>1334</v>
      </c>
      <c r="AB51" s="2">
        <f t="shared" si="3"/>
        <v>0</v>
      </c>
    </row>
    <row r="52" spans="12:28" x14ac:dyDescent="0.35">
      <c r="L52" s="61" t="s">
        <v>211</v>
      </c>
      <c r="M52" s="62">
        <v>4418</v>
      </c>
      <c r="N52" s="62">
        <v>3000</v>
      </c>
      <c r="O52" s="62">
        <v>3000</v>
      </c>
      <c r="P52" s="63">
        <v>0</v>
      </c>
      <c r="Q52" s="46">
        <f t="shared" si="4"/>
        <v>1418</v>
      </c>
      <c r="R52" s="2">
        <f t="shared" si="0"/>
        <v>1418</v>
      </c>
      <c r="S52" s="2">
        <f t="shared" si="1"/>
        <v>0</v>
      </c>
      <c r="U52" s="61" t="s">
        <v>211</v>
      </c>
      <c r="V52" s="62">
        <v>4097</v>
      </c>
      <c r="W52" s="63">
        <v>0</v>
      </c>
      <c r="X52" s="63">
        <v>0</v>
      </c>
      <c r="Y52" s="63">
        <v>0</v>
      </c>
      <c r="Z52" s="46">
        <f t="shared" si="5"/>
        <v>4097</v>
      </c>
      <c r="AA52" s="2">
        <f t="shared" si="2"/>
        <v>1097</v>
      </c>
      <c r="AB52" s="2">
        <f t="shared" si="3"/>
        <v>3000</v>
      </c>
    </row>
    <row r="53" spans="12:28" x14ac:dyDescent="0.35">
      <c r="L53" s="61" t="s">
        <v>212</v>
      </c>
      <c r="M53" s="62">
        <v>3136</v>
      </c>
      <c r="N53" s="63">
        <v>0</v>
      </c>
      <c r="O53" s="63">
        <v>0</v>
      </c>
      <c r="P53" s="63">
        <v>0</v>
      </c>
      <c r="Q53" s="46">
        <f t="shared" si="4"/>
        <v>3136</v>
      </c>
      <c r="R53" s="2">
        <f t="shared" si="0"/>
        <v>136</v>
      </c>
      <c r="S53" s="2">
        <f t="shared" si="1"/>
        <v>3000</v>
      </c>
      <c r="U53" s="61" t="s">
        <v>212</v>
      </c>
      <c r="V53" s="62">
        <v>4097</v>
      </c>
      <c r="W53" s="62">
        <v>3000</v>
      </c>
      <c r="X53" s="62">
        <v>3000</v>
      </c>
      <c r="Y53" s="63">
        <v>0</v>
      </c>
      <c r="Z53" s="46">
        <f t="shared" si="5"/>
        <v>1097</v>
      </c>
      <c r="AA53" s="2">
        <f t="shared" si="2"/>
        <v>1097</v>
      </c>
      <c r="AB53" s="2">
        <f t="shared" si="3"/>
        <v>0</v>
      </c>
    </row>
    <row r="54" spans="12:28" x14ac:dyDescent="0.35">
      <c r="L54" s="61" t="s">
        <v>213</v>
      </c>
      <c r="M54" s="62">
        <v>3307</v>
      </c>
      <c r="N54" s="62">
        <v>3000</v>
      </c>
      <c r="O54" s="62">
        <v>3000</v>
      </c>
      <c r="P54" s="63">
        <v>0</v>
      </c>
      <c r="Q54" s="46">
        <f t="shared" si="4"/>
        <v>307</v>
      </c>
      <c r="R54" s="2">
        <f t="shared" si="0"/>
        <v>307</v>
      </c>
      <c r="S54" s="2">
        <f t="shared" si="1"/>
        <v>0</v>
      </c>
      <c r="U54" s="61" t="s">
        <v>213</v>
      </c>
      <c r="V54" s="62">
        <v>3423</v>
      </c>
      <c r="W54" s="63">
        <v>0</v>
      </c>
      <c r="X54" s="62">
        <v>3000</v>
      </c>
      <c r="Y54" s="62">
        <v>3000</v>
      </c>
      <c r="Z54" s="46">
        <f t="shared" si="5"/>
        <v>3423</v>
      </c>
      <c r="AA54" s="2">
        <f t="shared" si="2"/>
        <v>423</v>
      </c>
      <c r="AB54" s="2">
        <f t="shared" si="3"/>
        <v>3000</v>
      </c>
    </row>
    <row r="55" spans="12:28" x14ac:dyDescent="0.35">
      <c r="L55" s="45" t="s">
        <v>31</v>
      </c>
      <c r="M55" s="46">
        <f t="shared" ref="M55:P55" si="7">SUM(M3:M54)</f>
        <v>154448</v>
      </c>
      <c r="N55" s="46">
        <f t="shared" si="7"/>
        <v>70969</v>
      </c>
      <c r="O55" s="46">
        <f t="shared" si="7"/>
        <v>68552</v>
      </c>
      <c r="P55" s="46">
        <f t="shared" si="7"/>
        <v>4715</v>
      </c>
      <c r="Q55" s="46">
        <f>SUM(Q3:Q54)</f>
        <v>83479</v>
      </c>
      <c r="R55" s="46">
        <f t="shared" ref="R55:S55" si="8">SUM(R3:R54)</f>
        <v>19313</v>
      </c>
      <c r="S55" s="46">
        <f t="shared" si="8"/>
        <v>64166</v>
      </c>
      <c r="U55" s="67" t="s">
        <v>31</v>
      </c>
      <c r="V55" s="46">
        <f>SUM(V3:V54)</f>
        <v>183260</v>
      </c>
      <c r="W55" s="46">
        <f t="shared" ref="W55:AB55" si="9">SUM(W3:W54)</f>
        <v>74148</v>
      </c>
      <c r="X55" s="46">
        <f t="shared" si="9"/>
        <v>74442</v>
      </c>
      <c r="Y55" s="46">
        <f t="shared" si="9"/>
        <v>5107</v>
      </c>
      <c r="Z55" s="46">
        <f t="shared" si="9"/>
        <v>109112</v>
      </c>
      <c r="AA55" s="46">
        <f t="shared" si="9"/>
        <v>35510</v>
      </c>
      <c r="AB55" s="46">
        <f t="shared" si="9"/>
        <v>73602</v>
      </c>
    </row>
  </sheetData>
  <mergeCells count="15">
    <mergeCell ref="L1:S1"/>
    <mergeCell ref="U1:AB1"/>
    <mergeCell ref="D11:F11"/>
    <mergeCell ref="G11:I11"/>
    <mergeCell ref="D12:E12"/>
    <mergeCell ref="G12:H12"/>
    <mergeCell ref="B29:B38"/>
    <mergeCell ref="C7:E7"/>
    <mergeCell ref="C8:E8"/>
    <mergeCell ref="D13:E13"/>
    <mergeCell ref="G13:H13"/>
    <mergeCell ref="D14:E14"/>
    <mergeCell ref="G14:H14"/>
    <mergeCell ref="B17:B20"/>
    <mergeCell ref="B23:B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E2C1-4EE7-4E81-9D80-95937CBA0274}">
  <dimension ref="A2:F62"/>
  <sheetViews>
    <sheetView topLeftCell="A4" workbookViewId="0">
      <selection activeCell="F32" sqref="F32:F33"/>
    </sheetView>
  </sheetViews>
  <sheetFormatPr defaultColWidth="19.08984375" defaultRowHeight="14.5" x14ac:dyDescent="0.35"/>
  <sheetData>
    <row r="2" spans="1:6" x14ac:dyDescent="0.35">
      <c r="A2" s="14" t="s">
        <v>40</v>
      </c>
      <c r="B2" s="1" t="s">
        <v>8</v>
      </c>
    </row>
    <row r="4" spans="1:6" x14ac:dyDescent="0.35">
      <c r="B4" s="2"/>
      <c r="C4" s="80" t="s">
        <v>7</v>
      </c>
      <c r="D4" s="80"/>
      <c r="E4" s="80"/>
      <c r="F4" s="81" t="s">
        <v>13</v>
      </c>
    </row>
    <row r="5" spans="1:6" ht="15" thickBot="1" x14ac:dyDescent="0.4">
      <c r="B5" s="9" t="s">
        <v>136</v>
      </c>
      <c r="C5" s="2" t="s">
        <v>6</v>
      </c>
      <c r="D5" s="2" t="s">
        <v>5</v>
      </c>
      <c r="E5" s="2" t="s">
        <v>4</v>
      </c>
      <c r="F5" s="84"/>
    </row>
    <row r="6" spans="1:6" ht="15" thickBot="1" x14ac:dyDescent="0.4">
      <c r="B6" s="2" t="s">
        <v>1</v>
      </c>
      <c r="C6" s="2">
        <v>150</v>
      </c>
      <c r="D6" s="2">
        <v>25</v>
      </c>
      <c r="E6" s="3">
        <v>-100</v>
      </c>
      <c r="F6" s="7">
        <f>MAX(C6:E6)</f>
        <v>150</v>
      </c>
    </row>
    <row r="7" spans="1:6" x14ac:dyDescent="0.35">
      <c r="B7" s="2" t="s">
        <v>2</v>
      </c>
      <c r="C7" s="2">
        <v>45</v>
      </c>
      <c r="D7" s="2">
        <v>45</v>
      </c>
      <c r="E7" s="2">
        <v>0</v>
      </c>
      <c r="F7" s="4">
        <f t="shared" ref="F7:F8" si="0">MAX(C7:E7)</f>
        <v>45</v>
      </c>
    </row>
    <row r="8" spans="1:6" x14ac:dyDescent="0.35">
      <c r="B8" s="2" t="s">
        <v>3</v>
      </c>
      <c r="C8" s="2">
        <v>-10</v>
      </c>
      <c r="D8" s="2">
        <v>10</v>
      </c>
      <c r="E8" s="2">
        <v>50</v>
      </c>
      <c r="F8" s="2">
        <f t="shared" si="0"/>
        <v>50</v>
      </c>
    </row>
    <row r="10" spans="1:6" x14ac:dyDescent="0.35">
      <c r="B10" t="s">
        <v>9</v>
      </c>
      <c r="C10" t="s">
        <v>1</v>
      </c>
    </row>
    <row r="13" spans="1:6" x14ac:dyDescent="0.35">
      <c r="B13" s="1" t="s">
        <v>10</v>
      </c>
    </row>
    <row r="15" spans="1:6" x14ac:dyDescent="0.35">
      <c r="B15" s="2"/>
      <c r="C15" s="81" t="s">
        <v>7</v>
      </c>
      <c r="D15" s="81"/>
      <c r="E15" s="81"/>
      <c r="F15" s="81" t="s">
        <v>14</v>
      </c>
    </row>
    <row r="16" spans="1:6" x14ac:dyDescent="0.35">
      <c r="B16" s="9" t="s">
        <v>136</v>
      </c>
      <c r="C16" s="9" t="s">
        <v>6</v>
      </c>
      <c r="D16" s="9" t="s">
        <v>5</v>
      </c>
      <c r="E16" s="9" t="s">
        <v>4</v>
      </c>
      <c r="F16" s="81"/>
    </row>
    <row r="17" spans="2:6" ht="15" thickBot="1" x14ac:dyDescent="0.4">
      <c r="B17" s="2" t="s">
        <v>1</v>
      </c>
      <c r="C17" s="9">
        <v>150</v>
      </c>
      <c r="D17" s="9">
        <v>25</v>
      </c>
      <c r="E17" s="9">
        <v>-100</v>
      </c>
      <c r="F17" s="5">
        <f>MIN(C17:E17)</f>
        <v>-100</v>
      </c>
    </row>
    <row r="18" spans="2:6" ht="15" thickBot="1" x14ac:dyDescent="0.4">
      <c r="B18" s="2" t="s">
        <v>2</v>
      </c>
      <c r="C18" s="9">
        <v>45</v>
      </c>
      <c r="D18" s="9">
        <v>45</v>
      </c>
      <c r="E18" s="12">
        <v>0</v>
      </c>
      <c r="F18" s="13">
        <f t="shared" ref="F18:F19" si="1">MIN(C18:E18)</f>
        <v>0</v>
      </c>
    </row>
    <row r="19" spans="2:6" x14ac:dyDescent="0.35">
      <c r="B19" s="2" t="s">
        <v>3</v>
      </c>
      <c r="C19" s="9">
        <v>-10</v>
      </c>
      <c r="D19" s="9">
        <v>10</v>
      </c>
      <c r="E19" s="9">
        <v>50</v>
      </c>
      <c r="F19" s="6">
        <f t="shared" si="1"/>
        <v>-10</v>
      </c>
    </row>
    <row r="21" spans="2:6" x14ac:dyDescent="0.35">
      <c r="B21" t="s">
        <v>9</v>
      </c>
      <c r="C21" t="s">
        <v>2</v>
      </c>
    </row>
    <row r="24" spans="2:6" x14ac:dyDescent="0.35">
      <c r="B24" s="1" t="s">
        <v>11</v>
      </c>
    </row>
    <row r="26" spans="2:6" x14ac:dyDescent="0.35">
      <c r="B26" s="2"/>
      <c r="C26" s="80" t="s">
        <v>7</v>
      </c>
      <c r="D26" s="80"/>
      <c r="E26" s="80"/>
    </row>
    <row r="27" spans="2:6" ht="15" thickBot="1" x14ac:dyDescent="0.4">
      <c r="B27" s="9" t="s">
        <v>0</v>
      </c>
      <c r="C27" s="5" t="s">
        <v>6</v>
      </c>
      <c r="D27" s="9" t="s">
        <v>5</v>
      </c>
      <c r="E27" s="9" t="s">
        <v>4</v>
      </c>
    </row>
    <row r="28" spans="2:6" ht="15" thickBot="1" x14ac:dyDescent="0.4">
      <c r="B28" s="3" t="s">
        <v>1</v>
      </c>
      <c r="C28" s="37">
        <v>150</v>
      </c>
      <c r="D28" s="10">
        <v>25</v>
      </c>
      <c r="E28" s="9">
        <v>-100</v>
      </c>
    </row>
    <row r="29" spans="2:6" ht="15" thickBot="1" x14ac:dyDescent="0.4">
      <c r="B29" s="2" t="s">
        <v>2</v>
      </c>
      <c r="C29" s="11">
        <v>45</v>
      </c>
      <c r="D29" s="37">
        <v>45</v>
      </c>
      <c r="E29" s="10">
        <v>0</v>
      </c>
    </row>
    <row r="30" spans="2:6" ht="15" thickBot="1" x14ac:dyDescent="0.4">
      <c r="B30" s="2" t="s">
        <v>3</v>
      </c>
      <c r="C30" s="9">
        <v>-10</v>
      </c>
      <c r="D30" s="11">
        <v>10</v>
      </c>
      <c r="E30" s="37">
        <v>50</v>
      </c>
    </row>
    <row r="32" spans="2:6" x14ac:dyDescent="0.35">
      <c r="B32" s="2"/>
      <c r="C32" s="80" t="s">
        <v>7</v>
      </c>
      <c r="D32" s="80"/>
      <c r="E32" s="80"/>
      <c r="F32" s="84" t="s">
        <v>12</v>
      </c>
    </row>
    <row r="33" spans="2:6" x14ac:dyDescent="0.35">
      <c r="B33" s="9" t="s">
        <v>136</v>
      </c>
      <c r="C33" s="9" t="s">
        <v>6</v>
      </c>
      <c r="D33" s="9" t="s">
        <v>5</v>
      </c>
      <c r="E33" s="9" t="s">
        <v>4</v>
      </c>
      <c r="F33" s="85"/>
    </row>
    <row r="34" spans="2:6" ht="15" thickBot="1" x14ac:dyDescent="0.4">
      <c r="B34" s="2" t="s">
        <v>1</v>
      </c>
      <c r="C34" s="38" t="s">
        <v>137</v>
      </c>
      <c r="D34" s="38" t="s">
        <v>140</v>
      </c>
      <c r="E34" s="38" t="s">
        <v>143</v>
      </c>
      <c r="F34" s="5">
        <v>150</v>
      </c>
    </row>
    <row r="35" spans="2:6" ht="15" thickBot="1" x14ac:dyDescent="0.4">
      <c r="B35" s="2" t="s">
        <v>2</v>
      </c>
      <c r="C35" s="38" t="s">
        <v>138</v>
      </c>
      <c r="D35" s="38" t="s">
        <v>141</v>
      </c>
      <c r="E35" s="39" t="s">
        <v>144</v>
      </c>
      <c r="F35" s="13">
        <v>105</v>
      </c>
    </row>
    <row r="36" spans="2:6" x14ac:dyDescent="0.35">
      <c r="B36" s="2" t="s">
        <v>3</v>
      </c>
      <c r="C36" s="38" t="s">
        <v>139</v>
      </c>
      <c r="D36" s="38" t="s">
        <v>142</v>
      </c>
      <c r="E36" s="38" t="s">
        <v>145</v>
      </c>
      <c r="F36" s="6">
        <v>160</v>
      </c>
    </row>
    <row r="38" spans="2:6" x14ac:dyDescent="0.35">
      <c r="B38" t="s">
        <v>9</v>
      </c>
      <c r="C38" t="s">
        <v>2</v>
      </c>
    </row>
    <row r="41" spans="2:6" x14ac:dyDescent="0.35">
      <c r="B41" s="1" t="s">
        <v>146</v>
      </c>
    </row>
    <row r="43" spans="2:6" x14ac:dyDescent="0.35">
      <c r="B43" s="2"/>
      <c r="C43" s="80" t="s">
        <v>7</v>
      </c>
      <c r="D43" s="80"/>
      <c r="E43" s="80"/>
      <c r="F43" s="84" t="s">
        <v>17</v>
      </c>
    </row>
    <row r="44" spans="2:6" x14ac:dyDescent="0.35">
      <c r="B44" s="9" t="s">
        <v>136</v>
      </c>
      <c r="C44" s="9" t="s">
        <v>15</v>
      </c>
      <c r="D44" s="9" t="s">
        <v>16</v>
      </c>
      <c r="E44" s="9" t="s">
        <v>18</v>
      </c>
      <c r="F44" s="86"/>
    </row>
    <row r="45" spans="2:6" x14ac:dyDescent="0.35">
      <c r="B45" s="2" t="s">
        <v>1</v>
      </c>
      <c r="C45" s="9">
        <v>150</v>
      </c>
      <c r="D45" s="9">
        <v>25</v>
      </c>
      <c r="E45" s="9">
        <v>-100</v>
      </c>
      <c r="F45" s="9">
        <f>E49</f>
        <v>-25</v>
      </c>
    </row>
    <row r="46" spans="2:6" ht="15" thickBot="1" x14ac:dyDescent="0.4">
      <c r="B46" s="2" t="s">
        <v>2</v>
      </c>
      <c r="C46" s="9">
        <v>45</v>
      </c>
      <c r="D46" s="9">
        <v>45</v>
      </c>
      <c r="E46" s="9">
        <v>0</v>
      </c>
      <c r="F46" s="5">
        <f t="shared" ref="F46:F47" si="2">E50</f>
        <v>18</v>
      </c>
    </row>
    <row r="47" spans="2:6" ht="15" thickBot="1" x14ac:dyDescent="0.4">
      <c r="B47" s="2" t="s">
        <v>3</v>
      </c>
      <c r="C47" s="9">
        <v>-10</v>
      </c>
      <c r="D47" s="9">
        <v>10</v>
      </c>
      <c r="E47" s="12">
        <v>50</v>
      </c>
      <c r="F47" s="13">
        <f t="shared" si="2"/>
        <v>30</v>
      </c>
    </row>
    <row r="49" spans="1:6" x14ac:dyDescent="0.35">
      <c r="B49" s="8" t="s">
        <v>147</v>
      </c>
      <c r="C49" s="25" t="s">
        <v>127</v>
      </c>
      <c r="E49" s="40">
        <f>(150*0.2) + (25*0.2) + (-100*0.6)</f>
        <v>-25</v>
      </c>
    </row>
    <row r="50" spans="1:6" x14ac:dyDescent="0.35">
      <c r="B50" s="8" t="s">
        <v>148</v>
      </c>
      <c r="C50" s="25" t="s">
        <v>128</v>
      </c>
      <c r="E50" s="40">
        <f>(45*0.2) + (45*0.2) + (0*0.6)</f>
        <v>18</v>
      </c>
    </row>
    <row r="51" spans="1:6" x14ac:dyDescent="0.35">
      <c r="B51" s="8" t="s">
        <v>149</v>
      </c>
      <c r="C51" s="25" t="s">
        <v>129</v>
      </c>
      <c r="E51" s="40">
        <f>(-10*0.2) + (10*0.2) + (50*0.6)</f>
        <v>30</v>
      </c>
    </row>
    <row r="53" spans="1:6" x14ac:dyDescent="0.35">
      <c r="B53" t="s">
        <v>9</v>
      </c>
      <c r="C53" t="s">
        <v>3</v>
      </c>
    </row>
    <row r="55" spans="1:6" x14ac:dyDescent="0.35">
      <c r="F55" s="41"/>
    </row>
    <row r="56" spans="1:6" x14ac:dyDescent="0.35">
      <c r="A56" s="14" t="s">
        <v>42</v>
      </c>
      <c r="B56" t="s">
        <v>152</v>
      </c>
      <c r="C56" s="42">
        <v>30</v>
      </c>
    </row>
    <row r="57" spans="1:6" x14ac:dyDescent="0.35">
      <c r="B57" s="15" t="s">
        <v>151</v>
      </c>
      <c r="E57" s="15">
        <f>(0.2*150 + 0.2*45 + 0.6*50)</f>
        <v>69</v>
      </c>
      <c r="F57" s="42"/>
    </row>
    <row r="58" spans="1:6" x14ac:dyDescent="0.35">
      <c r="B58" t="s">
        <v>150</v>
      </c>
      <c r="D58" s="15">
        <f xml:space="preserve"> 69 - 30</f>
        <v>39</v>
      </c>
    </row>
    <row r="60" spans="1:6" x14ac:dyDescent="0.35">
      <c r="B60" t="s">
        <v>153</v>
      </c>
      <c r="C60" t="s">
        <v>154</v>
      </c>
    </row>
    <row r="61" spans="1:6" x14ac:dyDescent="0.35">
      <c r="B61" s="43" t="s">
        <v>155</v>
      </c>
      <c r="C61" t="s">
        <v>156</v>
      </c>
    </row>
    <row r="62" spans="1:6" x14ac:dyDescent="0.35">
      <c r="B62" s="43" t="s">
        <v>155</v>
      </c>
      <c r="C62" s="42">
        <f>-(11)</f>
        <v>-11</v>
      </c>
    </row>
  </sheetData>
  <mergeCells count="9">
    <mergeCell ref="F32:F33"/>
    <mergeCell ref="F4:F5"/>
    <mergeCell ref="F15:F16"/>
    <mergeCell ref="C43:E43"/>
    <mergeCell ref="C4:E4"/>
    <mergeCell ref="C15:E15"/>
    <mergeCell ref="C26:E26"/>
    <mergeCell ref="C32:E32"/>
    <mergeCell ref="F43:F4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0AC7-47A7-4BA5-B570-25F570B09371}">
  <dimension ref="A3:N74"/>
  <sheetViews>
    <sheetView topLeftCell="A43" workbookViewId="0">
      <selection activeCell="C25" sqref="C25"/>
    </sheetView>
  </sheetViews>
  <sheetFormatPr defaultColWidth="19.453125" defaultRowHeight="14.5" x14ac:dyDescent="0.35"/>
  <sheetData>
    <row r="3" spans="1:12" x14ac:dyDescent="0.35">
      <c r="B3" s="9" t="s">
        <v>19</v>
      </c>
      <c r="C3" s="9" t="s">
        <v>25</v>
      </c>
      <c r="D3" s="9" t="s">
        <v>26</v>
      </c>
      <c r="E3" s="14"/>
    </row>
    <row r="4" spans="1:12" x14ac:dyDescent="0.35">
      <c r="B4" s="9" t="s">
        <v>27</v>
      </c>
      <c r="C4" s="16">
        <v>-5000</v>
      </c>
      <c r="D4" s="16">
        <v>-6400</v>
      </c>
      <c r="E4" s="26"/>
    </row>
    <row r="5" spans="1:12" x14ac:dyDescent="0.35">
      <c r="B5" s="9" t="s">
        <v>20</v>
      </c>
      <c r="C5" s="16">
        <v>1350</v>
      </c>
      <c r="D5" s="16">
        <v>1800</v>
      </c>
      <c r="E5" s="26"/>
    </row>
    <row r="6" spans="1:12" x14ac:dyDescent="0.35">
      <c r="B6" s="9" t="s">
        <v>21</v>
      </c>
      <c r="C6" s="16">
        <v>1400</v>
      </c>
      <c r="D6" s="16">
        <v>5000</v>
      </c>
      <c r="E6" s="26"/>
    </row>
    <row r="7" spans="1:12" x14ac:dyDescent="0.35">
      <c r="B7" s="9" t="s">
        <v>22</v>
      </c>
      <c r="C7" s="16">
        <v>1850</v>
      </c>
      <c r="D7" s="9">
        <v>400</v>
      </c>
      <c r="E7" s="14"/>
    </row>
    <row r="8" spans="1:12" x14ac:dyDescent="0.35">
      <c r="B8" s="9" t="s">
        <v>23</v>
      </c>
      <c r="C8" s="16">
        <v>2000</v>
      </c>
      <c r="D8" s="9">
        <v>400</v>
      </c>
      <c r="E8" s="14"/>
    </row>
    <row r="9" spans="1:12" x14ac:dyDescent="0.35">
      <c r="B9" s="9" t="s">
        <v>24</v>
      </c>
      <c r="C9" s="16">
        <v>2100</v>
      </c>
      <c r="D9" s="9">
        <v>400</v>
      </c>
      <c r="E9" s="14"/>
    </row>
    <row r="11" spans="1:12" x14ac:dyDescent="0.35">
      <c r="A11" s="14" t="s">
        <v>40</v>
      </c>
      <c r="B11" s="17" t="s">
        <v>39</v>
      </c>
    </row>
    <row r="12" spans="1:12" x14ac:dyDescent="0.35">
      <c r="A12" s="27"/>
      <c r="B12" s="17"/>
    </row>
    <row r="13" spans="1:12" x14ac:dyDescent="0.35">
      <c r="B13" s="9" t="s">
        <v>25</v>
      </c>
      <c r="H13" s="9" t="s">
        <v>26</v>
      </c>
    </row>
    <row r="14" spans="1:12" x14ac:dyDescent="0.35">
      <c r="B14" s="9" t="s">
        <v>19</v>
      </c>
      <c r="C14" s="9" t="s">
        <v>29</v>
      </c>
      <c r="D14" s="9" t="s">
        <v>28</v>
      </c>
      <c r="E14" s="9" t="s">
        <v>30</v>
      </c>
      <c r="F14" s="2" t="s">
        <v>38</v>
      </c>
      <c r="H14" s="9" t="s">
        <v>19</v>
      </c>
      <c r="I14" s="9" t="s">
        <v>29</v>
      </c>
      <c r="J14" s="9" t="s">
        <v>28</v>
      </c>
      <c r="K14" s="9" t="s">
        <v>30</v>
      </c>
      <c r="L14" s="2" t="s">
        <v>38</v>
      </c>
    </row>
    <row r="15" spans="1:12" x14ac:dyDescent="0.35">
      <c r="B15" s="9">
        <v>0</v>
      </c>
      <c r="C15" s="16">
        <v>5000</v>
      </c>
      <c r="D15" s="2"/>
      <c r="E15" s="16">
        <f xml:space="preserve"> -C15</f>
        <v>-5000</v>
      </c>
      <c r="F15" s="16">
        <f>E15</f>
        <v>-5000</v>
      </c>
      <c r="H15" s="9">
        <v>0</v>
      </c>
      <c r="I15" s="16">
        <v>6400</v>
      </c>
      <c r="J15" s="2"/>
      <c r="K15" s="16">
        <f>-I15</f>
        <v>-6400</v>
      </c>
      <c r="L15" s="16">
        <f>K15</f>
        <v>-6400</v>
      </c>
    </row>
    <row r="16" spans="1:12" x14ac:dyDescent="0.35">
      <c r="B16" s="9">
        <v>1</v>
      </c>
      <c r="C16" s="2"/>
      <c r="D16" s="16">
        <v>1350</v>
      </c>
      <c r="E16" s="16">
        <f>D16</f>
        <v>1350</v>
      </c>
      <c r="F16" s="16">
        <f>F15+E16</f>
        <v>-3650</v>
      </c>
      <c r="H16" s="9">
        <v>1</v>
      </c>
      <c r="I16" s="2"/>
      <c r="J16" s="16">
        <v>1800</v>
      </c>
      <c r="K16" s="16">
        <f>J16</f>
        <v>1800</v>
      </c>
      <c r="L16" s="16">
        <f>L15+K16</f>
        <v>-4600</v>
      </c>
    </row>
    <row r="17" spans="1:12" x14ac:dyDescent="0.35">
      <c r="B17" s="9">
        <v>2</v>
      </c>
      <c r="C17" s="2"/>
      <c r="D17" s="16">
        <v>1400</v>
      </c>
      <c r="E17" s="16">
        <f>D17</f>
        <v>1400</v>
      </c>
      <c r="F17" s="16">
        <f t="shared" ref="F17:F19" si="0">F16+E17</f>
        <v>-2250</v>
      </c>
      <c r="H17" s="18">
        <v>2</v>
      </c>
      <c r="I17" s="2"/>
      <c r="J17" s="16">
        <v>5000</v>
      </c>
      <c r="K17" s="16">
        <f t="shared" ref="K17:K20" si="1">J17</f>
        <v>5000</v>
      </c>
      <c r="L17" s="16">
        <f t="shared" ref="L17" si="2">L16+K17</f>
        <v>400</v>
      </c>
    </row>
    <row r="18" spans="1:12" x14ac:dyDescent="0.35">
      <c r="B18" s="9">
        <v>3</v>
      </c>
      <c r="C18" s="2"/>
      <c r="D18" s="16">
        <v>1850</v>
      </c>
      <c r="E18" s="16">
        <f>D18</f>
        <v>1850</v>
      </c>
      <c r="F18" s="16">
        <f t="shared" si="0"/>
        <v>-400</v>
      </c>
      <c r="H18" s="9">
        <v>3</v>
      </c>
      <c r="I18" s="2"/>
      <c r="J18" s="9">
        <v>400</v>
      </c>
      <c r="K18" s="16">
        <f t="shared" si="1"/>
        <v>400</v>
      </c>
      <c r="L18" s="16"/>
    </row>
    <row r="19" spans="1:12" x14ac:dyDescent="0.35">
      <c r="B19" s="18">
        <v>4</v>
      </c>
      <c r="C19" s="2"/>
      <c r="D19" s="16">
        <v>2000</v>
      </c>
      <c r="E19" s="16">
        <f>D19</f>
        <v>2000</v>
      </c>
      <c r="F19" s="16">
        <f t="shared" si="0"/>
        <v>1600</v>
      </c>
      <c r="H19" s="9">
        <v>4</v>
      </c>
      <c r="I19" s="2"/>
      <c r="J19" s="9">
        <v>400</v>
      </c>
      <c r="K19" s="16">
        <f t="shared" si="1"/>
        <v>400</v>
      </c>
      <c r="L19" s="16"/>
    </row>
    <row r="20" spans="1:12" x14ac:dyDescent="0.35">
      <c r="B20" s="9">
        <v>5</v>
      </c>
      <c r="C20" s="2"/>
      <c r="D20" s="16">
        <v>2100</v>
      </c>
      <c r="E20" s="16">
        <f>D20</f>
        <v>2100</v>
      </c>
      <c r="F20" s="16"/>
      <c r="H20" s="9">
        <v>5</v>
      </c>
      <c r="I20" s="2"/>
      <c r="J20" s="9">
        <v>400</v>
      </c>
      <c r="K20" s="16">
        <f t="shared" si="1"/>
        <v>400</v>
      </c>
      <c r="L20" s="16"/>
    </row>
    <row r="21" spans="1:12" x14ac:dyDescent="0.35">
      <c r="B21" s="2" t="s">
        <v>31</v>
      </c>
      <c r="C21" s="16">
        <f>SUM(C15:C20)</f>
        <v>5000</v>
      </c>
      <c r="D21" s="16">
        <f t="shared" ref="D21:E21" si="3">SUM(D15:D20)</f>
        <v>8700</v>
      </c>
      <c r="E21" s="16">
        <f t="shared" si="3"/>
        <v>3700</v>
      </c>
      <c r="F21" s="16"/>
      <c r="H21" s="2" t="s">
        <v>31</v>
      </c>
      <c r="I21" s="16">
        <f>SUM(I15:I20)</f>
        <v>6400</v>
      </c>
      <c r="J21" s="16">
        <f t="shared" ref="J21" si="4">SUM(J15:J20)</f>
        <v>8000</v>
      </c>
      <c r="K21" s="16">
        <f>SUM(K15:K20)</f>
        <v>1600</v>
      </c>
      <c r="L21" s="16"/>
    </row>
    <row r="23" spans="1:12" x14ac:dyDescent="0.35">
      <c r="B23" t="s">
        <v>35</v>
      </c>
      <c r="C23" t="s">
        <v>36</v>
      </c>
      <c r="D23" s="15" t="str">
        <f>3 + (400/2000) &amp; "  years"</f>
        <v>3.2  years</v>
      </c>
      <c r="E23" s="15"/>
      <c r="H23" t="s">
        <v>35</v>
      </c>
      <c r="I23" t="s">
        <v>37</v>
      </c>
      <c r="J23" s="24" t="str">
        <f>1 + (4600/5000) &amp; "  years"</f>
        <v>1.92  years</v>
      </c>
    </row>
    <row r="24" spans="1:12" x14ac:dyDescent="0.35">
      <c r="D24" s="15"/>
      <c r="E24" s="15"/>
      <c r="J24" s="24"/>
    </row>
    <row r="25" spans="1:12" x14ac:dyDescent="0.35">
      <c r="B25" t="s">
        <v>9</v>
      </c>
      <c r="C25" s="25" t="s">
        <v>26</v>
      </c>
      <c r="D25" s="15"/>
      <c r="E25" s="15"/>
      <c r="J25" s="24"/>
    </row>
    <row r="27" spans="1:12" x14ac:dyDescent="0.35">
      <c r="A27" s="14" t="s">
        <v>41</v>
      </c>
      <c r="B27" s="1" t="s">
        <v>32</v>
      </c>
    </row>
    <row r="29" spans="1:12" x14ac:dyDescent="0.35">
      <c r="B29" s="9" t="s">
        <v>25</v>
      </c>
      <c r="G29" s="9" t="s">
        <v>26</v>
      </c>
    </row>
    <row r="30" spans="1:12" x14ac:dyDescent="0.35">
      <c r="B30" s="9" t="s">
        <v>19</v>
      </c>
      <c r="C30" s="20" t="s">
        <v>30</v>
      </c>
      <c r="D30" s="9" t="s">
        <v>33</v>
      </c>
      <c r="E30" s="10" t="s">
        <v>34</v>
      </c>
      <c r="G30" s="9" t="s">
        <v>19</v>
      </c>
      <c r="H30" s="20" t="s">
        <v>30</v>
      </c>
      <c r="I30" s="9" t="s">
        <v>33</v>
      </c>
      <c r="J30" s="10" t="s">
        <v>34</v>
      </c>
    </row>
    <row r="31" spans="1:12" x14ac:dyDescent="0.35">
      <c r="B31" s="9">
        <v>0</v>
      </c>
      <c r="C31" s="19">
        <v>-5000</v>
      </c>
      <c r="D31" s="9">
        <f>1/(1+0.05)^B31</f>
        <v>1</v>
      </c>
      <c r="E31" s="22">
        <f t="shared" ref="E31:E36" si="5">C31*D31</f>
        <v>-5000</v>
      </c>
      <c r="G31" s="9">
        <v>0</v>
      </c>
      <c r="H31" s="16">
        <v>-6400</v>
      </c>
      <c r="I31" s="9">
        <f>1/(1+0.05)^G31</f>
        <v>1</v>
      </c>
      <c r="J31" s="22">
        <f>H31*I31</f>
        <v>-6400</v>
      </c>
    </row>
    <row r="32" spans="1:12" x14ac:dyDescent="0.35">
      <c r="B32" s="9">
        <v>1</v>
      </c>
      <c r="C32" s="19">
        <v>1350</v>
      </c>
      <c r="D32" s="9">
        <v>0.95199999999999996</v>
      </c>
      <c r="E32" s="22">
        <f t="shared" si="5"/>
        <v>1285.2</v>
      </c>
      <c r="G32" s="9">
        <v>1</v>
      </c>
      <c r="H32" s="16">
        <v>1800</v>
      </c>
      <c r="I32" s="9">
        <v>0.95199999999999996</v>
      </c>
      <c r="J32" s="22">
        <f t="shared" ref="J32:J36" si="6">H32*I32</f>
        <v>1713.6</v>
      </c>
    </row>
    <row r="33" spans="1:14" x14ac:dyDescent="0.35">
      <c r="B33" s="9">
        <v>2</v>
      </c>
      <c r="C33" s="19">
        <v>1400</v>
      </c>
      <c r="D33" s="9">
        <v>0.90700000000000003</v>
      </c>
      <c r="E33" s="22">
        <f t="shared" si="5"/>
        <v>1269.8</v>
      </c>
      <c r="G33" s="9">
        <v>2</v>
      </c>
      <c r="H33" s="16">
        <v>5000</v>
      </c>
      <c r="I33" s="9">
        <v>0.90700000000000003</v>
      </c>
      <c r="J33" s="22">
        <f t="shared" si="6"/>
        <v>4535</v>
      </c>
    </row>
    <row r="34" spans="1:14" x14ac:dyDescent="0.35">
      <c r="B34" s="9">
        <v>3</v>
      </c>
      <c r="C34" s="19">
        <v>1850</v>
      </c>
      <c r="D34" s="9">
        <v>0.86399999999999999</v>
      </c>
      <c r="E34" s="22">
        <f t="shared" si="5"/>
        <v>1598.4</v>
      </c>
      <c r="G34" s="9">
        <v>3</v>
      </c>
      <c r="H34" s="16">
        <v>400</v>
      </c>
      <c r="I34" s="9">
        <v>0.86399999999999999</v>
      </c>
      <c r="J34" s="22">
        <f t="shared" si="6"/>
        <v>345.6</v>
      </c>
    </row>
    <row r="35" spans="1:14" x14ac:dyDescent="0.35">
      <c r="B35" s="9">
        <v>4</v>
      </c>
      <c r="C35" s="19">
        <v>2000</v>
      </c>
      <c r="D35" s="9">
        <v>0.82299999999999995</v>
      </c>
      <c r="E35" s="22">
        <f t="shared" si="5"/>
        <v>1646</v>
      </c>
      <c r="G35" s="9">
        <v>4</v>
      </c>
      <c r="H35" s="16">
        <v>400</v>
      </c>
      <c r="I35" s="9">
        <v>0.82299999999999995</v>
      </c>
      <c r="J35" s="22">
        <f t="shared" si="6"/>
        <v>329.2</v>
      </c>
    </row>
    <row r="36" spans="1:14" x14ac:dyDescent="0.35">
      <c r="B36" s="9">
        <v>5</v>
      </c>
      <c r="C36" s="19">
        <v>2100</v>
      </c>
      <c r="D36" s="9">
        <v>0.78400000000000003</v>
      </c>
      <c r="E36" s="22">
        <f t="shared" si="5"/>
        <v>1646.4</v>
      </c>
      <c r="G36" s="9">
        <v>5</v>
      </c>
      <c r="H36" s="16">
        <v>400</v>
      </c>
      <c r="I36" s="9">
        <v>0.78400000000000003</v>
      </c>
      <c r="J36" s="22">
        <f t="shared" si="6"/>
        <v>313.60000000000002</v>
      </c>
    </row>
    <row r="37" spans="1:14" x14ac:dyDescent="0.35">
      <c r="D37" s="21" t="s">
        <v>32</v>
      </c>
      <c r="E37" s="22">
        <f>SUM(E31:E36)</f>
        <v>2445.8000000000002</v>
      </c>
      <c r="I37" s="21" t="s">
        <v>32</v>
      </c>
      <c r="J37" s="22">
        <f>SUM(J31:J36)</f>
        <v>837.00000000000034</v>
      </c>
    </row>
    <row r="39" spans="1:14" x14ac:dyDescent="0.35">
      <c r="B39" t="s">
        <v>9</v>
      </c>
      <c r="C39" s="25" t="s">
        <v>25</v>
      </c>
    </row>
    <row r="41" spans="1:14" x14ac:dyDescent="0.35">
      <c r="A41" s="14" t="s">
        <v>42</v>
      </c>
      <c r="B41" s="1" t="s">
        <v>46</v>
      </c>
    </row>
    <row r="43" spans="1:14" x14ac:dyDescent="0.35">
      <c r="B43" s="9" t="s">
        <v>25</v>
      </c>
      <c r="I43" s="9" t="s">
        <v>26</v>
      </c>
    </row>
    <row r="44" spans="1:14" x14ac:dyDescent="0.35">
      <c r="B44" s="9" t="s">
        <v>19</v>
      </c>
      <c r="C44" s="9" t="s">
        <v>30</v>
      </c>
      <c r="D44" s="9" t="s">
        <v>47</v>
      </c>
      <c r="E44" s="9" t="s">
        <v>48</v>
      </c>
      <c r="F44" s="9" t="s">
        <v>49</v>
      </c>
      <c r="G44" s="9" t="s">
        <v>50</v>
      </c>
      <c r="I44" s="9" t="s">
        <v>19</v>
      </c>
      <c r="J44" s="20" t="s">
        <v>30</v>
      </c>
      <c r="K44" s="9" t="s">
        <v>47</v>
      </c>
      <c r="L44" s="9" t="s">
        <v>48</v>
      </c>
      <c r="M44" s="9" t="s">
        <v>49</v>
      </c>
      <c r="N44" s="9" t="s">
        <v>50</v>
      </c>
    </row>
    <row r="45" spans="1:14" x14ac:dyDescent="0.35">
      <c r="B45" s="9">
        <v>0</v>
      </c>
      <c r="C45" s="16">
        <v>-5000</v>
      </c>
      <c r="D45" s="9">
        <f>1/(1+0.05)^B45</f>
        <v>1</v>
      </c>
      <c r="E45" s="29">
        <f>C45*D45</f>
        <v>-5000</v>
      </c>
      <c r="F45" s="2">
        <v>1</v>
      </c>
      <c r="G45" s="22">
        <f>C45*F45</f>
        <v>-5000</v>
      </c>
      <c r="I45" s="9">
        <v>0</v>
      </c>
      <c r="J45" s="16">
        <v>-6400</v>
      </c>
      <c r="K45" s="9">
        <f>1/(1+0.05)^I45</f>
        <v>1</v>
      </c>
      <c r="L45" s="29">
        <f>J45*K45</f>
        <v>-6400</v>
      </c>
      <c r="M45" s="2">
        <v>1</v>
      </c>
      <c r="N45" s="22">
        <f>J45*M45</f>
        <v>-6400</v>
      </c>
    </row>
    <row r="46" spans="1:14" x14ac:dyDescent="0.35">
      <c r="B46" s="9">
        <v>1</v>
      </c>
      <c r="C46" s="16">
        <v>1350</v>
      </c>
      <c r="D46" s="9">
        <v>0.95199999999999996</v>
      </c>
      <c r="E46" s="29">
        <f t="shared" ref="E46:E50" si="7">C46*D46</f>
        <v>1285.2</v>
      </c>
      <c r="F46" s="2">
        <v>0.83299999999999996</v>
      </c>
      <c r="G46" s="22">
        <f t="shared" ref="G46:G50" si="8">C46*F46</f>
        <v>1124.55</v>
      </c>
      <c r="I46" s="9">
        <v>1</v>
      </c>
      <c r="J46" s="16">
        <v>1800</v>
      </c>
      <c r="K46" s="9">
        <v>0.95199999999999996</v>
      </c>
      <c r="L46" s="29">
        <f t="shared" ref="L46:L50" si="9">J46*K46</f>
        <v>1713.6</v>
      </c>
      <c r="M46" s="2">
        <v>0.83299999999999996</v>
      </c>
      <c r="N46" s="22">
        <f t="shared" ref="N46:N50" si="10">J46*M46</f>
        <v>1499.3999999999999</v>
      </c>
    </row>
    <row r="47" spans="1:14" x14ac:dyDescent="0.35">
      <c r="B47" s="9">
        <v>2</v>
      </c>
      <c r="C47" s="16">
        <v>1400</v>
      </c>
      <c r="D47" s="9">
        <v>0.90700000000000003</v>
      </c>
      <c r="E47" s="29">
        <f t="shared" si="7"/>
        <v>1269.8</v>
      </c>
      <c r="F47" s="2">
        <v>0.69399999999999995</v>
      </c>
      <c r="G47" s="22">
        <f t="shared" si="8"/>
        <v>971.59999999999991</v>
      </c>
      <c r="I47" s="9">
        <v>2</v>
      </c>
      <c r="J47" s="16">
        <v>5000</v>
      </c>
      <c r="K47" s="9">
        <v>0.90700000000000003</v>
      </c>
      <c r="L47" s="29">
        <f t="shared" si="9"/>
        <v>4535</v>
      </c>
      <c r="M47" s="2">
        <v>0.69399999999999995</v>
      </c>
      <c r="N47" s="22">
        <f t="shared" si="10"/>
        <v>3469.9999999999995</v>
      </c>
    </row>
    <row r="48" spans="1:14" x14ac:dyDescent="0.35">
      <c r="B48" s="9">
        <v>3</v>
      </c>
      <c r="C48" s="16">
        <v>1850</v>
      </c>
      <c r="D48" s="9">
        <v>0.86399999999999999</v>
      </c>
      <c r="E48" s="29">
        <f t="shared" si="7"/>
        <v>1598.4</v>
      </c>
      <c r="F48" s="2">
        <v>0.57899999999999996</v>
      </c>
      <c r="G48" s="22">
        <f t="shared" si="8"/>
        <v>1071.1499999999999</v>
      </c>
      <c r="I48" s="9">
        <v>3</v>
      </c>
      <c r="J48" s="16">
        <v>400</v>
      </c>
      <c r="K48" s="9">
        <v>0.86399999999999999</v>
      </c>
      <c r="L48" s="29">
        <f t="shared" si="9"/>
        <v>345.6</v>
      </c>
      <c r="M48" s="2">
        <v>0.57899999999999996</v>
      </c>
      <c r="N48" s="22">
        <f t="shared" si="10"/>
        <v>231.6</v>
      </c>
    </row>
    <row r="49" spans="1:14" x14ac:dyDescent="0.35">
      <c r="B49" s="9">
        <v>4</v>
      </c>
      <c r="C49" s="16">
        <v>2000</v>
      </c>
      <c r="D49" s="9">
        <v>0.82299999999999995</v>
      </c>
      <c r="E49" s="29">
        <f t="shared" si="7"/>
        <v>1646</v>
      </c>
      <c r="F49" s="2">
        <v>0.48199999999999998</v>
      </c>
      <c r="G49" s="22">
        <f t="shared" si="8"/>
        <v>964</v>
      </c>
      <c r="I49" s="9">
        <v>4</v>
      </c>
      <c r="J49" s="16">
        <v>400</v>
      </c>
      <c r="K49" s="9">
        <v>0.82299999999999995</v>
      </c>
      <c r="L49" s="29">
        <f t="shared" si="9"/>
        <v>329.2</v>
      </c>
      <c r="M49" s="2">
        <v>0.48199999999999998</v>
      </c>
      <c r="N49" s="22">
        <f t="shared" si="10"/>
        <v>192.79999999999998</v>
      </c>
    </row>
    <row r="50" spans="1:14" x14ac:dyDescent="0.35">
      <c r="B50" s="9">
        <v>5</v>
      </c>
      <c r="C50" s="16">
        <v>2100</v>
      </c>
      <c r="D50" s="9">
        <v>0.78400000000000003</v>
      </c>
      <c r="E50" s="29">
        <f t="shared" si="7"/>
        <v>1646.4</v>
      </c>
      <c r="F50" s="2">
        <v>0.40200000000000002</v>
      </c>
      <c r="G50" s="22">
        <f t="shared" si="8"/>
        <v>844.2</v>
      </c>
      <c r="I50" s="9">
        <v>5</v>
      </c>
      <c r="J50" s="16">
        <v>400</v>
      </c>
      <c r="K50" s="9">
        <v>0.78400000000000003</v>
      </c>
      <c r="L50" s="29">
        <f t="shared" si="9"/>
        <v>313.60000000000002</v>
      </c>
      <c r="M50" s="2">
        <v>0.40200000000000002</v>
      </c>
      <c r="N50" s="22">
        <f t="shared" si="10"/>
        <v>160.80000000000001</v>
      </c>
    </row>
    <row r="51" spans="1:14" x14ac:dyDescent="0.35">
      <c r="B51" s="2" t="s">
        <v>32</v>
      </c>
      <c r="C51" s="16"/>
      <c r="D51" s="16"/>
      <c r="E51" s="29">
        <f>SUM(E45:E50)</f>
        <v>2445.8000000000002</v>
      </c>
      <c r="F51" s="16"/>
      <c r="G51" s="29">
        <f t="shared" ref="G51" si="11">SUM(G45:G50)</f>
        <v>-24.5</v>
      </c>
      <c r="I51" s="2" t="s">
        <v>32</v>
      </c>
      <c r="J51" s="16"/>
      <c r="K51" s="16"/>
      <c r="L51" s="29">
        <f>SUM(L45:L50)</f>
        <v>837.00000000000034</v>
      </c>
      <c r="M51" s="16"/>
      <c r="N51" s="29">
        <f t="shared" ref="N51" si="12">SUM(N45:N50)</f>
        <v>-845.400000000001</v>
      </c>
    </row>
    <row r="53" spans="1:14" ht="16.5" x14ac:dyDescent="0.45">
      <c r="B53" s="14" t="s">
        <v>51</v>
      </c>
      <c r="C53" t="s">
        <v>52</v>
      </c>
      <c r="I53" s="14" t="s">
        <v>51</v>
      </c>
      <c r="J53" t="s">
        <v>52</v>
      </c>
    </row>
    <row r="54" spans="1:14" x14ac:dyDescent="0.35">
      <c r="B54" s="8" t="s">
        <v>53</v>
      </c>
      <c r="C54" t="s">
        <v>54</v>
      </c>
      <c r="I54" s="8" t="s">
        <v>53</v>
      </c>
      <c r="J54" t="s">
        <v>55</v>
      </c>
    </row>
    <row r="55" spans="1:14" x14ac:dyDescent="0.35">
      <c r="B55" s="8" t="s">
        <v>53</v>
      </c>
      <c r="C55" s="23">
        <f>(2445.8 * 0.2 - (-24.5) * 0.05) / (2445.8 - (-24.5))</f>
        <v>0.19851232643808447</v>
      </c>
      <c r="I55" s="8" t="s">
        <v>53</v>
      </c>
      <c r="J55" s="23">
        <f>(837 * 0.2 - (-845.4) * 0.05) / (837 - (-845.4))</f>
        <v>0.12462553495007132</v>
      </c>
    </row>
    <row r="57" spans="1:14" x14ac:dyDescent="0.35">
      <c r="B57" t="s">
        <v>9</v>
      </c>
      <c r="C57" s="25" t="s">
        <v>25</v>
      </c>
      <c r="I57" t="s">
        <v>9</v>
      </c>
      <c r="J57" s="25" t="s">
        <v>25</v>
      </c>
    </row>
    <row r="60" spans="1:14" x14ac:dyDescent="0.35">
      <c r="A60" s="14" t="s">
        <v>43</v>
      </c>
      <c r="B60" s="28" t="s">
        <v>44</v>
      </c>
    </row>
    <row r="62" spans="1:14" x14ac:dyDescent="0.35">
      <c r="B62" s="9" t="s">
        <v>19</v>
      </c>
      <c r="C62" s="9" t="s">
        <v>29</v>
      </c>
      <c r="D62" s="9" t="s">
        <v>28</v>
      </c>
      <c r="E62" s="9" t="s">
        <v>30</v>
      </c>
      <c r="F62" s="2" t="s">
        <v>38</v>
      </c>
      <c r="H62" s="9" t="s">
        <v>19</v>
      </c>
      <c r="I62" s="9" t="s">
        <v>30</v>
      </c>
      <c r="J62" s="9" t="s">
        <v>33</v>
      </c>
      <c r="K62" s="10" t="s">
        <v>34</v>
      </c>
    </row>
    <row r="63" spans="1:14" x14ac:dyDescent="0.35">
      <c r="B63" s="9">
        <v>0</v>
      </c>
      <c r="C63" s="16">
        <v>5000</v>
      </c>
      <c r="D63" s="2"/>
      <c r="E63" s="16">
        <f xml:space="preserve"> -C63+D63</f>
        <v>-5000</v>
      </c>
      <c r="F63" s="16">
        <f>E63</f>
        <v>-5000</v>
      </c>
      <c r="H63" s="9">
        <v>0</v>
      </c>
      <c r="I63" s="16">
        <v>-5000</v>
      </c>
      <c r="J63" s="9">
        <f>1/(1+0.05)^H63</f>
        <v>1</v>
      </c>
      <c r="K63" s="22">
        <f>I63*J63</f>
        <v>-5000</v>
      </c>
    </row>
    <row r="64" spans="1:14" x14ac:dyDescent="0.35">
      <c r="B64" s="9">
        <v>1</v>
      </c>
      <c r="C64" s="9"/>
      <c r="D64" s="16"/>
      <c r="E64" s="16">
        <f t="shared" ref="E64:E69" si="13" xml:space="preserve"> -C64+D64</f>
        <v>0</v>
      </c>
      <c r="F64" s="16">
        <f>F63+E64</f>
        <v>-5000</v>
      </c>
      <c r="H64" s="9">
        <v>1</v>
      </c>
      <c r="I64" s="16">
        <v>0</v>
      </c>
      <c r="J64" s="9">
        <v>0.95199999999999996</v>
      </c>
      <c r="K64" s="22">
        <f>I64*J64</f>
        <v>0</v>
      </c>
    </row>
    <row r="65" spans="2:11" x14ac:dyDescent="0.35">
      <c r="B65" s="9">
        <v>2</v>
      </c>
      <c r="C65" s="9"/>
      <c r="D65" s="16"/>
      <c r="E65" s="16">
        <f t="shared" si="13"/>
        <v>0</v>
      </c>
      <c r="F65" s="16">
        <f t="shared" ref="F65:F69" si="14">F64+E65</f>
        <v>-5000</v>
      </c>
      <c r="H65" s="9">
        <v>2</v>
      </c>
      <c r="I65" s="16">
        <v>0</v>
      </c>
      <c r="J65" s="9">
        <v>0.90700000000000003</v>
      </c>
      <c r="K65" s="22">
        <f t="shared" ref="K65:K69" si="15">I65*J65</f>
        <v>0</v>
      </c>
    </row>
    <row r="66" spans="2:11" x14ac:dyDescent="0.35">
      <c r="B66" s="9">
        <v>3</v>
      </c>
      <c r="C66" s="9"/>
      <c r="D66" s="16">
        <v>1500</v>
      </c>
      <c r="E66" s="16">
        <f t="shared" si="13"/>
        <v>1500</v>
      </c>
      <c r="F66" s="16">
        <f t="shared" si="14"/>
        <v>-3500</v>
      </c>
      <c r="H66" s="9">
        <v>3</v>
      </c>
      <c r="I66" s="16">
        <v>1500</v>
      </c>
      <c r="J66" s="9">
        <v>0.86399999999999999</v>
      </c>
      <c r="K66" s="22">
        <f t="shared" si="15"/>
        <v>1296</v>
      </c>
    </row>
    <row r="67" spans="2:11" x14ac:dyDescent="0.35">
      <c r="B67" s="9">
        <v>4</v>
      </c>
      <c r="C67" s="9">
        <v>570</v>
      </c>
      <c r="D67" s="16">
        <v>2500</v>
      </c>
      <c r="E67" s="16">
        <f t="shared" si="13"/>
        <v>1930</v>
      </c>
      <c r="F67" s="16">
        <f t="shared" si="14"/>
        <v>-1570</v>
      </c>
      <c r="H67" s="9">
        <v>4</v>
      </c>
      <c r="I67" s="16">
        <v>1930</v>
      </c>
      <c r="J67" s="9">
        <v>0.82299999999999995</v>
      </c>
      <c r="K67" s="22">
        <f t="shared" si="15"/>
        <v>1588.3899999999999</v>
      </c>
    </row>
    <row r="68" spans="2:11" x14ac:dyDescent="0.35">
      <c r="B68" s="9">
        <v>5</v>
      </c>
      <c r="C68" s="9"/>
      <c r="D68" s="16">
        <v>1200</v>
      </c>
      <c r="E68" s="16">
        <f t="shared" si="13"/>
        <v>1200</v>
      </c>
      <c r="F68" s="16">
        <f t="shared" si="14"/>
        <v>-370</v>
      </c>
      <c r="H68" s="9">
        <v>5</v>
      </c>
      <c r="I68" s="16">
        <v>1200</v>
      </c>
      <c r="J68" s="9">
        <v>0.78400000000000003</v>
      </c>
      <c r="K68" s="22">
        <f t="shared" si="15"/>
        <v>940.80000000000007</v>
      </c>
    </row>
    <row r="69" spans="2:11" x14ac:dyDescent="0.35">
      <c r="B69" s="18">
        <v>6</v>
      </c>
      <c r="C69" s="9"/>
      <c r="D69" s="16">
        <v>1000</v>
      </c>
      <c r="E69" s="16">
        <f t="shared" si="13"/>
        <v>1000</v>
      </c>
      <c r="F69" s="16">
        <f t="shared" si="14"/>
        <v>630</v>
      </c>
      <c r="H69" s="9">
        <v>6</v>
      </c>
      <c r="I69" s="16">
        <v>1000</v>
      </c>
      <c r="J69" s="9">
        <v>0.746</v>
      </c>
      <c r="K69" s="22">
        <f t="shared" si="15"/>
        <v>746</v>
      </c>
    </row>
    <row r="70" spans="2:11" x14ac:dyDescent="0.35">
      <c r="B70" s="2" t="s">
        <v>31</v>
      </c>
      <c r="C70" s="16">
        <f>SUM(C63:C68)</f>
        <v>5570</v>
      </c>
      <c r="D70" s="16">
        <f>SUM(D63:D69)</f>
        <v>6200</v>
      </c>
      <c r="E70" s="16">
        <f>SUM(E63:E69)</f>
        <v>630</v>
      </c>
      <c r="F70" s="16"/>
      <c r="J70" s="21" t="s">
        <v>32</v>
      </c>
      <c r="K70" s="22">
        <f>SUM(K63:K69)</f>
        <v>-428.80999999999995</v>
      </c>
    </row>
    <row r="72" spans="2:11" x14ac:dyDescent="0.35">
      <c r="B72" t="s">
        <v>35</v>
      </c>
      <c r="C72" t="s">
        <v>45</v>
      </c>
      <c r="D72" s="15" t="str">
        <f>5 + (370/1000) &amp; "  years"</f>
        <v>5.37  years</v>
      </c>
      <c r="H72" t="s">
        <v>9</v>
      </c>
      <c r="I72" s="25" t="s">
        <v>26</v>
      </c>
    </row>
    <row r="73" spans="2:11" x14ac:dyDescent="0.35">
      <c r="D73" s="15"/>
    </row>
    <row r="74" spans="2:11" x14ac:dyDescent="0.35">
      <c r="B74" t="s">
        <v>9</v>
      </c>
      <c r="C74" s="25" t="s">
        <v>26</v>
      </c>
      <c r="D74" s="1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844B-DB2A-4C93-AD0C-0D4E375D6A38}">
  <dimension ref="A2:L50"/>
  <sheetViews>
    <sheetView zoomScale="89" zoomScaleNormal="89" workbookViewId="0">
      <selection activeCell="I6" sqref="I6"/>
    </sheetView>
  </sheetViews>
  <sheetFormatPr defaultColWidth="17.54296875" defaultRowHeight="14.5" x14ac:dyDescent="0.35"/>
  <cols>
    <col min="7" max="12" width="2.6328125" customWidth="1"/>
    <col min="13" max="14" width="17.54296875" customWidth="1"/>
  </cols>
  <sheetData>
    <row r="2" spans="1:5" x14ac:dyDescent="0.35">
      <c r="B2" s="9"/>
      <c r="C2" s="81" t="s">
        <v>61</v>
      </c>
      <c r="D2" s="81"/>
      <c r="E2" s="87" t="s">
        <v>62</v>
      </c>
    </row>
    <row r="3" spans="1:5" x14ac:dyDescent="0.35">
      <c r="B3" s="9" t="s">
        <v>56</v>
      </c>
      <c r="C3" s="9" t="s">
        <v>64</v>
      </c>
      <c r="D3" s="9" t="s">
        <v>65</v>
      </c>
      <c r="E3" s="81"/>
    </row>
    <row r="4" spans="1:5" x14ac:dyDescent="0.35">
      <c r="B4" s="9" t="s">
        <v>57</v>
      </c>
      <c r="C4" s="9">
        <v>12</v>
      </c>
      <c r="D4" s="9">
        <v>18</v>
      </c>
      <c r="E4" s="9">
        <v>240</v>
      </c>
    </row>
    <row r="5" spans="1:5" x14ac:dyDescent="0.35">
      <c r="B5" s="9" t="s">
        <v>58</v>
      </c>
      <c r="C5" s="9">
        <v>30</v>
      </c>
      <c r="D5" s="9">
        <v>45</v>
      </c>
      <c r="E5" s="9">
        <v>450</v>
      </c>
    </row>
    <row r="6" spans="1:5" x14ac:dyDescent="0.35">
      <c r="B6" s="9" t="s">
        <v>59</v>
      </c>
      <c r="C6" s="9">
        <v>20</v>
      </c>
      <c r="D6" s="9">
        <v>60</v>
      </c>
      <c r="E6" s="9">
        <v>480</v>
      </c>
    </row>
    <row r="7" spans="1:5" x14ac:dyDescent="0.35">
      <c r="B7" s="9" t="s">
        <v>60</v>
      </c>
      <c r="C7" s="9">
        <v>40</v>
      </c>
      <c r="D7" s="9">
        <v>30</v>
      </c>
      <c r="E7" s="9">
        <v>480</v>
      </c>
    </row>
    <row r="9" spans="1:5" x14ac:dyDescent="0.35">
      <c r="B9" t="s">
        <v>63</v>
      </c>
    </row>
    <row r="11" spans="1:5" x14ac:dyDescent="0.35">
      <c r="A11" s="14" t="s">
        <v>40</v>
      </c>
      <c r="B11" t="s">
        <v>66</v>
      </c>
    </row>
    <row r="13" spans="1:5" x14ac:dyDescent="0.35">
      <c r="B13" t="s">
        <v>67</v>
      </c>
      <c r="C13" t="s">
        <v>79</v>
      </c>
    </row>
    <row r="15" spans="1:5" x14ac:dyDescent="0.35">
      <c r="B15" t="s">
        <v>68</v>
      </c>
    </row>
    <row r="16" spans="1:5" x14ac:dyDescent="0.35">
      <c r="B16" t="s">
        <v>69</v>
      </c>
      <c r="C16" t="s">
        <v>73</v>
      </c>
    </row>
    <row r="17" spans="1:12" x14ac:dyDescent="0.35">
      <c r="B17" t="s">
        <v>70</v>
      </c>
      <c r="C17" t="s">
        <v>74</v>
      </c>
    </row>
    <row r="18" spans="1:12" x14ac:dyDescent="0.35">
      <c r="B18" t="s">
        <v>71</v>
      </c>
      <c r="C18" t="s">
        <v>75</v>
      </c>
    </row>
    <row r="19" spans="1:12" x14ac:dyDescent="0.35">
      <c r="B19" t="s">
        <v>72</v>
      </c>
      <c r="C19" t="s">
        <v>76</v>
      </c>
    </row>
    <row r="20" spans="1:12" x14ac:dyDescent="0.35">
      <c r="B20" t="s">
        <v>77</v>
      </c>
      <c r="C20" t="s">
        <v>78</v>
      </c>
    </row>
    <row r="23" spans="1:12" x14ac:dyDescent="0.35">
      <c r="A23" s="14" t="s">
        <v>41</v>
      </c>
      <c r="B23" s="31" t="s">
        <v>80</v>
      </c>
      <c r="C23" t="s">
        <v>81</v>
      </c>
      <c r="D23" t="s">
        <v>82</v>
      </c>
      <c r="F23" s="21" t="s">
        <v>92</v>
      </c>
    </row>
    <row r="24" spans="1:12" x14ac:dyDescent="0.35">
      <c r="B24" s="32" t="s">
        <v>83</v>
      </c>
      <c r="C24" t="s">
        <v>86</v>
      </c>
      <c r="D24" t="s">
        <v>87</v>
      </c>
      <c r="E24" t="s">
        <v>93</v>
      </c>
      <c r="F24" s="2">
        <v>28</v>
      </c>
    </row>
    <row r="25" spans="1:12" x14ac:dyDescent="0.35">
      <c r="B25" s="33" t="s">
        <v>84</v>
      </c>
      <c r="C25" t="s">
        <v>88</v>
      </c>
      <c r="D25" t="s">
        <v>89</v>
      </c>
      <c r="E25" t="s">
        <v>93</v>
      </c>
      <c r="F25" s="2">
        <v>24</v>
      </c>
    </row>
    <row r="26" spans="1:12" x14ac:dyDescent="0.35">
      <c r="B26" s="34" t="s">
        <v>85</v>
      </c>
      <c r="C26" t="s">
        <v>90</v>
      </c>
      <c r="D26" t="s">
        <v>91</v>
      </c>
      <c r="F26" s="2">
        <v>20</v>
      </c>
    </row>
    <row r="27" spans="1:12" x14ac:dyDescent="0.35">
      <c r="B27" s="36" t="s">
        <v>94</v>
      </c>
      <c r="C27" t="s">
        <v>95</v>
      </c>
      <c r="D27" t="s">
        <v>96</v>
      </c>
      <c r="F27" s="2">
        <v>16</v>
      </c>
    </row>
    <row r="28" spans="1:12" x14ac:dyDescent="0.35">
      <c r="F28" s="2">
        <v>12</v>
      </c>
    </row>
    <row r="29" spans="1:12" x14ac:dyDescent="0.35">
      <c r="B29" s="2" t="s">
        <v>97</v>
      </c>
      <c r="F29" s="2">
        <v>8</v>
      </c>
    </row>
    <row r="30" spans="1:12" x14ac:dyDescent="0.35">
      <c r="F30" s="30">
        <v>4</v>
      </c>
    </row>
    <row r="31" spans="1:12" x14ac:dyDescent="0.35">
      <c r="F31" s="2">
        <v>0</v>
      </c>
      <c r="G31" s="2">
        <v>4</v>
      </c>
      <c r="H31" s="2">
        <v>8</v>
      </c>
      <c r="I31" s="2">
        <v>12</v>
      </c>
      <c r="J31" s="2">
        <v>16</v>
      </c>
      <c r="K31" s="2">
        <v>20</v>
      </c>
      <c r="L31" s="2" t="s">
        <v>93</v>
      </c>
    </row>
    <row r="32" spans="1:12" x14ac:dyDescent="0.35">
      <c r="A32" s="27" t="s">
        <v>42</v>
      </c>
      <c r="B32" t="s">
        <v>98</v>
      </c>
      <c r="C32" t="s">
        <v>100</v>
      </c>
    </row>
    <row r="33" spans="2:3" x14ac:dyDescent="0.35">
      <c r="B33" t="s">
        <v>99</v>
      </c>
      <c r="C33" t="s">
        <v>101</v>
      </c>
    </row>
    <row r="35" spans="2:3" x14ac:dyDescent="0.35">
      <c r="B35" t="s">
        <v>102</v>
      </c>
    </row>
    <row r="36" spans="2:3" x14ac:dyDescent="0.35">
      <c r="B36" t="s">
        <v>103</v>
      </c>
    </row>
    <row r="38" spans="2:3" x14ac:dyDescent="0.35">
      <c r="B38" s="35" t="s">
        <v>104</v>
      </c>
    </row>
    <row r="39" spans="2:3" x14ac:dyDescent="0.35">
      <c r="B39" t="s">
        <v>105</v>
      </c>
    </row>
    <row r="40" spans="2:3" x14ac:dyDescent="0.35">
      <c r="B40" t="s">
        <v>106</v>
      </c>
    </row>
    <row r="41" spans="2:3" x14ac:dyDescent="0.35">
      <c r="B41" t="s">
        <v>107</v>
      </c>
    </row>
    <row r="43" spans="2:3" x14ac:dyDescent="0.35">
      <c r="B43" s="14" t="s">
        <v>108</v>
      </c>
    </row>
    <row r="44" spans="2:3" x14ac:dyDescent="0.35">
      <c r="B44" t="s">
        <v>83</v>
      </c>
    </row>
    <row r="45" spans="2:3" x14ac:dyDescent="0.35">
      <c r="B45" t="s">
        <v>109</v>
      </c>
    </row>
    <row r="46" spans="2:3" x14ac:dyDescent="0.35">
      <c r="B46" t="s">
        <v>110</v>
      </c>
    </row>
    <row r="47" spans="2:3" x14ac:dyDescent="0.35">
      <c r="B47" t="s">
        <v>111</v>
      </c>
    </row>
    <row r="48" spans="2:3" x14ac:dyDescent="0.35">
      <c r="B48" t="s">
        <v>112</v>
      </c>
    </row>
    <row r="50" spans="2:2" x14ac:dyDescent="0.35">
      <c r="B50" s="2" t="s">
        <v>97</v>
      </c>
    </row>
  </sheetData>
  <mergeCells count="2">
    <mergeCell ref="C2:D2"/>
    <mergeCell ref="E2:E3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4F83-332A-49E5-B4C7-2B8FF6D2DD6A}">
  <dimension ref="A2:E42"/>
  <sheetViews>
    <sheetView tabSelected="1" topLeftCell="A27" zoomScaleNormal="100" workbookViewId="0">
      <selection activeCell="G33" sqref="G33"/>
    </sheetView>
  </sheetViews>
  <sheetFormatPr defaultColWidth="10.453125" defaultRowHeight="14.5" x14ac:dyDescent="0.35"/>
  <cols>
    <col min="6" max="6" width="10.453125" customWidth="1"/>
  </cols>
  <sheetData>
    <row r="2" spans="1:5" x14ac:dyDescent="0.35">
      <c r="B2" s="9"/>
      <c r="C2" s="81" t="s">
        <v>117</v>
      </c>
      <c r="D2" s="81"/>
      <c r="E2" s="81"/>
    </row>
    <row r="3" spans="1:5" x14ac:dyDescent="0.35">
      <c r="B3" s="9" t="s">
        <v>113</v>
      </c>
      <c r="C3" s="9" t="s">
        <v>118</v>
      </c>
      <c r="D3" s="9" t="s">
        <v>119</v>
      </c>
      <c r="E3" s="9" t="s">
        <v>120</v>
      </c>
    </row>
    <row r="4" spans="1:5" x14ac:dyDescent="0.35">
      <c r="B4" s="9" t="s">
        <v>114</v>
      </c>
      <c r="C4" s="9">
        <v>200</v>
      </c>
      <c r="D4" s="9">
        <v>50</v>
      </c>
      <c r="E4" s="9">
        <v>50</v>
      </c>
    </row>
    <row r="5" spans="1:5" x14ac:dyDescent="0.35">
      <c r="B5" s="9" t="s">
        <v>115</v>
      </c>
      <c r="C5" s="9">
        <v>90</v>
      </c>
      <c r="D5" s="9">
        <v>50</v>
      </c>
      <c r="E5" s="9">
        <v>0</v>
      </c>
    </row>
    <row r="6" spans="1:5" x14ac:dyDescent="0.35">
      <c r="B6" s="9" t="s">
        <v>116</v>
      </c>
      <c r="C6" s="9">
        <v>-10</v>
      </c>
      <c r="D6" s="9">
        <v>10</v>
      </c>
      <c r="E6" s="9">
        <v>50</v>
      </c>
    </row>
    <row r="8" spans="1:5" x14ac:dyDescent="0.35">
      <c r="A8" s="14" t="s">
        <v>40</v>
      </c>
      <c r="B8" t="s">
        <v>131</v>
      </c>
    </row>
    <row r="9" spans="1:5" x14ac:dyDescent="0.35">
      <c r="B9" s="8" t="s">
        <v>121</v>
      </c>
      <c r="C9" s="25" t="s">
        <v>125</v>
      </c>
    </row>
    <row r="10" spans="1:5" x14ac:dyDescent="0.35">
      <c r="B10" s="8" t="s">
        <v>130</v>
      </c>
      <c r="C10" s="25">
        <f>(200*0.2) + (50*0.6) + (50*0.2)</f>
        <v>80</v>
      </c>
    </row>
    <row r="11" spans="1:5" x14ac:dyDescent="0.35">
      <c r="B11" s="8" t="s">
        <v>123</v>
      </c>
      <c r="C11" s="25" t="s">
        <v>124</v>
      </c>
    </row>
    <row r="12" spans="1:5" x14ac:dyDescent="0.35">
      <c r="B12" s="8" t="s">
        <v>130</v>
      </c>
      <c r="C12" s="25">
        <f>(90*0.2) + (50*0.6) + (0*0.2)</f>
        <v>48</v>
      </c>
    </row>
    <row r="13" spans="1:5" x14ac:dyDescent="0.35">
      <c r="B13" s="8" t="s">
        <v>122</v>
      </c>
      <c r="C13" s="25" t="s">
        <v>126</v>
      </c>
    </row>
    <row r="14" spans="1:5" x14ac:dyDescent="0.35">
      <c r="B14" s="8" t="s">
        <v>130</v>
      </c>
      <c r="C14" s="25">
        <f>(-10*0.2) + (10*0.6) + (50*0.2)</f>
        <v>14</v>
      </c>
    </row>
    <row r="16" spans="1:5" x14ac:dyDescent="0.35">
      <c r="B16" t="s">
        <v>9</v>
      </c>
      <c r="C16" s="8" t="s">
        <v>114</v>
      </c>
    </row>
    <row r="19" spans="1:1" x14ac:dyDescent="0.35">
      <c r="A19" s="14" t="s">
        <v>41</v>
      </c>
    </row>
    <row r="33" spans="1:5" x14ac:dyDescent="0.35">
      <c r="A33" s="14" t="s">
        <v>42</v>
      </c>
      <c r="B33" s="9"/>
      <c r="C33" s="81" t="s">
        <v>117</v>
      </c>
      <c r="D33" s="81"/>
      <c r="E33" s="81"/>
    </row>
    <row r="34" spans="1:5" x14ac:dyDescent="0.35">
      <c r="B34" s="9" t="s">
        <v>113</v>
      </c>
      <c r="C34" s="9" t="s">
        <v>118</v>
      </c>
      <c r="D34" s="9" t="s">
        <v>119</v>
      </c>
      <c r="E34" s="9" t="s">
        <v>120</v>
      </c>
    </row>
    <row r="35" spans="1:5" x14ac:dyDescent="0.35">
      <c r="B35" s="9" t="s">
        <v>114</v>
      </c>
      <c r="C35" s="9">
        <v>200</v>
      </c>
      <c r="D35" s="9">
        <v>50</v>
      </c>
      <c r="E35" s="9">
        <v>50</v>
      </c>
    </row>
    <row r="36" spans="1:5" x14ac:dyDescent="0.35">
      <c r="B36" s="9" t="s">
        <v>115</v>
      </c>
      <c r="C36" s="9">
        <v>90</v>
      </c>
      <c r="D36" s="9">
        <v>50</v>
      </c>
      <c r="E36" s="9">
        <v>0</v>
      </c>
    </row>
    <row r="37" spans="1:5" x14ac:dyDescent="0.35">
      <c r="B37" s="9" t="s">
        <v>116</v>
      </c>
      <c r="C37" s="9">
        <v>-10</v>
      </c>
      <c r="D37" s="9">
        <v>10</v>
      </c>
      <c r="E37" s="9">
        <v>50</v>
      </c>
    </row>
    <row r="39" spans="1:5" x14ac:dyDescent="0.35">
      <c r="B39" s="9"/>
      <c r="C39" s="88" t="s">
        <v>114</v>
      </c>
      <c r="D39" s="89"/>
    </row>
    <row r="40" spans="1:5" x14ac:dyDescent="0.35">
      <c r="B40" s="9" t="s">
        <v>113</v>
      </c>
      <c r="C40" s="9" t="s">
        <v>132</v>
      </c>
      <c r="D40" s="9" t="s">
        <v>133</v>
      </c>
    </row>
    <row r="41" spans="1:5" x14ac:dyDescent="0.35">
      <c r="B41" s="9" t="s">
        <v>134</v>
      </c>
      <c r="C41" s="9">
        <v>110</v>
      </c>
      <c r="D41" s="9">
        <v>10</v>
      </c>
    </row>
    <row r="42" spans="1:5" x14ac:dyDescent="0.35">
      <c r="B42" s="9" t="s">
        <v>135</v>
      </c>
      <c r="C42" s="88">
        <v>50</v>
      </c>
      <c r="D42" s="89"/>
    </row>
  </sheetData>
  <mergeCells count="4">
    <mergeCell ref="C42:D42"/>
    <mergeCell ref="C2:E2"/>
    <mergeCell ref="C33:E33"/>
    <mergeCell ref="C39:D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Q3.1</vt:lpstr>
      <vt:lpstr>Q3.2</vt:lpstr>
      <vt:lpstr>Q4.1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Ruchintha Dias</dc:creator>
  <cp:lastModifiedBy>Ruchintha Dias</cp:lastModifiedBy>
  <dcterms:created xsi:type="dcterms:W3CDTF">2025-03-31T17:37:46Z</dcterms:created>
  <dcterms:modified xsi:type="dcterms:W3CDTF">2025-04-09T05:38:54Z</dcterms:modified>
</cp:coreProperties>
</file>