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PERSONAL\USA\DU Docs\MY COURSES\FIN 3500\Module 2\"/>
    </mc:Choice>
  </mc:AlternateContent>
  <xr:revisionPtr revIDLastSave="0" documentId="13_ncr:1_{AAE25BB8-E2F4-4DBF-A260-C9CEE7B2A1A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eptemplate" sheetId="10" r:id="rId1"/>
    <sheet name="Financial Statements" sheetId="1" r:id="rId2"/>
    <sheet name="ProForma Statements" sheetId="3" r:id="rId3"/>
    <sheet name="FCF and Valuation" sheetId="7" r:id="rId4"/>
    <sheet name="SalesDataTable" sheetId="8" r:id="rId5"/>
    <sheet name="ExpenseRatioDataTable" sheetId="9" r:id="rId6"/>
  </sheets>
  <definedNames>
    <definedName name="_xlnm.Print_Area" localSheetId="3">'FCF and Valuation'!$A$1:$G$107</definedName>
    <definedName name="_xlnm.Print_Area" localSheetId="2">'ProForma Statements'!$A$1:$G$77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9" l="1"/>
  <c r="B63" i="10"/>
  <c r="B36" i="10"/>
  <c r="C38" i="8"/>
  <c r="D41" i="3"/>
  <c r="E41" i="3"/>
  <c r="F41" i="3"/>
  <c r="G41" i="3"/>
  <c r="D59" i="3"/>
  <c r="D42" i="3"/>
  <c r="E59" i="3"/>
  <c r="E42" i="3"/>
  <c r="F59" i="3"/>
  <c r="F42" i="3"/>
  <c r="G59" i="3"/>
  <c r="G42" i="3"/>
  <c r="D43" i="3"/>
  <c r="E43" i="3"/>
  <c r="F43" i="3"/>
  <c r="G43" i="3"/>
  <c r="D52" i="3"/>
  <c r="D53" i="3"/>
  <c r="D54" i="3"/>
  <c r="D55" i="3"/>
  <c r="D56" i="3"/>
  <c r="D60" i="3"/>
  <c r="D61" i="3"/>
  <c r="D63" i="3"/>
  <c r="D67" i="3"/>
  <c r="E52" i="3"/>
  <c r="E53" i="3"/>
  <c r="E54" i="3"/>
  <c r="E55" i="3"/>
  <c r="E56" i="3"/>
  <c r="E60" i="3"/>
  <c r="E61" i="3"/>
  <c r="E63" i="3"/>
  <c r="E67" i="3"/>
  <c r="F52" i="3"/>
  <c r="F53" i="3"/>
  <c r="F54" i="3"/>
  <c r="F55" i="3"/>
  <c r="F56" i="3"/>
  <c r="F60" i="3"/>
  <c r="F61" i="3"/>
  <c r="F63" i="3"/>
  <c r="F67" i="3"/>
  <c r="D45" i="3"/>
  <c r="E45" i="3"/>
  <c r="F45" i="3"/>
  <c r="G52" i="3"/>
  <c r="G45" i="3"/>
  <c r="G53" i="3"/>
  <c r="G54" i="3"/>
  <c r="G55" i="3"/>
  <c r="G56" i="3"/>
  <c r="G60" i="3"/>
  <c r="G61" i="3"/>
  <c r="G63" i="3"/>
  <c r="G67" i="3"/>
  <c r="D69" i="3"/>
  <c r="E69" i="3"/>
  <c r="F69" i="3"/>
  <c r="G69" i="3"/>
  <c r="D75" i="3"/>
  <c r="E75" i="3"/>
  <c r="F75" i="3"/>
  <c r="G75" i="3"/>
  <c r="C75" i="3"/>
  <c r="C63" i="3"/>
  <c r="C61" i="3"/>
  <c r="C60" i="3"/>
  <c r="C59" i="3"/>
  <c r="C69" i="3"/>
  <c r="C67" i="3"/>
  <c r="C56" i="3"/>
  <c r="C55" i="3"/>
  <c r="C54" i="3"/>
  <c r="C53" i="3"/>
  <c r="C52" i="3"/>
  <c r="C45" i="3"/>
  <c r="C42" i="3"/>
  <c r="C43" i="3"/>
  <c r="C41" i="3"/>
  <c r="B65" i="10"/>
  <c r="D45" i="10"/>
  <c r="E45" i="10"/>
  <c r="F45" i="10"/>
  <c r="G45" i="10"/>
  <c r="D46" i="10"/>
  <c r="E46" i="10"/>
  <c r="F46" i="10"/>
  <c r="G46" i="10"/>
  <c r="D48" i="10"/>
  <c r="E48" i="10"/>
  <c r="F48" i="10"/>
  <c r="G48" i="10"/>
  <c r="C48" i="10"/>
  <c r="C46" i="10"/>
  <c r="C45" i="10"/>
  <c r="D15" i="10"/>
  <c r="E15" i="10"/>
  <c r="F15" i="10"/>
  <c r="G15" i="10"/>
  <c r="D16" i="10"/>
  <c r="E16" i="10"/>
  <c r="F16" i="10"/>
  <c r="G16" i="10"/>
  <c r="D36" i="10"/>
  <c r="D17" i="10"/>
  <c r="E36" i="10"/>
  <c r="E17" i="10"/>
  <c r="F36" i="10"/>
  <c r="F17" i="10"/>
  <c r="G36" i="10"/>
  <c r="G17" i="10"/>
  <c r="D35" i="10"/>
  <c r="D37" i="10"/>
  <c r="E35" i="10"/>
  <c r="E37" i="10"/>
  <c r="F35" i="10"/>
  <c r="F37" i="10"/>
  <c r="D32" i="10"/>
  <c r="E32" i="10"/>
  <c r="F32" i="10"/>
  <c r="G35" i="10"/>
  <c r="G37" i="10"/>
  <c r="D28" i="10"/>
  <c r="E28" i="10"/>
  <c r="F28" i="10"/>
  <c r="G28" i="10"/>
  <c r="G32" i="10"/>
  <c r="C35" i="10"/>
  <c r="C36" i="10"/>
  <c r="C37" i="10"/>
  <c r="C17" i="10"/>
  <c r="C15" i="10"/>
  <c r="C32" i="10"/>
  <c r="C28" i="10"/>
  <c r="C16" i="10"/>
  <c r="B18" i="10"/>
  <c r="B16" i="10"/>
  <c r="B15" i="10"/>
  <c r="B28" i="10"/>
  <c r="B32" i="10"/>
  <c r="B33" i="10"/>
  <c r="B35" i="10"/>
  <c r="B17" i="10"/>
  <c r="B20" i="10"/>
  <c r="B21" i="10"/>
  <c r="B22" i="10"/>
  <c r="B23" i="10"/>
  <c r="B24" i="10"/>
  <c r="B30" i="10"/>
  <c r="B39" i="10"/>
  <c r="A62" i="10"/>
  <c r="D52" i="9"/>
  <c r="E52" i="9"/>
  <c r="F52" i="9"/>
  <c r="G52" i="9"/>
  <c r="C52" i="9"/>
  <c r="D38" i="8"/>
  <c r="D52" i="8"/>
  <c r="E38" i="8"/>
  <c r="E52" i="8"/>
  <c r="F38" i="8"/>
  <c r="F52" i="8"/>
  <c r="G38" i="8"/>
  <c r="G52" i="8"/>
  <c r="C52" i="8"/>
  <c r="D52" i="7"/>
  <c r="E52" i="7"/>
  <c r="F52" i="7"/>
  <c r="G52" i="7"/>
  <c r="C52" i="7"/>
  <c r="D59" i="9"/>
  <c r="E59" i="9"/>
  <c r="F59" i="9"/>
  <c r="G59" i="9"/>
  <c r="C59" i="9"/>
  <c r="D59" i="8"/>
  <c r="E59" i="8"/>
  <c r="F59" i="8"/>
  <c r="G59" i="8"/>
  <c r="C59" i="8"/>
  <c r="D59" i="7"/>
  <c r="E59" i="7"/>
  <c r="F59" i="7"/>
  <c r="G59" i="7"/>
  <c r="C59" i="7"/>
  <c r="D41" i="9"/>
  <c r="E41" i="9"/>
  <c r="F41" i="9"/>
  <c r="G41" i="9"/>
  <c r="D42" i="9"/>
  <c r="E42" i="9"/>
  <c r="F23" i="9"/>
  <c r="F42" i="9"/>
  <c r="G23" i="9"/>
  <c r="G42" i="9"/>
  <c r="D43" i="9"/>
  <c r="E43" i="9"/>
  <c r="F43" i="9"/>
  <c r="G43" i="9"/>
  <c r="D53" i="9"/>
  <c r="D54" i="9"/>
  <c r="D55" i="9"/>
  <c r="C42" i="9"/>
  <c r="C60" i="9"/>
  <c r="D60" i="9"/>
  <c r="D61" i="9"/>
  <c r="D67" i="9"/>
  <c r="E53" i="9"/>
  <c r="E54" i="9"/>
  <c r="E55" i="9"/>
  <c r="E60" i="9"/>
  <c r="E61" i="9"/>
  <c r="E67" i="9"/>
  <c r="F53" i="9"/>
  <c r="F54" i="9"/>
  <c r="F55" i="9"/>
  <c r="F60" i="9"/>
  <c r="F61" i="9"/>
  <c r="F67" i="9"/>
  <c r="G67" i="9"/>
  <c r="G53" i="9"/>
  <c r="G54" i="9"/>
  <c r="G55" i="9"/>
  <c r="G60" i="9"/>
  <c r="G61" i="9"/>
  <c r="D69" i="9"/>
  <c r="E69" i="9"/>
  <c r="F69" i="9"/>
  <c r="G69" i="9"/>
  <c r="D75" i="9"/>
  <c r="E75" i="9"/>
  <c r="F75" i="9"/>
  <c r="G75" i="9"/>
  <c r="D41" i="8"/>
  <c r="E41" i="8"/>
  <c r="F41" i="8"/>
  <c r="G41" i="8"/>
  <c r="D42" i="8"/>
  <c r="E42" i="8"/>
  <c r="F23" i="8"/>
  <c r="F42" i="8"/>
  <c r="G23" i="8"/>
  <c r="G42" i="8"/>
  <c r="D43" i="8"/>
  <c r="E43" i="8"/>
  <c r="F43" i="8"/>
  <c r="G43" i="8"/>
  <c r="D53" i="8"/>
  <c r="D54" i="8"/>
  <c r="D55" i="8"/>
  <c r="C42" i="8"/>
  <c r="C60" i="8"/>
  <c r="D60" i="8"/>
  <c r="D61" i="8"/>
  <c r="E53" i="8"/>
  <c r="E54" i="8"/>
  <c r="E55" i="8"/>
  <c r="E60" i="8"/>
  <c r="E61" i="8"/>
  <c r="F53" i="8"/>
  <c r="F54" i="8"/>
  <c r="F55" i="8"/>
  <c r="F60" i="8"/>
  <c r="F61" i="8"/>
  <c r="G53" i="8"/>
  <c r="G54" i="8"/>
  <c r="G55" i="8"/>
  <c r="G60" i="8"/>
  <c r="G61" i="8"/>
  <c r="D41" i="7"/>
  <c r="E41" i="7"/>
  <c r="F41" i="7"/>
  <c r="G41" i="7"/>
  <c r="D42" i="7"/>
  <c r="E42" i="7"/>
  <c r="F42" i="7"/>
  <c r="G42" i="7"/>
  <c r="D43" i="7"/>
  <c r="E43" i="7"/>
  <c r="F43" i="7"/>
  <c r="G43" i="7"/>
  <c r="D53" i="7"/>
  <c r="D54" i="7"/>
  <c r="D55" i="7"/>
  <c r="C42" i="7"/>
  <c r="C60" i="7"/>
  <c r="D60" i="7"/>
  <c r="D61" i="7"/>
  <c r="D67" i="7"/>
  <c r="E53" i="7"/>
  <c r="E54" i="7"/>
  <c r="E55" i="7"/>
  <c r="E60" i="7"/>
  <c r="E61" i="7"/>
  <c r="E67" i="7"/>
  <c r="F53" i="7"/>
  <c r="F54" i="7"/>
  <c r="F55" i="7"/>
  <c r="F60" i="7"/>
  <c r="F61" i="7"/>
  <c r="F67" i="7"/>
  <c r="G67" i="7"/>
  <c r="G53" i="7"/>
  <c r="G54" i="7"/>
  <c r="G55" i="7"/>
  <c r="G60" i="7"/>
  <c r="G61" i="7"/>
  <c r="D69" i="7"/>
  <c r="E69" i="7"/>
  <c r="F69" i="7"/>
  <c r="G69" i="7"/>
  <c r="D75" i="7"/>
  <c r="E75" i="7"/>
  <c r="F75" i="7"/>
  <c r="G75" i="7"/>
  <c r="C27" i="1"/>
  <c r="B75" i="3"/>
  <c r="B75" i="9"/>
  <c r="C75" i="9"/>
  <c r="C28" i="9"/>
  <c r="B69" i="3"/>
  <c r="B69" i="9"/>
  <c r="G26" i="9"/>
  <c r="B67" i="3"/>
  <c r="B67" i="9"/>
  <c r="C12" i="1"/>
  <c r="B59" i="3"/>
  <c r="B13" i="1"/>
  <c r="C13" i="1"/>
  <c r="B60" i="3"/>
  <c r="B61" i="3"/>
  <c r="B61" i="9"/>
  <c r="B60" i="9"/>
  <c r="B59" i="9"/>
  <c r="C23" i="9"/>
  <c r="B38" i="3"/>
  <c r="B38" i="9"/>
  <c r="B55" i="3"/>
  <c r="B55" i="9"/>
  <c r="D20" i="9"/>
  <c r="C20" i="9"/>
  <c r="C54" i="9"/>
  <c r="B54" i="3"/>
  <c r="B54" i="9"/>
  <c r="C19" i="9"/>
  <c r="B53" i="3"/>
  <c r="B53" i="9"/>
  <c r="B52" i="3"/>
  <c r="B52" i="9"/>
  <c r="B100" i="9"/>
  <c r="B46" i="9"/>
  <c r="C34" i="9"/>
  <c r="B47" i="9"/>
  <c r="D33" i="3"/>
  <c r="E33" i="3"/>
  <c r="F33" i="3"/>
  <c r="G33" i="3"/>
  <c r="G33" i="9"/>
  <c r="D33" i="9"/>
  <c r="F33" i="9"/>
  <c r="E33" i="9"/>
  <c r="C33" i="9"/>
  <c r="C43" i="9"/>
  <c r="C31" i="9"/>
  <c r="C30" i="9"/>
  <c r="C27" i="9"/>
  <c r="F26" i="9"/>
  <c r="E26" i="9"/>
  <c r="D26" i="9"/>
  <c r="C26" i="9"/>
  <c r="C67" i="9"/>
  <c r="C24" i="9"/>
  <c r="E23" i="9"/>
  <c r="D23" i="9"/>
  <c r="B23" i="9"/>
  <c r="C21" i="9"/>
  <c r="E20" i="3"/>
  <c r="F20" i="3"/>
  <c r="G20" i="3"/>
  <c r="G20" i="9"/>
  <c r="F20" i="9"/>
  <c r="E20" i="9"/>
  <c r="G18" i="9"/>
  <c r="F18" i="9"/>
  <c r="E18" i="9"/>
  <c r="D18" i="3"/>
  <c r="D18" i="9"/>
  <c r="C18" i="3"/>
  <c r="C18" i="9"/>
  <c r="D33" i="8"/>
  <c r="C32" i="8"/>
  <c r="G26" i="8"/>
  <c r="G67" i="8"/>
  <c r="C21" i="8"/>
  <c r="C55" i="8"/>
  <c r="B52" i="8"/>
  <c r="B100" i="8"/>
  <c r="B75" i="8"/>
  <c r="E75" i="8"/>
  <c r="B69" i="8"/>
  <c r="B67" i="8"/>
  <c r="B61" i="8"/>
  <c r="B60" i="8"/>
  <c r="B59" i="8"/>
  <c r="B55" i="8"/>
  <c r="B54" i="8"/>
  <c r="B53" i="8"/>
  <c r="B56" i="8"/>
  <c r="B63" i="8"/>
  <c r="B38" i="8"/>
  <c r="B46" i="8"/>
  <c r="C34" i="8"/>
  <c r="G33" i="8"/>
  <c r="F33" i="8"/>
  <c r="E33" i="8"/>
  <c r="C33" i="8"/>
  <c r="C31" i="8"/>
  <c r="C30" i="8"/>
  <c r="C28" i="8"/>
  <c r="C27" i="8"/>
  <c r="F26" i="8"/>
  <c r="E26" i="8"/>
  <c r="D26" i="8"/>
  <c r="C26" i="8"/>
  <c r="C24" i="8"/>
  <c r="E23" i="8"/>
  <c r="D23" i="8"/>
  <c r="C23" i="8"/>
  <c r="B23" i="8"/>
  <c r="G20" i="8"/>
  <c r="F20" i="8"/>
  <c r="E20" i="8"/>
  <c r="D20" i="8"/>
  <c r="C20" i="8"/>
  <c r="C19" i="8"/>
  <c r="G18" i="8"/>
  <c r="F18" i="8"/>
  <c r="E18" i="8"/>
  <c r="D18" i="8"/>
  <c r="C18" i="8"/>
  <c r="C100" i="9"/>
  <c r="C105" i="9"/>
  <c r="C99" i="9"/>
  <c r="C102" i="9"/>
  <c r="C101" i="9"/>
  <c r="H38" i="8"/>
  <c r="C99" i="8"/>
  <c r="C101" i="8"/>
  <c r="C100" i="8"/>
  <c r="C102" i="8"/>
  <c r="C105" i="8"/>
  <c r="C100" i="7"/>
  <c r="C41" i="9"/>
  <c r="C87" i="9"/>
  <c r="C53" i="9"/>
  <c r="C55" i="9"/>
  <c r="D85" i="9"/>
  <c r="F85" i="9"/>
  <c r="C85" i="9"/>
  <c r="G85" i="9"/>
  <c r="B56" i="9"/>
  <c r="B63" i="9"/>
  <c r="E85" i="9"/>
  <c r="C82" i="9"/>
  <c r="B48" i="9"/>
  <c r="C69" i="9"/>
  <c r="D82" i="8"/>
  <c r="G69" i="8"/>
  <c r="F67" i="8"/>
  <c r="C67" i="8"/>
  <c r="D67" i="8"/>
  <c r="C53" i="8"/>
  <c r="C43" i="8"/>
  <c r="C54" i="8"/>
  <c r="B47" i="8"/>
  <c r="B48" i="8"/>
  <c r="C69" i="8"/>
  <c r="F75" i="8"/>
  <c r="G75" i="8"/>
  <c r="D69" i="8"/>
  <c r="C41" i="8"/>
  <c r="C75" i="8"/>
  <c r="F69" i="8"/>
  <c r="D75" i="8"/>
  <c r="B67" i="7"/>
  <c r="C34" i="7"/>
  <c r="C33" i="7"/>
  <c r="C43" i="7"/>
  <c r="C32" i="7"/>
  <c r="C31" i="7"/>
  <c r="C30" i="7"/>
  <c r="C28" i="7"/>
  <c r="C27" i="7"/>
  <c r="G26" i="7"/>
  <c r="F26" i="7"/>
  <c r="E26" i="7"/>
  <c r="D26" i="7"/>
  <c r="C26" i="7"/>
  <c r="C67" i="7"/>
  <c r="C24" i="7"/>
  <c r="B23" i="7"/>
  <c r="C21" i="7"/>
  <c r="D20" i="7"/>
  <c r="C20" i="7"/>
  <c r="C54" i="7"/>
  <c r="C19" i="7"/>
  <c r="G18" i="7"/>
  <c r="F18" i="7"/>
  <c r="E18" i="7"/>
  <c r="C18" i="7"/>
  <c r="D18" i="7"/>
  <c r="C36" i="1"/>
  <c r="B14" i="1"/>
  <c r="B16" i="1"/>
  <c r="B36" i="1"/>
  <c r="C58" i="1"/>
  <c r="B58" i="1"/>
  <c r="C56" i="1"/>
  <c r="B56" i="1"/>
  <c r="C43" i="1"/>
  <c r="B43" i="1"/>
  <c r="B52" i="7"/>
  <c r="B100" i="7"/>
  <c r="B69" i="7"/>
  <c r="B54" i="7"/>
  <c r="B55" i="7"/>
  <c r="D33" i="7"/>
  <c r="E33" i="7"/>
  <c r="E20" i="7"/>
  <c r="B53" i="7"/>
  <c r="B38" i="7"/>
  <c r="B46" i="7"/>
  <c r="F20" i="7"/>
  <c r="G20" i="7"/>
  <c r="C105" i="7"/>
  <c r="C101" i="7"/>
  <c r="C99" i="7"/>
  <c r="C102" i="7"/>
  <c r="D85" i="8"/>
  <c r="D87" i="9"/>
  <c r="C61" i="9"/>
  <c r="C87" i="8"/>
  <c r="C82" i="8"/>
  <c r="C85" i="8"/>
  <c r="G85" i="8"/>
  <c r="D87" i="8"/>
  <c r="C69" i="7"/>
  <c r="B56" i="7"/>
  <c r="B47" i="7"/>
  <c r="B48" i="7"/>
  <c r="B75" i="7"/>
  <c r="C40" i="1"/>
  <c r="C53" i="1"/>
  <c r="C14" i="1"/>
  <c r="C16" i="1"/>
  <c r="B40" i="1"/>
  <c r="B53" i="1"/>
  <c r="C41" i="7"/>
  <c r="B59" i="7"/>
  <c r="C55" i="7"/>
  <c r="C53" i="7"/>
  <c r="B46" i="3"/>
  <c r="B56" i="3"/>
  <c r="D85" i="7"/>
  <c r="D82" i="9"/>
  <c r="E87" i="9"/>
  <c r="C61" i="8"/>
  <c r="G85" i="7"/>
  <c r="F85" i="7"/>
  <c r="B61" i="7"/>
  <c r="C75" i="7"/>
  <c r="C82" i="7"/>
  <c r="C87" i="7"/>
  <c r="F33" i="7"/>
  <c r="B63" i="3"/>
  <c r="E85" i="7"/>
  <c r="B60" i="7"/>
  <c r="B47" i="3"/>
  <c r="B48" i="3"/>
  <c r="C85" i="7"/>
  <c r="B63" i="7"/>
  <c r="E82" i="9"/>
  <c r="F87" i="9"/>
  <c r="D87" i="7"/>
  <c r="D82" i="7"/>
  <c r="C61" i="7"/>
  <c r="G33" i="7"/>
  <c r="G87" i="9"/>
  <c r="F82" i="9"/>
  <c r="E82" i="7"/>
  <c r="E87" i="7"/>
  <c r="G82" i="9"/>
  <c r="F87" i="7"/>
  <c r="F82" i="7"/>
  <c r="G87" i="7"/>
  <c r="G82" i="7"/>
  <c r="E67" i="8"/>
  <c r="E69" i="8"/>
  <c r="F85" i="8"/>
  <c r="E85" i="8"/>
  <c r="E87" i="8"/>
  <c r="F87" i="8"/>
  <c r="E82" i="8"/>
  <c r="F82" i="8"/>
  <c r="G87" i="8"/>
  <c r="G82" i="8"/>
  <c r="C45" i="7"/>
  <c r="C56" i="7"/>
  <c r="C63" i="7"/>
  <c r="C84" i="7"/>
  <c r="D45" i="7"/>
  <c r="E45" i="7"/>
  <c r="F45" i="7"/>
  <c r="G45" i="7"/>
  <c r="D56" i="7"/>
  <c r="E56" i="7"/>
  <c r="F56" i="7"/>
  <c r="G56" i="7"/>
  <c r="D63" i="7"/>
  <c r="E63" i="7"/>
  <c r="F63" i="7"/>
  <c r="G63" i="7"/>
  <c r="D84" i="7"/>
  <c r="E84" i="7"/>
  <c r="F84" i="7"/>
  <c r="G84" i="7"/>
  <c r="C45" i="8"/>
  <c r="C56" i="8"/>
  <c r="C63" i="8"/>
  <c r="C84" i="8"/>
  <c r="D45" i="8"/>
  <c r="E45" i="8"/>
  <c r="F45" i="8"/>
  <c r="G45" i="8"/>
  <c r="D56" i="8"/>
  <c r="E56" i="8"/>
  <c r="F56" i="8"/>
  <c r="G56" i="8"/>
  <c r="D63" i="8"/>
  <c r="E63" i="8"/>
  <c r="F63" i="8"/>
  <c r="G63" i="8"/>
  <c r="D84" i="8"/>
  <c r="E84" i="8"/>
  <c r="F84" i="8"/>
  <c r="G84" i="8"/>
  <c r="C56" i="9"/>
  <c r="C63" i="9"/>
  <c r="C45" i="9"/>
  <c r="C84" i="9"/>
  <c r="D56" i="9"/>
  <c r="D63" i="9"/>
  <c r="E56" i="9"/>
  <c r="E63" i="9"/>
  <c r="F56" i="9"/>
  <c r="F63" i="9"/>
  <c r="D45" i="9"/>
  <c r="E45" i="9"/>
  <c r="F45" i="9"/>
  <c r="G45" i="9"/>
  <c r="G56" i="9"/>
  <c r="G63" i="9"/>
  <c r="D84" i="9"/>
  <c r="E84" i="9"/>
  <c r="F84" i="9"/>
  <c r="G84" i="9"/>
  <c r="C44" i="9"/>
  <c r="D44" i="9"/>
  <c r="E44" i="9"/>
  <c r="F44" i="9"/>
  <c r="G44" i="9"/>
  <c r="C46" i="9"/>
  <c r="D46" i="9"/>
  <c r="E46" i="9"/>
  <c r="F46" i="9"/>
  <c r="G46" i="9"/>
  <c r="C47" i="9"/>
  <c r="D47" i="9"/>
  <c r="E47" i="9"/>
  <c r="F47" i="9"/>
  <c r="G47" i="9"/>
  <c r="C48" i="9"/>
  <c r="D48" i="9"/>
  <c r="E48" i="9"/>
  <c r="F48" i="9"/>
  <c r="G48" i="9"/>
  <c r="B68" i="9"/>
  <c r="C68" i="9"/>
  <c r="D68" i="9"/>
  <c r="E68" i="9"/>
  <c r="F68" i="9"/>
  <c r="G68" i="9"/>
  <c r="B70" i="9"/>
  <c r="C70" i="9"/>
  <c r="D70" i="9"/>
  <c r="E70" i="9"/>
  <c r="F70" i="9"/>
  <c r="G70" i="9"/>
  <c r="B72" i="9"/>
  <c r="C72" i="9"/>
  <c r="D72" i="9"/>
  <c r="E72" i="9"/>
  <c r="F72" i="9"/>
  <c r="G72" i="9"/>
  <c r="B76" i="9"/>
  <c r="C76" i="9"/>
  <c r="D76" i="9"/>
  <c r="E76" i="9"/>
  <c r="F76" i="9"/>
  <c r="G76" i="9"/>
  <c r="B77" i="9"/>
  <c r="C77" i="9"/>
  <c r="D77" i="9"/>
  <c r="E77" i="9"/>
  <c r="F77" i="9"/>
  <c r="G77" i="9"/>
  <c r="C81" i="9"/>
  <c r="D81" i="9"/>
  <c r="E81" i="9"/>
  <c r="F81" i="9"/>
  <c r="G81" i="9"/>
  <c r="C83" i="9"/>
  <c r="D83" i="9"/>
  <c r="E83" i="9"/>
  <c r="F83" i="9"/>
  <c r="G83" i="9"/>
  <c r="C86" i="9"/>
  <c r="D86" i="9"/>
  <c r="E86" i="9"/>
  <c r="F86" i="9"/>
  <c r="G86" i="9"/>
  <c r="C88" i="9"/>
  <c r="D88" i="9"/>
  <c r="E88" i="9"/>
  <c r="F88" i="9"/>
  <c r="G88" i="9"/>
  <c r="C96" i="9"/>
  <c r="D96" i="9"/>
  <c r="E96" i="9"/>
  <c r="F96" i="9"/>
  <c r="G96" i="9"/>
  <c r="G97" i="9"/>
  <c r="C98" i="9"/>
  <c r="D98" i="9"/>
  <c r="E98" i="9"/>
  <c r="F98" i="9"/>
  <c r="G98" i="9"/>
  <c r="B99" i="9"/>
  <c r="B101" i="9"/>
  <c r="B102" i="9"/>
  <c r="B105" i="9"/>
  <c r="E108" i="9"/>
  <c r="C44" i="7"/>
  <c r="D44" i="7"/>
  <c r="E44" i="7"/>
  <c r="F44" i="7"/>
  <c r="G44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B68" i="7"/>
  <c r="C68" i="7"/>
  <c r="D68" i="7"/>
  <c r="E68" i="7"/>
  <c r="F68" i="7"/>
  <c r="G68" i="7"/>
  <c r="B70" i="7"/>
  <c r="C70" i="7"/>
  <c r="D70" i="7"/>
  <c r="E70" i="7"/>
  <c r="F70" i="7"/>
  <c r="G70" i="7"/>
  <c r="B72" i="7"/>
  <c r="C72" i="7"/>
  <c r="D72" i="7"/>
  <c r="E72" i="7"/>
  <c r="F72" i="7"/>
  <c r="G72" i="7"/>
  <c r="B76" i="7"/>
  <c r="C76" i="7"/>
  <c r="D76" i="7"/>
  <c r="E76" i="7"/>
  <c r="F76" i="7"/>
  <c r="G76" i="7"/>
  <c r="B77" i="7"/>
  <c r="C77" i="7"/>
  <c r="D77" i="7"/>
  <c r="E77" i="7"/>
  <c r="F77" i="7"/>
  <c r="G77" i="7"/>
  <c r="C81" i="7"/>
  <c r="D81" i="7"/>
  <c r="E81" i="7"/>
  <c r="F81" i="7"/>
  <c r="G81" i="7"/>
  <c r="C83" i="7"/>
  <c r="D83" i="7"/>
  <c r="E83" i="7"/>
  <c r="F83" i="7"/>
  <c r="G83" i="7"/>
  <c r="C86" i="7"/>
  <c r="D86" i="7"/>
  <c r="E86" i="7"/>
  <c r="F86" i="7"/>
  <c r="G86" i="7"/>
  <c r="C88" i="7"/>
  <c r="D88" i="7"/>
  <c r="E88" i="7"/>
  <c r="F88" i="7"/>
  <c r="G88" i="7"/>
  <c r="C96" i="7"/>
  <c r="D96" i="7"/>
  <c r="E96" i="7"/>
  <c r="F96" i="7"/>
  <c r="G96" i="7"/>
  <c r="G97" i="7"/>
  <c r="C98" i="7"/>
  <c r="D98" i="7"/>
  <c r="E98" i="7"/>
  <c r="F98" i="7"/>
  <c r="G98" i="7"/>
  <c r="B99" i="7"/>
  <c r="B101" i="7"/>
  <c r="B102" i="7"/>
  <c r="B105" i="7"/>
  <c r="B21" i="1"/>
  <c r="C21" i="1"/>
  <c r="B24" i="1"/>
  <c r="C24" i="1"/>
  <c r="B28" i="1"/>
  <c r="C28" i="1"/>
  <c r="B29" i="1"/>
  <c r="C29" i="1"/>
  <c r="B42" i="1"/>
  <c r="C42" i="1"/>
  <c r="B44" i="1"/>
  <c r="C44" i="1"/>
  <c r="B45" i="1"/>
  <c r="C45" i="1"/>
  <c r="B46" i="1"/>
  <c r="C46" i="1"/>
  <c r="B52" i="1"/>
  <c r="C52" i="1"/>
  <c r="B54" i="1"/>
  <c r="C54" i="1"/>
  <c r="B55" i="1"/>
  <c r="C55" i="1"/>
  <c r="B57" i="1"/>
  <c r="C57" i="1"/>
  <c r="B59" i="1"/>
  <c r="C59" i="1"/>
  <c r="C18" i="10"/>
  <c r="D18" i="10"/>
  <c r="E18" i="10"/>
  <c r="F18" i="10"/>
  <c r="G18" i="10"/>
  <c r="C19" i="10"/>
  <c r="D19" i="10"/>
  <c r="E19" i="10"/>
  <c r="F19" i="10"/>
  <c r="G19" i="10"/>
  <c r="C20" i="10"/>
  <c r="D20" i="10"/>
  <c r="E20" i="10"/>
  <c r="F20" i="10"/>
  <c r="G20" i="10"/>
  <c r="C21" i="10"/>
  <c r="D21" i="10"/>
  <c r="E21" i="10"/>
  <c r="F21" i="10"/>
  <c r="G21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7" i="10"/>
  <c r="D27" i="10"/>
  <c r="E27" i="10"/>
  <c r="F27" i="10"/>
  <c r="G27" i="10"/>
  <c r="C30" i="10"/>
  <c r="D30" i="10"/>
  <c r="E30" i="10"/>
  <c r="F30" i="10"/>
  <c r="G30" i="10"/>
  <c r="C31" i="10"/>
  <c r="D31" i="10"/>
  <c r="E31" i="10"/>
  <c r="F31" i="10"/>
  <c r="G31" i="10"/>
  <c r="C33" i="10"/>
  <c r="D33" i="10"/>
  <c r="E33" i="10"/>
  <c r="F33" i="10"/>
  <c r="G33" i="10"/>
  <c r="C38" i="10"/>
  <c r="D38" i="10"/>
  <c r="E38" i="10"/>
  <c r="F38" i="10"/>
  <c r="G38" i="10"/>
  <c r="C39" i="10"/>
  <c r="D39" i="10"/>
  <c r="E39" i="10"/>
  <c r="F39" i="10"/>
  <c r="G39" i="10"/>
  <c r="C43" i="10"/>
  <c r="D43" i="10"/>
  <c r="E43" i="10"/>
  <c r="F43" i="10"/>
  <c r="G43" i="10"/>
  <c r="C44" i="10"/>
  <c r="D44" i="10"/>
  <c r="E44" i="10"/>
  <c r="F44" i="10"/>
  <c r="G44" i="10"/>
  <c r="C47" i="10"/>
  <c r="D47" i="10"/>
  <c r="E47" i="10"/>
  <c r="F47" i="10"/>
  <c r="G47" i="10"/>
  <c r="C49" i="10"/>
  <c r="D49" i="10"/>
  <c r="E49" i="10"/>
  <c r="F49" i="10"/>
  <c r="G49" i="10"/>
  <c r="C50" i="10"/>
  <c r="D50" i="10"/>
  <c r="E50" i="10"/>
  <c r="F50" i="10"/>
  <c r="G50" i="10"/>
  <c r="C58" i="10"/>
  <c r="D58" i="10"/>
  <c r="E58" i="10"/>
  <c r="F58" i="10"/>
  <c r="G58" i="10"/>
  <c r="G59" i="10"/>
  <c r="C60" i="10"/>
  <c r="D60" i="10"/>
  <c r="E60" i="10"/>
  <c r="F60" i="10"/>
  <c r="G60" i="10"/>
  <c r="B62" i="10"/>
  <c r="B64" i="10"/>
  <c r="B66" i="10"/>
  <c r="B69" i="10"/>
  <c r="C44" i="3"/>
  <c r="D44" i="3"/>
  <c r="E44" i="3"/>
  <c r="F44" i="3"/>
  <c r="G44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B68" i="3"/>
  <c r="C68" i="3"/>
  <c r="D68" i="3"/>
  <c r="E68" i="3"/>
  <c r="F68" i="3"/>
  <c r="G68" i="3"/>
  <c r="B70" i="3"/>
  <c r="C70" i="3"/>
  <c r="D70" i="3"/>
  <c r="E70" i="3"/>
  <c r="F70" i="3"/>
  <c r="G70" i="3"/>
  <c r="B72" i="3"/>
  <c r="C72" i="3"/>
  <c r="D72" i="3"/>
  <c r="E72" i="3"/>
  <c r="F72" i="3"/>
  <c r="G72" i="3"/>
  <c r="B76" i="3"/>
  <c r="C76" i="3"/>
  <c r="D76" i="3"/>
  <c r="E76" i="3"/>
  <c r="F76" i="3"/>
  <c r="G76" i="3"/>
  <c r="B77" i="3"/>
  <c r="C77" i="3"/>
  <c r="D77" i="3"/>
  <c r="E77" i="3"/>
  <c r="F77" i="3"/>
  <c r="G77" i="3"/>
  <c r="C44" i="8"/>
  <c r="D44" i="8"/>
  <c r="E44" i="8"/>
  <c r="F44" i="8"/>
  <c r="G44" i="8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B68" i="8"/>
  <c r="C68" i="8"/>
  <c r="D68" i="8"/>
  <c r="E68" i="8"/>
  <c r="F68" i="8"/>
  <c r="G68" i="8"/>
  <c r="B70" i="8"/>
  <c r="C70" i="8"/>
  <c r="D70" i="8"/>
  <c r="E70" i="8"/>
  <c r="F70" i="8"/>
  <c r="G70" i="8"/>
  <c r="B72" i="8"/>
  <c r="C72" i="8"/>
  <c r="D72" i="8"/>
  <c r="E72" i="8"/>
  <c r="F72" i="8"/>
  <c r="G72" i="8"/>
  <c r="B76" i="8"/>
  <c r="C76" i="8"/>
  <c r="D76" i="8"/>
  <c r="E76" i="8"/>
  <c r="F76" i="8"/>
  <c r="G76" i="8"/>
  <c r="B77" i="8"/>
  <c r="C77" i="8"/>
  <c r="D77" i="8"/>
  <c r="E77" i="8"/>
  <c r="F77" i="8"/>
  <c r="G77" i="8"/>
  <c r="C81" i="8"/>
  <c r="D81" i="8"/>
  <c r="E81" i="8"/>
  <c r="F81" i="8"/>
  <c r="G81" i="8"/>
  <c r="C83" i="8"/>
  <c r="D83" i="8"/>
  <c r="E83" i="8"/>
  <c r="F83" i="8"/>
  <c r="G83" i="8"/>
  <c r="C86" i="8"/>
  <c r="D86" i="8"/>
  <c r="E86" i="8"/>
  <c r="F86" i="8"/>
  <c r="G86" i="8"/>
  <c r="C88" i="8"/>
  <c r="D88" i="8"/>
  <c r="E88" i="8"/>
  <c r="F88" i="8"/>
  <c r="G88" i="8"/>
  <c r="C96" i="8"/>
  <c r="D96" i="8"/>
  <c r="E96" i="8"/>
  <c r="F96" i="8"/>
  <c r="G96" i="8"/>
  <c r="G97" i="8"/>
  <c r="C98" i="8"/>
  <c r="D98" i="8"/>
  <c r="E98" i="8"/>
  <c r="F98" i="8"/>
  <c r="G98" i="8"/>
  <c r="B99" i="8"/>
  <c r="B101" i="8"/>
  <c r="B102" i="8"/>
  <c r="B105" i="8"/>
  <c r="D108" i="8"/>
</calcChain>
</file>

<file path=xl/sharedStrings.xml><?xml version="1.0" encoding="utf-8"?>
<sst xmlns="http://schemas.openxmlformats.org/spreadsheetml/2006/main" count="417" uniqueCount="146">
  <si>
    <t xml:space="preserve">                                FARMERS BAGELS, INC.</t>
  </si>
  <si>
    <t>Current assets</t>
  </si>
  <si>
    <t>Cash and cash equivalents</t>
  </si>
  <si>
    <t>Accounts receivable</t>
  </si>
  <si>
    <t>Inventory</t>
  </si>
  <si>
    <t>Prepaid expenses and other current assets</t>
  </si>
  <si>
    <t>Property and equipment</t>
  </si>
  <si>
    <t xml:space="preserve">     At cost</t>
  </si>
  <si>
    <t xml:space="preserve">     Less accumulated depreciation</t>
  </si>
  <si>
    <t xml:space="preserve">     Net property and equipment</t>
  </si>
  <si>
    <t>Total assets</t>
  </si>
  <si>
    <t>Current liabilities</t>
  </si>
  <si>
    <t>Accounts payable and accrued expenses</t>
  </si>
  <si>
    <t>Income taxes payable</t>
  </si>
  <si>
    <t>Other current liabilities</t>
  </si>
  <si>
    <t>Long-term debt</t>
  </si>
  <si>
    <t>Stockholders' equity</t>
  </si>
  <si>
    <t>Common stock</t>
  </si>
  <si>
    <t>Retained earnings</t>
  </si>
  <si>
    <t>Total liabilities and equity</t>
  </si>
  <si>
    <t>Income statement</t>
  </si>
  <si>
    <t>Sales</t>
  </si>
  <si>
    <t>Product sales</t>
  </si>
  <si>
    <t>Other income</t>
  </si>
  <si>
    <t>Total sales</t>
  </si>
  <si>
    <t>Operating expenses</t>
  </si>
  <si>
    <t>Cost of products sold</t>
  </si>
  <si>
    <t>Depreciation</t>
  </si>
  <si>
    <t>Selling, general, and administrative expenses</t>
  </si>
  <si>
    <t>Interest expense</t>
  </si>
  <si>
    <t>Interest income</t>
  </si>
  <si>
    <t>Earnings before income taxes</t>
  </si>
  <si>
    <t>Provision for income taxes</t>
  </si>
  <si>
    <t>Profit after taxes</t>
  </si>
  <si>
    <t>Add back depreciation</t>
  </si>
  <si>
    <t>Add back interest expenses, net of taxes</t>
  </si>
  <si>
    <t>Subtract interest costs, net of taxes</t>
  </si>
  <si>
    <t>Free Cash Flow</t>
  </si>
  <si>
    <t>Income taxes payable (as % of income tax)</t>
  </si>
  <si>
    <t>Provision for income taxes (as % of earnings before taxes)</t>
  </si>
  <si>
    <t>FARMERS BAGELS</t>
  </si>
  <si>
    <t>PROJECTED SALES</t>
  </si>
  <si>
    <t>year</t>
  </si>
  <si>
    <t>sales</t>
  </si>
  <si>
    <t>FARMERS BAGELS:  INITIAL PRO FORMA MODEL</t>
  </si>
  <si>
    <t>Predicted financial statement ratios:  All ratios are a percentage of sales unless otherwise stated.</t>
  </si>
  <si>
    <t>Cash and cash equivalents as proportion of sales</t>
  </si>
  <si>
    <t xml:space="preserve">Cost of products sold </t>
  </si>
  <si>
    <t>Balance sheet</t>
  </si>
  <si>
    <t>Total current assets</t>
  </si>
  <si>
    <t>Total current liabilities</t>
  </si>
  <si>
    <t>FARMERS BAGELS:  PRO FORMA MODEL WITHOUT NEGATIVE DEBT</t>
  </si>
  <si>
    <t>Selling, general and administrative expenses</t>
  </si>
  <si>
    <t>Current Assets</t>
  </si>
  <si>
    <t>Profit after Taxes</t>
  </si>
  <si>
    <t>FARMERS BAGELS--VALUATION USING INDUSTRY-AVERAGE WACC</t>
  </si>
  <si>
    <t>Enterprise value = PV of discounted FCFs + Terminal</t>
  </si>
  <si>
    <t>Year</t>
  </si>
  <si>
    <t>Number of shares of Farmers</t>
  </si>
  <si>
    <t>Value per share</t>
  </si>
  <si>
    <t>Cost of capital</t>
  </si>
  <si>
    <t xml:space="preserve">                                   Financial Results for First Two Years of Existence</t>
  </si>
  <si>
    <t>Projected</t>
  </si>
  <si>
    <t>Property and equipment at cost, as % of incremental sales</t>
  </si>
  <si>
    <t>Subtract increase in current assets</t>
  </si>
  <si>
    <t>Subtract increase in property and equipment at cost</t>
  </si>
  <si>
    <t>Add back increase in current liabilities</t>
  </si>
  <si>
    <t>Free cash flow</t>
  </si>
  <si>
    <t>Subtract increase in current assets, except cash</t>
  </si>
  <si>
    <t>Value of equity</t>
  </si>
  <si>
    <t>Predicted Financial Statement Ratios:  All ratios as percent of sales unless otherwise stated</t>
  </si>
  <si>
    <t>Add back after-tax interest expense</t>
  </si>
  <si>
    <t>Subtract after-tax interest income</t>
  </si>
  <si>
    <t>Column Input Cell</t>
  </si>
  <si>
    <t>% of</t>
  </si>
  <si>
    <t>Base Case</t>
  </si>
  <si>
    <t>Annual Sales</t>
  </si>
  <si>
    <t>Equity Value</t>
  </si>
  <si>
    <t>COGS/Sales</t>
  </si>
  <si>
    <t>Ratio</t>
  </si>
  <si>
    <t>FARMERS BAGELS:  FREE CASH FLOWS FOR 2014-2015</t>
  </si>
  <si>
    <t>Projected Free Cash Flow, 2016-2020</t>
  </si>
  <si>
    <t>Growth of free cash flows after 2020</t>
  </si>
  <si>
    <t>Value of debt at end 2015</t>
  </si>
  <si>
    <t>FCF</t>
  </si>
  <si>
    <t>Terminal value</t>
  </si>
  <si>
    <t>Total</t>
  </si>
  <si>
    <t>% of Base Case Annual Sales</t>
  </si>
  <si>
    <t>Cash at end 2015</t>
  </si>
  <si>
    <t>Equity Value per Share</t>
  </si>
  <si>
    <t>Predicted Financial Statement Ratios:  All ratios as percent of sales unless otherwise stated. If percentages are given for just one year, assume that they are constant for each year.</t>
  </si>
  <si>
    <t>Property and equipment at cost, as % of sales</t>
  </si>
  <si>
    <t>Price per share</t>
  </si>
  <si>
    <t>Number of Shares Outstanding (mil)</t>
  </si>
  <si>
    <t>Equity value (mil)</t>
  </si>
  <si>
    <t>Subtract out value of firm's debt today</t>
  </si>
  <si>
    <t>Asset value in year 0</t>
  </si>
  <si>
    <t>Add in initial (year 0) cash and mkt. securities</t>
  </si>
  <si>
    <t>&lt;-- real growth  2% + inflation 3%?</t>
  </si>
  <si>
    <t>Long-term free cash flow growth rate</t>
  </si>
  <si>
    <t>Weighted average cost of capital</t>
  </si>
  <si>
    <t>Valuing the firm</t>
  </si>
  <si>
    <t>Subtract after-tax interest on cash and mkt. securities</t>
  </si>
  <si>
    <t>Add back after-tax interest on debt</t>
  </si>
  <si>
    <t>Subtract increase in fixed assets at cost</t>
  </si>
  <si>
    <t>Profit after tax</t>
  </si>
  <si>
    <t>Free cash flow calculation</t>
  </si>
  <si>
    <t>Accumulated retained earnings</t>
  </si>
  <si>
    <t>Stock</t>
  </si>
  <si>
    <t>Debt</t>
  </si>
  <si>
    <t xml:space="preserve">     Net fixed assets</t>
  </si>
  <si>
    <t xml:space="preserve">     Depreciation</t>
  </si>
  <si>
    <t>Fixed assets</t>
  </si>
  <si>
    <t>Cash and marketable securities</t>
  </si>
  <si>
    <t>Dividends</t>
  </si>
  <si>
    <t>Taxes</t>
  </si>
  <si>
    <t>Profit before tax</t>
  </si>
  <si>
    <t>Interest earned on cash and marketable securities</t>
  </si>
  <si>
    <t>Interest payments on debt</t>
  </si>
  <si>
    <t>Costs of goods sold</t>
  </si>
  <si>
    <t>Dividend payout ratio</t>
  </si>
  <si>
    <t>marketable securities are assumed to earn 8 %</t>
  </si>
  <si>
    <t>Securities</t>
  </si>
  <si>
    <t>Tax rate</t>
  </si>
  <si>
    <t xml:space="preserve">This is the balance sheet plug. Average balances of cash and </t>
  </si>
  <si>
    <t xml:space="preserve">Cash and Marketable </t>
  </si>
  <si>
    <t>Interest paid on cash and marketable securities</t>
  </si>
  <si>
    <t>money over the five year horizon of the pro-formas</t>
  </si>
  <si>
    <t>Interest rate on debt</t>
  </si>
  <si>
    <t xml:space="preserve">The firm neither repays any existing debt nor borrows any more </t>
  </si>
  <si>
    <t>Depreciation rate</t>
  </si>
  <si>
    <t>Sum of NFA plus accumulated depreciation</t>
  </si>
  <si>
    <t>Fixed Assets at Cost</t>
  </si>
  <si>
    <t>Costs of goods sold/Sales</t>
  </si>
  <si>
    <t>10 percent of the average value of assets on the books during the year</t>
  </si>
  <si>
    <t>Net fixed assets/Sales</t>
  </si>
  <si>
    <t>Assumed to be 77 percent of end-of-year sales</t>
  </si>
  <si>
    <t>Net Fixed Assets</t>
  </si>
  <si>
    <t>Current liabilities/Sales</t>
  </si>
  <si>
    <t>Assumed to be 8 percent of end-of-year sales</t>
  </si>
  <si>
    <t>Current assets/Sales</t>
  </si>
  <si>
    <t>Assumed to be 15 percent of end-of-year sales</t>
  </si>
  <si>
    <t xml:space="preserve">Current assets </t>
  </si>
  <si>
    <t>Sales growth</t>
  </si>
  <si>
    <t>The following relations are given:</t>
  </si>
  <si>
    <t>FIRST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</si>
</sst>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_);[Red]\(0\)"/>
    <numFmt numFmtId="166" formatCode="0.0%"/>
    <numFmt numFmtId="167" formatCode=";;"/>
    <numFmt numFmtId="168" formatCode="0_);\(0\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9" fillId="7" borderId="0" applyNumberFormat="0" applyBorder="0" applyAlignment="0" applyProtection="0"/>
  </cellStyleXfs>
  <cellXfs count="75">
    <xf numFmtId="0" fontId="0" fillId="0" borderId="0" xfId="0"/>
    <xf numFmtId="38" fontId="0" fillId="0" borderId="0" xfId="0" applyNumberFormat="1"/>
    <xf numFmtId="38" fontId="2" fillId="0" borderId="0" xfId="0" applyNumberFormat="1" applyFont="1"/>
    <xf numFmtId="165" fontId="2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Continuous"/>
    </xf>
    <xf numFmtId="38" fontId="3" fillId="0" borderId="0" xfId="0" applyNumberFormat="1" applyFont="1"/>
    <xf numFmtId="0" fontId="2" fillId="0" borderId="0" xfId="0" applyNumberFormat="1" applyFont="1" applyAlignment="1">
      <alignment horizontal="center"/>
    </xf>
    <xf numFmtId="38" fontId="4" fillId="0" borderId="0" xfId="0" applyNumberFormat="1" applyFont="1" applyAlignment="1"/>
    <xf numFmtId="38" fontId="0" fillId="0" borderId="0" xfId="0" applyNumberFormat="1" applyAlignment="1"/>
    <xf numFmtId="0" fontId="5" fillId="0" borderId="0" xfId="0" applyFont="1"/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 applyAlignment="1">
      <alignment horizontal="centerContinuous"/>
    </xf>
    <xf numFmtId="0" fontId="6" fillId="0" borderId="0" xfId="0" applyFont="1"/>
    <xf numFmtId="9" fontId="5" fillId="0" borderId="0" xfId="2" applyFont="1"/>
    <xf numFmtId="9" fontId="5" fillId="0" borderId="0" xfId="0" applyNumberFormat="1" applyFont="1"/>
    <xf numFmtId="9" fontId="5" fillId="0" borderId="0" xfId="2" applyNumberFormat="1" applyFont="1"/>
    <xf numFmtId="166" fontId="5" fillId="0" borderId="0" xfId="2" applyNumberFormat="1" applyFont="1"/>
    <xf numFmtId="0" fontId="5" fillId="0" borderId="0" xfId="0" applyNumberFormat="1" applyFont="1"/>
    <xf numFmtId="0" fontId="5" fillId="0" borderId="0" xfId="2" applyNumberFormat="1" applyFont="1"/>
    <xf numFmtId="38" fontId="5" fillId="0" borderId="0" xfId="0" applyNumberFormat="1" applyFont="1"/>
    <xf numFmtId="166" fontId="5" fillId="0" borderId="0" xfId="0" applyNumberFormat="1" applyFont="1"/>
    <xf numFmtId="38" fontId="6" fillId="0" borderId="0" xfId="0" applyNumberFormat="1" applyFont="1"/>
    <xf numFmtId="164" fontId="5" fillId="0" borderId="0" xfId="1" applyNumberFormat="1" applyFont="1"/>
    <xf numFmtId="164" fontId="6" fillId="0" borderId="0" xfId="0" applyNumberFormat="1" applyFont="1"/>
    <xf numFmtId="37" fontId="5" fillId="0" borderId="0" xfId="0" applyNumberFormat="1" applyFont="1"/>
    <xf numFmtId="0" fontId="6" fillId="0" borderId="0" xfId="1" applyNumberFormat="1" applyFont="1" applyAlignment="1">
      <alignment horizontal="center"/>
    </xf>
    <xf numFmtId="0" fontId="6" fillId="0" borderId="0" xfId="0" applyFont="1" applyAlignment="1">
      <alignment horizontal="left"/>
    </xf>
    <xf numFmtId="10" fontId="5" fillId="0" borderId="0" xfId="0" applyNumberFormat="1" applyFont="1"/>
    <xf numFmtId="0" fontId="5" fillId="0" borderId="0" xfId="0" quotePrefix="1" applyFont="1" applyAlignment="1">
      <alignment horizontal="left"/>
    </xf>
    <xf numFmtId="2" fontId="5" fillId="0" borderId="0" xfId="0" applyNumberFormat="1" applyFont="1"/>
    <xf numFmtId="164" fontId="5" fillId="2" borderId="1" xfId="0" applyNumberFormat="1" applyFont="1" applyFill="1" applyBorder="1"/>
    <xf numFmtId="164" fontId="5" fillId="2" borderId="1" xfId="1" applyNumberFormat="1" applyFont="1" applyFill="1" applyBorder="1"/>
    <xf numFmtId="164" fontId="6" fillId="2" borderId="1" xfId="0" applyNumberFormat="1" applyFont="1" applyFill="1" applyBorder="1"/>
    <xf numFmtId="38" fontId="5" fillId="2" borderId="1" xfId="0" applyNumberFormat="1" applyFont="1" applyFill="1" applyBorder="1"/>
    <xf numFmtId="2" fontId="5" fillId="2" borderId="1" xfId="0" applyNumberFormat="1" applyFont="1" applyFill="1" applyBorder="1"/>
    <xf numFmtId="164" fontId="7" fillId="3" borderId="0" xfId="0" applyNumberFormat="1" applyFont="1" applyFill="1"/>
    <xf numFmtId="164" fontId="6" fillId="0" borderId="0" xfId="1" applyNumberFormat="1" applyFont="1"/>
    <xf numFmtId="164" fontId="5" fillId="0" borderId="2" xfId="1" applyNumberFormat="1" applyFont="1" applyBorder="1"/>
    <xf numFmtId="164" fontId="5" fillId="0" borderId="0" xfId="1" applyNumberFormat="1" applyFont="1" applyAlignment="1">
      <alignment horizontal="right"/>
    </xf>
    <xf numFmtId="0" fontId="5" fillId="4" borderId="1" xfId="0" applyFont="1" applyFill="1" applyBorder="1"/>
    <xf numFmtId="167" fontId="5" fillId="0" borderId="0" xfId="0" applyNumberFormat="1" applyFont="1"/>
    <xf numFmtId="38" fontId="4" fillId="0" borderId="0" xfId="0" applyNumberFormat="1" applyFont="1"/>
    <xf numFmtId="43" fontId="5" fillId="2" borderId="1" xfId="0" applyNumberFormat="1" applyFont="1" applyFill="1" applyBorder="1"/>
    <xf numFmtId="38" fontId="6" fillId="0" borderId="0" xfId="0" applyNumberFormat="1" applyFont="1" applyAlignment="1">
      <alignment horizontal="left" indent="1"/>
    </xf>
    <xf numFmtId="38" fontId="5" fillId="5" borderId="1" xfId="0" applyNumberFormat="1" applyFont="1" applyFill="1" applyBorder="1"/>
    <xf numFmtId="164" fontId="5" fillId="6" borderId="1" xfId="0" applyNumberFormat="1" applyFont="1" applyFill="1" applyBorder="1"/>
    <xf numFmtId="0" fontId="1" fillId="0" borderId="0" xfId="3"/>
    <xf numFmtId="0" fontId="1" fillId="6" borderId="0" xfId="3" applyFill="1"/>
    <xf numFmtId="3" fontId="1" fillId="0" borderId="0" xfId="3" applyNumberFormat="1"/>
    <xf numFmtId="37" fontId="1" fillId="6" borderId="0" xfId="3" applyNumberFormat="1" applyFill="1"/>
    <xf numFmtId="168" fontId="1" fillId="6" borderId="0" xfId="3" applyNumberFormat="1" applyFill="1"/>
    <xf numFmtId="3" fontId="1" fillId="6" borderId="0" xfId="3" quotePrefix="1" applyNumberFormat="1" applyFill="1"/>
    <xf numFmtId="168" fontId="2" fillId="0" borderId="0" xfId="3" applyNumberFormat="1" applyFont="1" applyAlignment="1">
      <alignment horizontal="center"/>
    </xf>
    <xf numFmtId="168" fontId="2" fillId="0" borderId="0" xfId="3" applyNumberFormat="1" applyFont="1"/>
    <xf numFmtId="0" fontId="3" fillId="0" borderId="0" xfId="3" applyFont="1"/>
    <xf numFmtId="9" fontId="3" fillId="0" borderId="0" xfId="3" applyNumberFormat="1" applyFont="1"/>
    <xf numFmtId="0" fontId="4" fillId="0" borderId="0" xfId="3" applyFont="1"/>
    <xf numFmtId="168" fontId="1" fillId="0" borderId="0" xfId="3" applyNumberFormat="1"/>
    <xf numFmtId="164" fontId="3" fillId="0" borderId="0" xfId="4" applyNumberFormat="1" applyFont="1"/>
    <xf numFmtId="164" fontId="1" fillId="6" borderId="0" xfId="4" applyNumberFormat="1" applyFont="1" applyFill="1"/>
    <xf numFmtId="164" fontId="1" fillId="0" borderId="0" xfId="4" applyNumberFormat="1" applyFont="1"/>
    <xf numFmtId="0" fontId="2" fillId="0" borderId="0" xfId="3" applyFont="1"/>
    <xf numFmtId="0" fontId="2" fillId="0" borderId="0" xfId="3" applyFont="1" applyAlignment="1">
      <alignment horizontal="center"/>
    </xf>
    <xf numFmtId="9" fontId="1" fillId="0" borderId="0" xfId="3" applyNumberFormat="1"/>
    <xf numFmtId="0" fontId="1" fillId="0" borderId="0" xfId="3" applyAlignment="1">
      <alignment horizontal="left" indent="1"/>
    </xf>
    <xf numFmtId="0" fontId="1" fillId="0" borderId="0" xfId="3" applyAlignment="1">
      <alignment horizontal="left" indent="3"/>
    </xf>
    <xf numFmtId="10" fontId="1" fillId="0" borderId="0" xfId="3" applyNumberFormat="1"/>
    <xf numFmtId="0" fontId="8" fillId="0" borderId="0" xfId="3" applyFont="1"/>
    <xf numFmtId="43" fontId="1" fillId="6" borderId="0" xfId="4" applyNumberFormat="1" applyFont="1" applyFill="1"/>
    <xf numFmtId="38" fontId="9" fillId="7" borderId="0" xfId="5" applyNumberFormat="1"/>
    <xf numFmtId="164" fontId="9" fillId="7" borderId="1" xfId="5" applyNumberFormat="1" applyBorder="1"/>
    <xf numFmtId="0" fontId="4" fillId="0" borderId="0" xfId="3" applyFont="1" applyAlignment="1">
      <alignment horizontal="center"/>
    </xf>
  </cellXfs>
  <cellStyles count="6">
    <cellStyle name="Comma" xfId="1" builtinId="3"/>
    <cellStyle name="Comma 2" xfId="4" xr:uid="{B054C4D0-F497-4A95-B28A-D3C07B4AF8A3}"/>
    <cellStyle name="Good" xfId="5" builtinId="26"/>
    <cellStyle name="Normal" xfId="0" builtinId="0"/>
    <cellStyle name="Normal 2" xfId="3" xr:uid="{335D6276-4148-4168-AC3F-56E908DC2A40}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Value Relative to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SalesDataTable!$C$109:$C$115</c:f>
              <c:numCache>
                <c:formatCode>0.00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</c:v>
                </c:pt>
              </c:numCache>
            </c:numRef>
          </c:xVal>
          <c:yVal>
            <c:numRef>
              <c:f>SalesDataTable!$D$109:$D$115</c:f>
              <c:numCache>
                <c:formatCode>0.00</c:formatCode>
                <c:ptCount val="7"/>
                <c:pt idx="0">
                  <c:v>1.1034014648692765</c:v>
                </c:pt>
                <c:pt idx="1">
                  <c:v>1.0149830545575391</c:v>
                </c:pt>
                <c:pt idx="2">
                  <c:v>0.92656464424811824</c:v>
                </c:pt>
                <c:pt idx="3">
                  <c:v>0.83814623393870891</c:v>
                </c:pt>
                <c:pt idx="4">
                  <c:v>0.66130941331929494</c:v>
                </c:pt>
                <c:pt idx="5">
                  <c:v>0.48447259270046761</c:v>
                </c:pt>
                <c:pt idx="6">
                  <c:v>0.3960541823916327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3-4445-946F-8B77C2A8B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07272"/>
        <c:axId val="693412520"/>
      </c:scatterChart>
      <c:valAx>
        <c:axId val="69340727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level, %</a:t>
                </a:r>
                <a:r>
                  <a:rPr lang="en-US" baseline="0"/>
                  <a:t> of original forecast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2520"/>
        <c:crosses val="autoZero"/>
        <c:crossBetween val="midCat"/>
      </c:valAx>
      <c:valAx>
        <c:axId val="69341252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per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0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ExpenseRatioDataTable!$D$109:$D$116</c:f>
              <c:numCache>
                <c:formatCode>0.00</c:formatCode>
                <c:ptCount val="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</c:numCache>
            </c:numRef>
          </c:xVal>
          <c:yVal>
            <c:numRef>
              <c:f>ExpenseRatioDataTable!$E$109:$E$116</c:f>
              <c:numCache>
                <c:formatCode>0.00</c:formatCode>
                <c:ptCount val="8"/>
                <c:pt idx="0">
                  <c:v>17.552846475037935</c:v>
                </c:pt>
                <c:pt idx="1">
                  <c:v>14.767063101528919</c:v>
                </c:pt>
                <c:pt idx="2">
                  <c:v>11.981279728012169</c:v>
                </c:pt>
                <c:pt idx="3">
                  <c:v>9.195496354495404</c:v>
                </c:pt>
                <c:pt idx="4">
                  <c:v>6.4097129809786484</c:v>
                </c:pt>
                <c:pt idx="5">
                  <c:v>3.6239296074618919</c:v>
                </c:pt>
                <c:pt idx="6">
                  <c:v>0.83814623394512944</c:v>
                </c:pt>
                <c:pt idx="7">
                  <c:v>-1.9476371395716328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5-493C-8FB4-7C66735A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63048"/>
        <c:axId val="693463376"/>
      </c:scatterChart>
      <c:valAx>
        <c:axId val="69346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COGS/Sales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376"/>
        <c:crosses val="autoZero"/>
        <c:crossBetween val="midCat"/>
      </c:valAx>
      <c:valAx>
        <c:axId val="6934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Per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168519</xdr:colOff>
      <xdr:row>115</xdr:row>
      <xdr:rowOff>97447</xdr:rowOff>
    </xdr:from>
    <xdr:to>
      <xdr:col>5</xdr:col>
      <xdr:colOff>930519</xdr:colOff>
      <xdr:row>132</xdr:row>
      <xdr:rowOff>100378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BE858-025A-461C-B4F8-AF0D11386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105</xdr:row>
      <xdr:rowOff>66675</xdr:rowOff>
    </xdr:from>
    <xdr:to>
      <xdr:col>13</xdr:col>
      <xdr:colOff>395287</xdr:colOff>
      <xdr:row>122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22841-EA85-43BB-B98A-19463782C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9391-DF76-4E5F-981A-6AC2A1E8E2A7}">
  <sheetPr>
    <tabColor theme="6" tint="0.59999389629810485"/>
  </sheetPr>
  <dimension ref="A1:S69"/>
  <sheetViews>
    <sheetView tabSelected="1" zoomScale="42" zoomScaleNormal="42" workbookViewId="0">
      <selection activeCell="Q15" sqref="Q15"/>
    </sheetView>
  </sheetViews>
  <sheetFormatPr defaultRowHeight="14.5" x14ac:dyDescent="0.35"/>
  <cols>
    <col min="1" max="1" width="49.26953125" style="49" bestFit="1" customWidth="1"/>
    <col min="2" max="8" width="8.7265625" style="49"/>
    <col min="9" max="9" width="31.26953125" style="49" bestFit="1" customWidth="1"/>
    <col min="10" max="256" width="8.7265625" style="49"/>
    <col min="257" max="257" width="49.26953125" style="49" bestFit="1" customWidth="1"/>
    <col min="258" max="512" width="8.7265625" style="49"/>
    <col min="513" max="513" width="49.26953125" style="49" bestFit="1" customWidth="1"/>
    <col min="514" max="768" width="8.7265625" style="49"/>
    <col min="769" max="769" width="49.26953125" style="49" bestFit="1" customWidth="1"/>
    <col min="770" max="1024" width="8.7265625" style="49"/>
    <col min="1025" max="1025" width="49.26953125" style="49" bestFit="1" customWidth="1"/>
    <col min="1026" max="1280" width="8.7265625" style="49"/>
    <col min="1281" max="1281" width="49.26953125" style="49" bestFit="1" customWidth="1"/>
    <col min="1282" max="1536" width="8.7265625" style="49"/>
    <col min="1537" max="1537" width="49.26953125" style="49" bestFit="1" customWidth="1"/>
    <col min="1538" max="1792" width="8.7265625" style="49"/>
    <col min="1793" max="1793" width="49.26953125" style="49" bestFit="1" customWidth="1"/>
    <col min="1794" max="2048" width="8.7265625" style="49"/>
    <col min="2049" max="2049" width="49.26953125" style="49" bestFit="1" customWidth="1"/>
    <col min="2050" max="2304" width="8.7265625" style="49"/>
    <col min="2305" max="2305" width="49.26953125" style="49" bestFit="1" customWidth="1"/>
    <col min="2306" max="2560" width="8.7265625" style="49"/>
    <col min="2561" max="2561" width="49.26953125" style="49" bestFit="1" customWidth="1"/>
    <col min="2562" max="2816" width="8.7265625" style="49"/>
    <col min="2817" max="2817" width="49.26953125" style="49" bestFit="1" customWidth="1"/>
    <col min="2818" max="3072" width="8.7265625" style="49"/>
    <col min="3073" max="3073" width="49.26953125" style="49" bestFit="1" customWidth="1"/>
    <col min="3074" max="3328" width="8.7265625" style="49"/>
    <col min="3329" max="3329" width="49.26953125" style="49" bestFit="1" customWidth="1"/>
    <col min="3330" max="3584" width="8.7265625" style="49"/>
    <col min="3585" max="3585" width="49.26953125" style="49" bestFit="1" customWidth="1"/>
    <col min="3586" max="3840" width="8.7265625" style="49"/>
    <col min="3841" max="3841" width="49.26953125" style="49" bestFit="1" customWidth="1"/>
    <col min="3842" max="4096" width="8.7265625" style="49"/>
    <col min="4097" max="4097" width="49.26953125" style="49" bestFit="1" customWidth="1"/>
    <col min="4098" max="4352" width="8.7265625" style="49"/>
    <col min="4353" max="4353" width="49.26953125" style="49" bestFit="1" customWidth="1"/>
    <col min="4354" max="4608" width="8.7265625" style="49"/>
    <col min="4609" max="4609" width="49.26953125" style="49" bestFit="1" customWidth="1"/>
    <col min="4610" max="4864" width="8.7265625" style="49"/>
    <col min="4865" max="4865" width="49.26953125" style="49" bestFit="1" customWidth="1"/>
    <col min="4866" max="5120" width="8.7265625" style="49"/>
    <col min="5121" max="5121" width="49.26953125" style="49" bestFit="1" customWidth="1"/>
    <col min="5122" max="5376" width="8.7265625" style="49"/>
    <col min="5377" max="5377" width="49.26953125" style="49" bestFit="1" customWidth="1"/>
    <col min="5378" max="5632" width="8.7265625" style="49"/>
    <col min="5633" max="5633" width="49.26953125" style="49" bestFit="1" customWidth="1"/>
    <col min="5634" max="5888" width="8.7265625" style="49"/>
    <col min="5889" max="5889" width="49.26953125" style="49" bestFit="1" customWidth="1"/>
    <col min="5890" max="6144" width="8.7265625" style="49"/>
    <col min="6145" max="6145" width="49.26953125" style="49" bestFit="1" customWidth="1"/>
    <col min="6146" max="6400" width="8.7265625" style="49"/>
    <col min="6401" max="6401" width="49.26953125" style="49" bestFit="1" customWidth="1"/>
    <col min="6402" max="6656" width="8.7265625" style="49"/>
    <col min="6657" max="6657" width="49.26953125" style="49" bestFit="1" customWidth="1"/>
    <col min="6658" max="6912" width="8.7265625" style="49"/>
    <col min="6913" max="6913" width="49.26953125" style="49" bestFit="1" customWidth="1"/>
    <col min="6914" max="7168" width="8.7265625" style="49"/>
    <col min="7169" max="7169" width="49.26953125" style="49" bestFit="1" customWidth="1"/>
    <col min="7170" max="7424" width="8.7265625" style="49"/>
    <col min="7425" max="7425" width="49.26953125" style="49" bestFit="1" customWidth="1"/>
    <col min="7426" max="7680" width="8.7265625" style="49"/>
    <col min="7681" max="7681" width="49.26953125" style="49" bestFit="1" customWidth="1"/>
    <col min="7682" max="7936" width="8.7265625" style="49"/>
    <col min="7937" max="7937" width="49.26953125" style="49" bestFit="1" customWidth="1"/>
    <col min="7938" max="8192" width="8.7265625" style="49"/>
    <col min="8193" max="8193" width="49.26953125" style="49" bestFit="1" customWidth="1"/>
    <col min="8194" max="8448" width="8.7265625" style="49"/>
    <col min="8449" max="8449" width="49.26953125" style="49" bestFit="1" customWidth="1"/>
    <col min="8450" max="8704" width="8.7265625" style="49"/>
    <col min="8705" max="8705" width="49.26953125" style="49" bestFit="1" customWidth="1"/>
    <col min="8706" max="8960" width="8.7265625" style="49"/>
    <col min="8961" max="8961" width="49.26953125" style="49" bestFit="1" customWidth="1"/>
    <col min="8962" max="9216" width="8.7265625" style="49"/>
    <col min="9217" max="9217" width="49.26953125" style="49" bestFit="1" customWidth="1"/>
    <col min="9218" max="9472" width="8.7265625" style="49"/>
    <col min="9473" max="9473" width="49.26953125" style="49" bestFit="1" customWidth="1"/>
    <col min="9474" max="9728" width="8.7265625" style="49"/>
    <col min="9729" max="9729" width="49.26953125" style="49" bestFit="1" customWidth="1"/>
    <col min="9730" max="9984" width="8.7265625" style="49"/>
    <col min="9985" max="9985" width="49.26953125" style="49" bestFit="1" customWidth="1"/>
    <col min="9986" max="10240" width="8.7265625" style="49"/>
    <col min="10241" max="10241" width="49.26953125" style="49" bestFit="1" customWidth="1"/>
    <col min="10242" max="10496" width="8.7265625" style="49"/>
    <col min="10497" max="10497" width="49.26953125" style="49" bestFit="1" customWidth="1"/>
    <col min="10498" max="10752" width="8.7265625" style="49"/>
    <col min="10753" max="10753" width="49.26953125" style="49" bestFit="1" customWidth="1"/>
    <col min="10754" max="11008" width="8.7265625" style="49"/>
    <col min="11009" max="11009" width="49.26953125" style="49" bestFit="1" customWidth="1"/>
    <col min="11010" max="11264" width="8.7265625" style="49"/>
    <col min="11265" max="11265" width="49.26953125" style="49" bestFit="1" customWidth="1"/>
    <col min="11266" max="11520" width="8.7265625" style="49"/>
    <col min="11521" max="11521" width="49.26953125" style="49" bestFit="1" customWidth="1"/>
    <col min="11522" max="11776" width="8.7265625" style="49"/>
    <col min="11777" max="11777" width="49.26953125" style="49" bestFit="1" customWidth="1"/>
    <col min="11778" max="12032" width="8.7265625" style="49"/>
    <col min="12033" max="12033" width="49.26953125" style="49" bestFit="1" customWidth="1"/>
    <col min="12034" max="12288" width="8.7265625" style="49"/>
    <col min="12289" max="12289" width="49.26953125" style="49" bestFit="1" customWidth="1"/>
    <col min="12290" max="12544" width="8.7265625" style="49"/>
    <col min="12545" max="12545" width="49.26953125" style="49" bestFit="1" customWidth="1"/>
    <col min="12546" max="12800" width="8.7265625" style="49"/>
    <col min="12801" max="12801" width="49.26953125" style="49" bestFit="1" customWidth="1"/>
    <col min="12802" max="13056" width="8.7265625" style="49"/>
    <col min="13057" max="13057" width="49.26953125" style="49" bestFit="1" customWidth="1"/>
    <col min="13058" max="13312" width="8.7265625" style="49"/>
    <col min="13313" max="13313" width="49.26953125" style="49" bestFit="1" customWidth="1"/>
    <col min="13314" max="13568" width="8.7265625" style="49"/>
    <col min="13569" max="13569" width="49.26953125" style="49" bestFit="1" customWidth="1"/>
    <col min="13570" max="13824" width="8.7265625" style="49"/>
    <col min="13825" max="13825" width="49.26953125" style="49" bestFit="1" customWidth="1"/>
    <col min="13826" max="14080" width="8.7265625" style="49"/>
    <col min="14081" max="14081" width="49.26953125" style="49" bestFit="1" customWidth="1"/>
    <col min="14082" max="14336" width="8.7265625" style="49"/>
    <col min="14337" max="14337" width="49.26953125" style="49" bestFit="1" customWidth="1"/>
    <col min="14338" max="14592" width="8.7265625" style="49"/>
    <col min="14593" max="14593" width="49.26953125" style="49" bestFit="1" customWidth="1"/>
    <col min="14594" max="14848" width="8.7265625" style="49"/>
    <col min="14849" max="14849" width="49.26953125" style="49" bestFit="1" customWidth="1"/>
    <col min="14850" max="15104" width="8.7265625" style="49"/>
    <col min="15105" max="15105" width="49.26953125" style="49" bestFit="1" customWidth="1"/>
    <col min="15106" max="15360" width="8.7265625" style="49"/>
    <col min="15361" max="15361" width="49.26953125" style="49" bestFit="1" customWidth="1"/>
    <col min="15362" max="15616" width="8.7265625" style="49"/>
    <col min="15617" max="15617" width="49.26953125" style="49" bestFit="1" customWidth="1"/>
    <col min="15618" max="15872" width="8.7265625" style="49"/>
    <col min="15873" max="15873" width="49.26953125" style="49" bestFit="1" customWidth="1"/>
    <col min="15874" max="16128" width="8.7265625" style="49"/>
    <col min="16129" max="16129" width="49.26953125" style="49" bestFit="1" customWidth="1"/>
    <col min="16130" max="16384" width="8.7265625" style="49"/>
  </cols>
  <sheetData>
    <row r="1" spans="1:19" ht="18" x14ac:dyDescent="0.4">
      <c r="A1" s="74" t="s">
        <v>145</v>
      </c>
      <c r="B1" s="74"/>
      <c r="C1" s="74"/>
      <c r="D1" s="74"/>
      <c r="E1" s="74"/>
      <c r="F1" s="74"/>
      <c r="G1" s="74"/>
      <c r="I1" s="70" t="s">
        <v>144</v>
      </c>
      <c r="J1" s="70"/>
    </row>
    <row r="2" spans="1:19" x14ac:dyDescent="0.35">
      <c r="A2" s="49" t="s">
        <v>143</v>
      </c>
      <c r="B2" s="66">
        <v>0.1</v>
      </c>
      <c r="I2" s="49" t="s">
        <v>142</v>
      </c>
      <c r="J2" s="49" t="s">
        <v>141</v>
      </c>
    </row>
    <row r="3" spans="1:19" x14ac:dyDescent="0.35">
      <c r="A3" s="49" t="s">
        <v>140</v>
      </c>
      <c r="B3" s="66">
        <v>0.15</v>
      </c>
      <c r="I3" s="49" t="s">
        <v>11</v>
      </c>
      <c r="J3" s="49" t="s">
        <v>139</v>
      </c>
    </row>
    <row r="4" spans="1:19" x14ac:dyDescent="0.35">
      <c r="A4" s="49" t="s">
        <v>138</v>
      </c>
      <c r="B4" s="66">
        <v>0.08</v>
      </c>
      <c r="I4" s="49" t="s">
        <v>137</v>
      </c>
      <c r="J4" s="49" t="s">
        <v>136</v>
      </c>
    </row>
    <row r="5" spans="1:19" x14ac:dyDescent="0.35">
      <c r="A5" s="49" t="s">
        <v>135</v>
      </c>
      <c r="B5" s="66">
        <v>0.77</v>
      </c>
      <c r="I5" s="49" t="s">
        <v>27</v>
      </c>
      <c r="J5" s="49" t="s">
        <v>134</v>
      </c>
    </row>
    <row r="6" spans="1:19" x14ac:dyDescent="0.35">
      <c r="A6" s="49" t="s">
        <v>133</v>
      </c>
      <c r="B6" s="66">
        <v>0.5</v>
      </c>
      <c r="I6" s="49" t="s">
        <v>132</v>
      </c>
      <c r="J6" s="49" t="s">
        <v>131</v>
      </c>
    </row>
    <row r="7" spans="1:19" x14ac:dyDescent="0.35">
      <c r="A7" s="49" t="s">
        <v>130</v>
      </c>
      <c r="B7" s="66">
        <v>0.1</v>
      </c>
      <c r="I7" s="49" t="s">
        <v>109</v>
      </c>
      <c r="J7" s="49" t="s">
        <v>129</v>
      </c>
      <c r="Q7"/>
      <c r="R7"/>
      <c r="S7"/>
    </row>
    <row r="8" spans="1:19" x14ac:dyDescent="0.35">
      <c r="A8" s="49" t="s">
        <v>128</v>
      </c>
      <c r="B8" s="69">
        <v>0.1</v>
      </c>
      <c r="J8" s="67" t="s">
        <v>127</v>
      </c>
      <c r="Q8"/>
      <c r="R8"/>
      <c r="S8"/>
    </row>
    <row r="9" spans="1:19" x14ac:dyDescent="0.35">
      <c r="A9" s="49" t="s">
        <v>126</v>
      </c>
      <c r="B9" s="69">
        <v>0.08</v>
      </c>
      <c r="I9" s="49" t="s">
        <v>125</v>
      </c>
      <c r="J9" s="49" t="s">
        <v>124</v>
      </c>
      <c r="Q9"/>
      <c r="R9"/>
      <c r="S9"/>
    </row>
    <row r="10" spans="1:19" x14ac:dyDescent="0.35">
      <c r="A10" s="49" t="s">
        <v>123</v>
      </c>
      <c r="B10" s="66">
        <v>0.4</v>
      </c>
      <c r="I10" s="68" t="s">
        <v>122</v>
      </c>
      <c r="J10" s="67" t="s">
        <v>121</v>
      </c>
      <c r="Q10"/>
      <c r="R10"/>
      <c r="S10"/>
    </row>
    <row r="11" spans="1:19" x14ac:dyDescent="0.35">
      <c r="A11" s="49" t="s">
        <v>120</v>
      </c>
      <c r="B11" s="66">
        <v>0.4</v>
      </c>
      <c r="Q11"/>
      <c r="R11"/>
      <c r="S11"/>
    </row>
    <row r="12" spans="1:19" x14ac:dyDescent="0.35">
      <c r="J12"/>
      <c r="K12"/>
      <c r="L12"/>
      <c r="M12"/>
      <c r="N12"/>
      <c r="O12"/>
      <c r="P12"/>
      <c r="Q12"/>
      <c r="R12"/>
    </row>
    <row r="13" spans="1:19" ht="14.5" customHeight="1" x14ac:dyDescent="0.35">
      <c r="A13" s="64" t="s">
        <v>57</v>
      </c>
      <c r="B13" s="65">
        <v>0</v>
      </c>
      <c r="C13" s="65">
        <v>1</v>
      </c>
      <c r="D13" s="65">
        <v>2</v>
      </c>
      <c r="E13" s="65">
        <v>3</v>
      </c>
      <c r="F13" s="65">
        <v>4</v>
      </c>
      <c r="G13" s="65">
        <v>5</v>
      </c>
      <c r="J13"/>
      <c r="K13"/>
      <c r="L13"/>
      <c r="M13"/>
      <c r="N13"/>
      <c r="O13"/>
      <c r="P13"/>
      <c r="Q13"/>
      <c r="R13"/>
    </row>
    <row r="14" spans="1:19" x14ac:dyDescent="0.35">
      <c r="A14" s="64" t="s">
        <v>20</v>
      </c>
      <c r="J14"/>
      <c r="K14"/>
      <c r="L14"/>
      <c r="M14"/>
      <c r="N14"/>
      <c r="O14"/>
      <c r="P14"/>
      <c r="Q14"/>
      <c r="R14"/>
    </row>
    <row r="15" spans="1:19" x14ac:dyDescent="0.35">
      <c r="A15" s="49" t="s">
        <v>21</v>
      </c>
      <c r="B15" s="63">
        <f>1000</f>
        <v>1000</v>
      </c>
      <c r="C15" s="62">
        <f>B15*(1+$B$2)</f>
        <v>1100</v>
      </c>
      <c r="D15" s="62">
        <f t="shared" ref="D15:G15" si="0">C15*(1+$B$2)</f>
        <v>1210</v>
      </c>
      <c r="E15" s="62">
        <f t="shared" si="0"/>
        <v>1331</v>
      </c>
      <c r="F15" s="62">
        <f t="shared" si="0"/>
        <v>1464.1000000000001</v>
      </c>
      <c r="G15" s="62">
        <f t="shared" si="0"/>
        <v>1610.5100000000002</v>
      </c>
      <c r="J15"/>
      <c r="K15"/>
      <c r="L15"/>
      <c r="M15"/>
      <c r="N15"/>
      <c r="O15"/>
      <c r="P15"/>
      <c r="Q15"/>
      <c r="R15"/>
    </row>
    <row r="16" spans="1:19" x14ac:dyDescent="0.35">
      <c r="A16" s="49" t="s">
        <v>119</v>
      </c>
      <c r="B16" s="63">
        <f>-B15*$B$6</f>
        <v>-500</v>
      </c>
      <c r="C16" s="62">
        <f>-C15*$B$6</f>
        <v>-550</v>
      </c>
      <c r="D16" s="62">
        <f t="shared" ref="D16:G16" si="1">-D15*$B$6</f>
        <v>-605</v>
      </c>
      <c r="E16" s="62">
        <f t="shared" si="1"/>
        <v>-665.5</v>
      </c>
      <c r="F16" s="62">
        <f t="shared" si="1"/>
        <v>-732.05000000000007</v>
      </c>
      <c r="G16" s="62">
        <f t="shared" si="1"/>
        <v>-805.25500000000011</v>
      </c>
      <c r="J16"/>
      <c r="K16"/>
      <c r="L16"/>
      <c r="M16"/>
      <c r="N16"/>
      <c r="O16"/>
      <c r="P16"/>
      <c r="Q16"/>
      <c r="R16"/>
    </row>
    <row r="17" spans="1:18" x14ac:dyDescent="0.35">
      <c r="A17" s="49" t="s">
        <v>118</v>
      </c>
      <c r="B17" s="63">
        <f>-$B$8*B36</f>
        <v>-32</v>
      </c>
      <c r="C17" s="62">
        <f>-$B$8*((C36+B36)/2)</f>
        <v>-32</v>
      </c>
      <c r="D17" s="62">
        <f t="shared" ref="D17:G17" si="2">-$B$8*((D36+C36)/2)</f>
        <v>-32</v>
      </c>
      <c r="E17" s="62">
        <f t="shared" si="2"/>
        <v>-32</v>
      </c>
      <c r="F17" s="62">
        <f t="shared" si="2"/>
        <v>-32</v>
      </c>
      <c r="G17" s="62">
        <f t="shared" si="2"/>
        <v>-32</v>
      </c>
      <c r="J17"/>
      <c r="K17"/>
      <c r="L17"/>
      <c r="M17"/>
      <c r="N17"/>
      <c r="O17"/>
      <c r="P17"/>
      <c r="Q17"/>
      <c r="R17"/>
    </row>
    <row r="18" spans="1:18" x14ac:dyDescent="0.35">
      <c r="A18" s="49" t="s">
        <v>117</v>
      </c>
      <c r="B18" s="63">
        <f>$B$9*B27</f>
        <v>6.4</v>
      </c>
      <c r="C18" s="62">
        <f ca="1">$B$9*((B27+C27)/2)</f>
        <v>8.9477956254272062</v>
      </c>
      <c r="D18" s="62">
        <f t="shared" ref="D18:G18" ca="1" si="3">$B$9*((C27+D27)/2)</f>
        <v>14.276702863501569</v>
      </c>
      <c r="E18" s="62">
        <f t="shared" ca="1" si="3"/>
        <v>20.080913361163557</v>
      </c>
      <c r="F18" s="62">
        <f t="shared" ca="1" si="3"/>
        <v>26.376731259734132</v>
      </c>
      <c r="G18" s="62">
        <f t="shared" ca="1" si="3"/>
        <v>33.178068826054897</v>
      </c>
      <c r="J18"/>
      <c r="K18"/>
      <c r="L18"/>
      <c r="M18"/>
      <c r="N18"/>
      <c r="O18"/>
      <c r="P18"/>
      <c r="Q18"/>
      <c r="R18"/>
    </row>
    <row r="19" spans="1:18" x14ac:dyDescent="0.35">
      <c r="A19" s="49" t="s">
        <v>27</v>
      </c>
      <c r="B19" s="63">
        <v>-100</v>
      </c>
      <c r="C19" s="71">
        <f ca="1">-$B$7*((B30+C30)/2)</f>
        <v>-116.68421052631579</v>
      </c>
      <c r="D19" s="71">
        <f t="shared" ref="D19:G19" ca="1" si="4">-$B$7*((C30+D30)/2)</f>
        <v>-137.47728531855955</v>
      </c>
      <c r="E19" s="71">
        <f t="shared" ca="1" si="4"/>
        <v>-161.31015745735533</v>
      </c>
      <c r="F19" s="71">
        <f t="shared" ca="1" si="4"/>
        <v>-188.58791087391907</v>
      </c>
      <c r="G19" s="71">
        <f t="shared" ca="1" si="4"/>
        <v>-219.76678043959475</v>
      </c>
      <c r="J19"/>
      <c r="K19"/>
      <c r="L19"/>
      <c r="M19"/>
      <c r="N19"/>
      <c r="O19"/>
      <c r="P19"/>
      <c r="Q19"/>
      <c r="R19"/>
    </row>
    <row r="20" spans="1:18" x14ac:dyDescent="0.35">
      <c r="A20" s="49" t="s">
        <v>116</v>
      </c>
      <c r="B20" s="63">
        <f>SUM(B15:B19)</f>
        <v>374.4</v>
      </c>
      <c r="C20" s="62">
        <f ca="1">SUM(C15:C19)</f>
        <v>410.26358509911148</v>
      </c>
      <c r="D20" s="62">
        <f t="shared" ref="D20:G20" ca="1" si="5">SUM(D15:D19)</f>
        <v>449.799417544942</v>
      </c>
      <c r="E20" s="62">
        <f t="shared" ca="1" si="5"/>
        <v>492.27075590380821</v>
      </c>
      <c r="F20" s="62">
        <f t="shared" ca="1" si="5"/>
        <v>537.8388203858151</v>
      </c>
      <c r="G20" s="62">
        <f t="shared" ca="1" si="5"/>
        <v>586.66628838646022</v>
      </c>
      <c r="J20"/>
      <c r="K20"/>
      <c r="L20"/>
      <c r="M20"/>
      <c r="N20"/>
      <c r="O20"/>
      <c r="P20"/>
      <c r="Q20"/>
      <c r="R20"/>
    </row>
    <row r="21" spans="1:18" x14ac:dyDescent="0.35">
      <c r="A21" s="49" t="s">
        <v>115</v>
      </c>
      <c r="B21" s="63">
        <f>-B20*$B$10</f>
        <v>-149.76</v>
      </c>
      <c r="C21" s="71">
        <f ca="1">-$B$10*C20</f>
        <v>-164.10543403964459</v>
      </c>
      <c r="D21" s="71">
        <f t="shared" ref="D21:G21" ca="1" si="6">-$B$10*D20</f>
        <v>-179.91976701797682</v>
      </c>
      <c r="E21" s="71">
        <f t="shared" ca="1" si="6"/>
        <v>-196.90830236152328</v>
      </c>
      <c r="F21" s="71">
        <f t="shared" ca="1" si="6"/>
        <v>-215.13552815432604</v>
      </c>
      <c r="G21" s="71">
        <f t="shared" ca="1" si="6"/>
        <v>-234.66651535458411</v>
      </c>
    </row>
    <row r="22" spans="1:18" x14ac:dyDescent="0.35">
      <c r="A22" s="49" t="s">
        <v>105</v>
      </c>
      <c r="B22" s="63">
        <f>B21+B20</f>
        <v>224.64</v>
      </c>
      <c r="C22" s="62">
        <f ca="1">SUM(C20:C21)</f>
        <v>246.15815105946689</v>
      </c>
      <c r="D22" s="62">
        <f t="shared" ref="D22:G22" ca="1" si="7">SUM(D20:D21)</f>
        <v>269.87965052696518</v>
      </c>
      <c r="E22" s="62">
        <f t="shared" ca="1" si="7"/>
        <v>295.36245354228492</v>
      </c>
      <c r="F22" s="62">
        <f t="shared" ca="1" si="7"/>
        <v>322.70329223148906</v>
      </c>
      <c r="G22" s="62">
        <f t="shared" ca="1" si="7"/>
        <v>351.99977303187609</v>
      </c>
    </row>
    <row r="23" spans="1:18" x14ac:dyDescent="0.35">
      <c r="A23" s="49" t="s">
        <v>114</v>
      </c>
      <c r="B23" s="63">
        <f>-B22*$B$11</f>
        <v>-89.855999999999995</v>
      </c>
      <c r="C23" s="71">
        <f ca="1">-$B$11*C22</f>
        <v>-98.463260423786764</v>
      </c>
      <c r="D23" s="71">
        <f t="shared" ref="D23:G23" ca="1" si="8">-$B$11*D22</f>
        <v>-107.95186021078608</v>
      </c>
      <c r="E23" s="71">
        <f t="shared" ca="1" si="8"/>
        <v>-118.14498141691398</v>
      </c>
      <c r="F23" s="71">
        <f t="shared" ca="1" si="8"/>
        <v>-129.08131689259562</v>
      </c>
      <c r="G23" s="71">
        <f t="shared" ca="1" si="8"/>
        <v>-140.79990921275044</v>
      </c>
    </row>
    <row r="24" spans="1:18" x14ac:dyDescent="0.35">
      <c r="A24" s="49" t="s">
        <v>18</v>
      </c>
      <c r="B24" s="63">
        <f>B23+B22</f>
        <v>134.78399999999999</v>
      </c>
      <c r="C24" s="62">
        <f ca="1">SUM(C22:C23)</f>
        <v>147.69489063568011</v>
      </c>
      <c r="D24" s="62">
        <f t="shared" ref="D24:G24" ca="1" si="9">SUM(D22:D23)</f>
        <v>161.92779031617908</v>
      </c>
      <c r="E24" s="62">
        <f t="shared" ca="1" si="9"/>
        <v>177.21747212537093</v>
      </c>
      <c r="F24" s="62">
        <f t="shared" ca="1" si="9"/>
        <v>193.62197533889344</v>
      </c>
      <c r="G24" s="62">
        <f t="shared" ca="1" si="9"/>
        <v>211.19986381912565</v>
      </c>
    </row>
    <row r="25" spans="1:18" x14ac:dyDescent="0.35">
      <c r="B25" s="63"/>
      <c r="C25" s="63"/>
      <c r="D25" s="63"/>
      <c r="E25" s="63"/>
      <c r="F25" s="63"/>
      <c r="G25" s="63"/>
    </row>
    <row r="26" spans="1:18" x14ac:dyDescent="0.35">
      <c r="A26" s="64" t="s">
        <v>48</v>
      </c>
      <c r="B26" s="63"/>
      <c r="C26" s="63"/>
      <c r="D26" s="63"/>
      <c r="E26" s="63"/>
      <c r="F26" s="63"/>
      <c r="G26" s="63"/>
    </row>
    <row r="27" spans="1:18" x14ac:dyDescent="0.35">
      <c r="A27" s="57" t="s">
        <v>113</v>
      </c>
      <c r="B27" s="63">
        <v>80</v>
      </c>
      <c r="C27" s="62">
        <f ca="1">C39-C28-C32</f>
        <v>143.69489063568017</v>
      </c>
      <c r="D27" s="62">
        <f t="shared" ref="D27:G27" ca="1" si="10">D39-D28-D32</f>
        <v>213.22268095185905</v>
      </c>
      <c r="E27" s="62">
        <f t="shared" ca="1" si="10"/>
        <v>288.80015307722988</v>
      </c>
      <c r="F27" s="62">
        <f t="shared" ca="1" si="10"/>
        <v>370.61812841612345</v>
      </c>
      <c r="G27" s="62">
        <f t="shared" ca="1" si="10"/>
        <v>458.83359223524894</v>
      </c>
    </row>
    <row r="28" spans="1:18" x14ac:dyDescent="0.35">
      <c r="A28" s="49" t="s">
        <v>1</v>
      </c>
      <c r="B28" s="63">
        <f>$B$3*B15</f>
        <v>150</v>
      </c>
      <c r="C28" s="62">
        <f>$B$3*C15</f>
        <v>165</v>
      </c>
      <c r="D28" s="62">
        <f t="shared" ref="D28:G28" si="11">$B$3*D15</f>
        <v>181.5</v>
      </c>
      <c r="E28" s="62">
        <f t="shared" si="11"/>
        <v>199.65</v>
      </c>
      <c r="F28" s="62">
        <f t="shared" si="11"/>
        <v>219.61500000000001</v>
      </c>
      <c r="G28" s="62">
        <f t="shared" si="11"/>
        <v>241.57650000000001</v>
      </c>
    </row>
    <row r="29" spans="1:18" x14ac:dyDescent="0.35">
      <c r="A29" s="49" t="s">
        <v>112</v>
      </c>
      <c r="B29" s="63"/>
      <c r="C29" s="63"/>
      <c r="D29" s="63"/>
      <c r="E29" s="63"/>
      <c r="F29" s="63"/>
      <c r="G29" s="63"/>
    </row>
    <row r="30" spans="1:18" x14ac:dyDescent="0.35">
      <c r="A30" s="49" t="s">
        <v>7</v>
      </c>
      <c r="B30" s="63">
        <f>B32-B31</f>
        <v>1070</v>
      </c>
      <c r="C30" s="62">
        <f ca="1">C32-C31</f>
        <v>1263.6842105263158</v>
      </c>
      <c r="D30" s="62">
        <f t="shared" ref="D30:G30" ca="1" si="12">D32-D31</f>
        <v>1485.8614958448754</v>
      </c>
      <c r="E30" s="62">
        <f t="shared" ca="1" si="12"/>
        <v>1740.341653302231</v>
      </c>
      <c r="F30" s="62">
        <f t="shared" ca="1" si="12"/>
        <v>2031.4165641761501</v>
      </c>
      <c r="G30" s="62">
        <f t="shared" ca="1" si="12"/>
        <v>2363.9190446157445</v>
      </c>
    </row>
    <row r="31" spans="1:18" x14ac:dyDescent="0.35">
      <c r="A31" s="49" t="s">
        <v>111</v>
      </c>
      <c r="B31" s="63">
        <v>-300</v>
      </c>
      <c r="C31" s="62">
        <f ca="1">B31+C19</f>
        <v>-416.68421052631578</v>
      </c>
      <c r="D31" s="62">
        <f t="shared" ref="D31:G31" ca="1" si="13">C31+D19</f>
        <v>-554.16149584487539</v>
      </c>
      <c r="E31" s="62">
        <f t="shared" ca="1" si="13"/>
        <v>-715.47165330223072</v>
      </c>
      <c r="F31" s="62">
        <f t="shared" ca="1" si="13"/>
        <v>-904.05956417614982</v>
      </c>
      <c r="G31" s="62">
        <f t="shared" ca="1" si="13"/>
        <v>-1123.8263446157446</v>
      </c>
    </row>
    <row r="32" spans="1:18" x14ac:dyDescent="0.35">
      <c r="A32" s="49" t="s">
        <v>110</v>
      </c>
      <c r="B32" s="63">
        <f>B15*$B$5</f>
        <v>770</v>
      </c>
      <c r="C32" s="62">
        <f>$B$5*C15</f>
        <v>847</v>
      </c>
      <c r="D32" s="62">
        <f t="shared" ref="D32:G32" si="14">$B$5*D15</f>
        <v>931.7</v>
      </c>
      <c r="E32" s="62">
        <f t="shared" si="14"/>
        <v>1024.8700000000001</v>
      </c>
      <c r="F32" s="62">
        <f t="shared" si="14"/>
        <v>1127.3570000000002</v>
      </c>
      <c r="G32" s="62">
        <f t="shared" si="14"/>
        <v>1240.0927000000001</v>
      </c>
    </row>
    <row r="33" spans="1:7" x14ac:dyDescent="0.35">
      <c r="A33" s="64" t="s">
        <v>10</v>
      </c>
      <c r="B33" s="63">
        <f>B27+B28+B32</f>
        <v>1000</v>
      </c>
      <c r="C33" s="62">
        <f ca="1">SUM(C27,C28,C32)</f>
        <v>1155.6948906356802</v>
      </c>
      <c r="D33" s="62">
        <f t="shared" ref="D33:G33" ca="1" si="15">SUM(D27,D28,D32)</f>
        <v>1326.4226809518591</v>
      </c>
      <c r="E33" s="62">
        <f t="shared" ca="1" si="15"/>
        <v>1513.3201530772299</v>
      </c>
      <c r="F33" s="62">
        <f t="shared" ca="1" si="15"/>
        <v>1717.5901284161237</v>
      </c>
      <c r="G33" s="62">
        <f t="shared" ca="1" si="15"/>
        <v>1940.5027922352492</v>
      </c>
    </row>
    <row r="34" spans="1:7" x14ac:dyDescent="0.35">
      <c r="B34" s="63"/>
      <c r="C34" s="63"/>
      <c r="D34" s="63"/>
      <c r="E34" s="63"/>
      <c r="F34" s="63"/>
      <c r="G34" s="63"/>
    </row>
    <row r="35" spans="1:7" x14ac:dyDescent="0.35">
      <c r="A35" s="49" t="s">
        <v>11</v>
      </c>
      <c r="B35" s="63">
        <f>B15*$B$4</f>
        <v>80</v>
      </c>
      <c r="C35" s="62">
        <f>$B$4*C15</f>
        <v>88</v>
      </c>
      <c r="D35" s="62">
        <f t="shared" ref="D35:G35" si="16">$B$4*D15</f>
        <v>96.8</v>
      </c>
      <c r="E35" s="62">
        <f t="shared" si="16"/>
        <v>106.48</v>
      </c>
      <c r="F35" s="62">
        <f t="shared" si="16"/>
        <v>117.12800000000001</v>
      </c>
      <c r="G35" s="62">
        <f t="shared" si="16"/>
        <v>128.84080000000003</v>
      </c>
    </row>
    <row r="36" spans="1:7" x14ac:dyDescent="0.35">
      <c r="A36" s="49" t="s">
        <v>109</v>
      </c>
      <c r="B36" s="63">
        <f>B33-B35-B37-B38</f>
        <v>320</v>
      </c>
      <c r="C36" s="62">
        <f>B36</f>
        <v>320</v>
      </c>
      <c r="D36" s="62">
        <f t="shared" ref="D36:G36" si="17">C36</f>
        <v>320</v>
      </c>
      <c r="E36" s="62">
        <f t="shared" si="17"/>
        <v>320</v>
      </c>
      <c r="F36" s="62">
        <f t="shared" si="17"/>
        <v>320</v>
      </c>
      <c r="G36" s="62">
        <f t="shared" si="17"/>
        <v>320</v>
      </c>
    </row>
    <row r="37" spans="1:7" x14ac:dyDescent="0.35">
      <c r="A37" s="49" t="s">
        <v>108</v>
      </c>
      <c r="B37" s="63">
        <v>450</v>
      </c>
      <c r="C37" s="62">
        <f>B37</f>
        <v>450</v>
      </c>
      <c r="D37" s="62">
        <f t="shared" ref="D37:G37" si="18">C37</f>
        <v>450</v>
      </c>
      <c r="E37" s="62">
        <f t="shared" si="18"/>
        <v>450</v>
      </c>
      <c r="F37" s="62">
        <f t="shared" si="18"/>
        <v>450</v>
      </c>
      <c r="G37" s="62">
        <f t="shared" si="18"/>
        <v>450</v>
      </c>
    </row>
    <row r="38" spans="1:7" x14ac:dyDescent="0.35">
      <c r="A38" s="49" t="s">
        <v>107</v>
      </c>
      <c r="B38" s="63">
        <v>150</v>
      </c>
      <c r="C38" s="62">
        <f ca="1">B38+C24</f>
        <v>297.69489063568011</v>
      </c>
      <c r="D38" s="62">
        <f t="shared" ref="D38:G38" ca="1" si="19">C38+D24</f>
        <v>459.62268095185919</v>
      </c>
      <c r="E38" s="62">
        <f t="shared" ca="1" si="19"/>
        <v>636.84015307723007</v>
      </c>
      <c r="F38" s="62">
        <f t="shared" ca="1" si="19"/>
        <v>830.46212841612351</v>
      </c>
      <c r="G38" s="62">
        <f t="shared" ca="1" si="19"/>
        <v>1041.6619922352493</v>
      </c>
    </row>
    <row r="39" spans="1:7" x14ac:dyDescent="0.35">
      <c r="A39" s="64" t="s">
        <v>19</v>
      </c>
      <c r="B39" s="63">
        <f>SUM(B35:B38)</f>
        <v>1000</v>
      </c>
      <c r="C39" s="62">
        <f ca="1">SUM(C35:C38)</f>
        <v>1155.6948906356802</v>
      </c>
      <c r="D39" s="62">
        <f t="shared" ref="D39:G39" ca="1" si="20">SUM(D35:D38)</f>
        <v>1326.4226809518591</v>
      </c>
      <c r="E39" s="62">
        <f t="shared" ca="1" si="20"/>
        <v>1513.3201530772301</v>
      </c>
      <c r="F39" s="62">
        <f t="shared" ca="1" si="20"/>
        <v>1717.5901284161237</v>
      </c>
      <c r="G39" s="62">
        <f t="shared" ca="1" si="20"/>
        <v>1940.5027922352492</v>
      </c>
    </row>
    <row r="40" spans="1:7" x14ac:dyDescent="0.35">
      <c r="A40" s="57"/>
      <c r="B40" s="61"/>
      <c r="C40" s="61"/>
      <c r="D40" s="61"/>
      <c r="E40" s="61"/>
      <c r="F40" s="61"/>
      <c r="G40" s="61"/>
    </row>
    <row r="41" spans="1:7" x14ac:dyDescent="0.35">
      <c r="A41" s="56" t="s">
        <v>57</v>
      </c>
      <c r="B41" s="55">
        <v>0</v>
      </c>
      <c r="C41" s="55">
        <v>1</v>
      </c>
      <c r="D41" s="55">
        <v>2</v>
      </c>
      <c r="E41" s="55">
        <v>3</v>
      </c>
      <c r="F41" s="55">
        <v>4</v>
      </c>
      <c r="G41" s="55">
        <v>5</v>
      </c>
    </row>
    <row r="42" spans="1:7" x14ac:dyDescent="0.35">
      <c r="A42" s="56" t="s">
        <v>106</v>
      </c>
      <c r="B42" s="55"/>
      <c r="C42" s="55"/>
      <c r="D42" s="55"/>
      <c r="E42" s="55"/>
      <c r="F42" s="55"/>
      <c r="G42" s="55"/>
    </row>
    <row r="43" spans="1:7" x14ac:dyDescent="0.35">
      <c r="A43" s="60" t="s">
        <v>105</v>
      </c>
      <c r="B43" s="60"/>
      <c r="C43" s="53">
        <f ca="1">C22</f>
        <v>246.15815105946689</v>
      </c>
      <c r="D43" s="53">
        <f t="shared" ref="D43:G43" ca="1" si="21">D22</f>
        <v>269.87965052696518</v>
      </c>
      <c r="E43" s="53">
        <f t="shared" ca="1" si="21"/>
        <v>295.36245354228492</v>
      </c>
      <c r="F43" s="53">
        <f t="shared" ca="1" si="21"/>
        <v>322.70329223148906</v>
      </c>
      <c r="G43" s="53">
        <f t="shared" ca="1" si="21"/>
        <v>351.99977303187609</v>
      </c>
    </row>
    <row r="44" spans="1:7" x14ac:dyDescent="0.35">
      <c r="A44" s="60" t="s">
        <v>34</v>
      </c>
      <c r="B44" s="60"/>
      <c r="C44" s="53">
        <f ca="1">-C19</f>
        <v>116.68421052631579</v>
      </c>
      <c r="D44" s="53">
        <f t="shared" ref="D44:G44" ca="1" si="22">-D19</f>
        <v>137.47728531855955</v>
      </c>
      <c r="E44" s="53">
        <f t="shared" ca="1" si="22"/>
        <v>161.31015745735533</v>
      </c>
      <c r="F44" s="53">
        <f t="shared" ca="1" si="22"/>
        <v>188.58791087391907</v>
      </c>
      <c r="G44" s="53">
        <f t="shared" ca="1" si="22"/>
        <v>219.76678043959475</v>
      </c>
    </row>
    <row r="45" spans="1:7" x14ac:dyDescent="0.35">
      <c r="A45" s="60" t="s">
        <v>64</v>
      </c>
      <c r="B45" s="60"/>
      <c r="C45" s="53">
        <f>-(C28-B28)</f>
        <v>-15</v>
      </c>
      <c r="D45" s="53">
        <f t="shared" ref="D45:G45" si="23">-(D28-C28)</f>
        <v>-16.5</v>
      </c>
      <c r="E45" s="53">
        <f t="shared" si="23"/>
        <v>-18.150000000000006</v>
      </c>
      <c r="F45" s="53">
        <f t="shared" si="23"/>
        <v>-19.965000000000003</v>
      </c>
      <c r="G45" s="53">
        <f t="shared" si="23"/>
        <v>-21.961500000000001</v>
      </c>
    </row>
    <row r="46" spans="1:7" x14ac:dyDescent="0.35">
      <c r="A46" s="60" t="s">
        <v>66</v>
      </c>
      <c r="B46" s="60"/>
      <c r="C46" s="53">
        <f>C35-B35</f>
        <v>8</v>
      </c>
      <c r="D46" s="53">
        <f t="shared" ref="D46:G46" si="24">D35-C35</f>
        <v>8.7999999999999972</v>
      </c>
      <c r="E46" s="53">
        <f t="shared" si="24"/>
        <v>9.6800000000000068</v>
      </c>
      <c r="F46" s="53">
        <f t="shared" si="24"/>
        <v>10.64800000000001</v>
      </c>
      <c r="G46" s="53">
        <f t="shared" si="24"/>
        <v>11.712800000000016</v>
      </c>
    </row>
    <row r="47" spans="1:7" x14ac:dyDescent="0.35">
      <c r="A47" s="60" t="s">
        <v>104</v>
      </c>
      <c r="B47" s="60"/>
      <c r="C47" s="53">
        <f ca="1">-(C30-B30)</f>
        <v>-193.68421052631584</v>
      </c>
      <c r="D47" s="53">
        <f t="shared" ref="D47:G47" ca="1" si="25">-(D30-C30)</f>
        <v>-222.1772853185596</v>
      </c>
      <c r="E47" s="53">
        <f t="shared" ca="1" si="25"/>
        <v>-254.48015745735552</v>
      </c>
      <c r="F47" s="53">
        <f t="shared" ca="1" si="25"/>
        <v>-291.07491087391918</v>
      </c>
      <c r="G47" s="53">
        <f t="shared" ca="1" si="25"/>
        <v>-332.50248043959436</v>
      </c>
    </row>
    <row r="48" spans="1:7" x14ac:dyDescent="0.35">
      <c r="A48" s="60" t="s">
        <v>103</v>
      </c>
      <c r="B48" s="60"/>
      <c r="C48" s="53">
        <f>-C17*(1-$B$10)</f>
        <v>19.2</v>
      </c>
      <c r="D48" s="53">
        <f t="shared" ref="D48:G48" si="26">-D17*(1-$B$10)</f>
        <v>19.2</v>
      </c>
      <c r="E48" s="53">
        <f t="shared" si="26"/>
        <v>19.2</v>
      </c>
      <c r="F48" s="53">
        <f t="shared" si="26"/>
        <v>19.2</v>
      </c>
      <c r="G48" s="53">
        <f t="shared" si="26"/>
        <v>19.2</v>
      </c>
    </row>
    <row r="49" spans="1:13" x14ac:dyDescent="0.35">
      <c r="A49" s="60" t="s">
        <v>102</v>
      </c>
      <c r="B49" s="60"/>
      <c r="C49" s="53">
        <f ca="1">-C18*(1-$B$10)</f>
        <v>-5.3686773752563237</v>
      </c>
      <c r="D49" s="53">
        <f t="shared" ref="D49:G49" ca="1" si="27">-D18*(1-$B$10)</f>
        <v>-8.5660217181009415</v>
      </c>
      <c r="E49" s="53">
        <f t="shared" ca="1" si="27"/>
        <v>-12.048548016698133</v>
      </c>
      <c r="F49" s="53">
        <f t="shared" ca="1" si="27"/>
        <v>-15.826038755840479</v>
      </c>
      <c r="G49" s="53">
        <f t="shared" ca="1" si="27"/>
        <v>-19.906841295632937</v>
      </c>
    </row>
    <row r="50" spans="1:13" x14ac:dyDescent="0.35">
      <c r="A50" s="56" t="s">
        <v>67</v>
      </c>
      <c r="B50" s="60"/>
      <c r="C50" s="53">
        <f ca="1">SUM(C43:C49)</f>
        <v>175.98947368421051</v>
      </c>
      <c r="D50" s="53">
        <f t="shared" ref="D50:G50" ca="1" si="28">SUM(D43:D49)</f>
        <v>188.11362880886418</v>
      </c>
      <c r="E50" s="53">
        <f t="shared" ca="1" si="28"/>
        <v>200.87390552558662</v>
      </c>
      <c r="F50" s="53">
        <f t="shared" ca="1" si="28"/>
        <v>214.27325347564849</v>
      </c>
      <c r="G50" s="53">
        <f t="shared" ca="1" si="28"/>
        <v>228.30853173624354</v>
      </c>
    </row>
    <row r="53" spans="1:13" ht="18" x14ac:dyDescent="0.4">
      <c r="A53" s="59" t="s">
        <v>101</v>
      </c>
    </row>
    <row r="54" spans="1:13" x14ac:dyDescent="0.35">
      <c r="A54" s="57" t="s">
        <v>100</v>
      </c>
      <c r="B54" s="58">
        <v>0.2</v>
      </c>
      <c r="C54" s="57"/>
      <c r="D54" s="57"/>
      <c r="E54" s="57"/>
      <c r="F54" s="57"/>
      <c r="G54" s="57"/>
    </row>
    <row r="55" spans="1:13" x14ac:dyDescent="0.35">
      <c r="A55" s="57" t="s">
        <v>99</v>
      </c>
      <c r="B55" s="58">
        <v>0.05</v>
      </c>
      <c r="C55" s="57" t="s">
        <v>98</v>
      </c>
      <c r="D55" s="57"/>
      <c r="E55" s="57"/>
      <c r="F55" s="57"/>
      <c r="G55" s="57"/>
    </row>
    <row r="56" spans="1:13" x14ac:dyDescent="0.35">
      <c r="A56" s="57"/>
    </row>
    <row r="57" spans="1:13" x14ac:dyDescent="0.35">
      <c r="A57" s="56" t="s">
        <v>57</v>
      </c>
      <c r="B57" s="55">
        <v>0</v>
      </c>
      <c r="C57" s="55">
        <v>1</v>
      </c>
      <c r="D57" s="55">
        <v>2</v>
      </c>
      <c r="E57" s="55">
        <v>3</v>
      </c>
      <c r="F57" s="55">
        <v>4</v>
      </c>
      <c r="G57" s="55">
        <v>5</v>
      </c>
      <c r="H57"/>
      <c r="I57"/>
      <c r="J57"/>
      <c r="K57"/>
      <c r="L57"/>
      <c r="M57"/>
    </row>
    <row r="58" spans="1:13" x14ac:dyDescent="0.35">
      <c r="A58" s="49" t="s">
        <v>84</v>
      </c>
      <c r="C58" s="53">
        <f ca="1">C50</f>
        <v>175.98947368421051</v>
      </c>
      <c r="D58" s="53">
        <f t="shared" ref="D58:G58" ca="1" si="29">D50</f>
        <v>188.11362880886418</v>
      </c>
      <c r="E58" s="53">
        <f t="shared" ca="1" si="29"/>
        <v>200.87390552558662</v>
      </c>
      <c r="F58" s="53">
        <f t="shared" ca="1" si="29"/>
        <v>214.27325347564849</v>
      </c>
      <c r="G58" s="53">
        <f t="shared" ca="1" si="29"/>
        <v>228.30853173624354</v>
      </c>
      <c r="H58"/>
      <c r="I58"/>
      <c r="J58"/>
      <c r="K58"/>
      <c r="L58"/>
      <c r="M58"/>
    </row>
    <row r="59" spans="1:13" x14ac:dyDescent="0.35">
      <c r="A59" s="49" t="s">
        <v>85</v>
      </c>
      <c r="G59" s="54">
        <f ca="1">G58*(1+B55)/(B54-B55)</f>
        <v>1598.1597221537045</v>
      </c>
      <c r="H59"/>
      <c r="I59"/>
      <c r="J59"/>
      <c r="K59"/>
      <c r="L59"/>
      <c r="M59"/>
    </row>
    <row r="60" spans="1:13" x14ac:dyDescent="0.35">
      <c r="A60" s="49" t="s">
        <v>86</v>
      </c>
      <c r="C60" s="53">
        <f ca="1">SUM(C58:C59)</f>
        <v>175.98947368421051</v>
      </c>
      <c r="D60" s="53">
        <f t="shared" ref="D60:G60" ca="1" si="30">SUM(D58:D59)</f>
        <v>188.11362880886418</v>
      </c>
      <c r="E60" s="53">
        <f t="shared" ca="1" si="30"/>
        <v>200.87390552558662</v>
      </c>
      <c r="F60" s="53">
        <f t="shared" ca="1" si="30"/>
        <v>214.27325347564849</v>
      </c>
      <c r="G60" s="53">
        <f t="shared" ca="1" si="30"/>
        <v>1826.4682538899481</v>
      </c>
      <c r="H60"/>
      <c r="I60"/>
      <c r="J60"/>
      <c r="K60"/>
      <c r="L60"/>
      <c r="M60"/>
    </row>
    <row r="61" spans="1:13" x14ac:dyDescent="0.35">
      <c r="H61"/>
      <c r="I61"/>
      <c r="J61"/>
      <c r="K61"/>
      <c r="L61"/>
      <c r="M61"/>
    </row>
    <row r="62" spans="1:13" x14ac:dyDescent="0.35">
      <c r="A62" s="49" t="str">
        <f>"Enterprise value, present value of row "&amp;ROW(A60)</f>
        <v>Enterprise value, present value of row 60</v>
      </c>
      <c r="B62" s="52">
        <f ca="1">NPV(B54,C60:G60)</f>
        <v>1230.8893973567979</v>
      </c>
      <c r="H62"/>
      <c r="I62"/>
      <c r="J62"/>
      <c r="K62"/>
      <c r="L62"/>
      <c r="M62"/>
    </row>
    <row r="63" spans="1:13" x14ac:dyDescent="0.35">
      <c r="A63" s="49" t="s">
        <v>97</v>
      </c>
      <c r="B63" s="52">
        <f>B27</f>
        <v>80</v>
      </c>
      <c r="H63"/>
      <c r="I63"/>
      <c r="J63"/>
      <c r="K63"/>
      <c r="L63"/>
      <c r="M63"/>
    </row>
    <row r="64" spans="1:13" x14ac:dyDescent="0.35">
      <c r="A64" s="49" t="s">
        <v>96</v>
      </c>
      <c r="B64" s="52">
        <f ca="1">B62+B63</f>
        <v>1310.8893973567979</v>
      </c>
      <c r="H64"/>
      <c r="I64"/>
      <c r="J64"/>
      <c r="K64"/>
      <c r="L64"/>
      <c r="M64"/>
    </row>
    <row r="65" spans="1:13" x14ac:dyDescent="0.35">
      <c r="A65" s="49" t="s">
        <v>95</v>
      </c>
      <c r="B65" s="52">
        <f>-B36</f>
        <v>-320</v>
      </c>
      <c r="H65"/>
      <c r="I65"/>
      <c r="J65"/>
      <c r="K65"/>
      <c r="L65"/>
      <c r="M65"/>
    </row>
    <row r="66" spans="1:13" x14ac:dyDescent="0.35">
      <c r="A66" s="50" t="s">
        <v>94</v>
      </c>
      <c r="B66" s="52">
        <f ca="1">B64+B65</f>
        <v>990.88939735679787</v>
      </c>
    </row>
    <row r="67" spans="1:13" x14ac:dyDescent="0.35">
      <c r="B67" s="51"/>
    </row>
    <row r="68" spans="1:13" x14ac:dyDescent="0.35">
      <c r="A68" s="49" t="s">
        <v>93</v>
      </c>
      <c r="B68" s="49">
        <v>50</v>
      </c>
    </row>
    <row r="69" spans="1:13" x14ac:dyDescent="0.35">
      <c r="A69" s="49" t="s">
        <v>92</v>
      </c>
      <c r="B69" s="50">
        <f ca="1">B66/B68</f>
        <v>19.817787947135958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6" tint="0.59999389629810485"/>
  </sheetPr>
  <dimension ref="A1:C59"/>
  <sheetViews>
    <sheetView zoomScale="44" zoomScaleNormal="44" workbookViewId="0">
      <selection activeCell="N14" sqref="N14"/>
    </sheetView>
  </sheetViews>
  <sheetFormatPr defaultColWidth="9" defaultRowHeight="12.5" x14ac:dyDescent="0.25"/>
  <cols>
    <col min="1" max="1" width="45.81640625" style="1" customWidth="1"/>
    <col min="2" max="2" width="11.26953125" style="1" customWidth="1"/>
    <col min="3" max="3" width="13" style="1" customWidth="1"/>
    <col min="4" max="16384" width="9" style="1"/>
  </cols>
  <sheetData>
    <row r="1" spans="1:3" ht="18" x14ac:dyDescent="0.4">
      <c r="A1" s="7" t="s">
        <v>0</v>
      </c>
      <c r="B1" s="7"/>
      <c r="C1" s="7"/>
    </row>
    <row r="2" spans="1:3" x14ac:dyDescent="0.25">
      <c r="A2" s="8" t="s">
        <v>61</v>
      </c>
      <c r="B2" s="8"/>
      <c r="C2" s="8"/>
    </row>
    <row r="3" spans="1:3" x14ac:dyDescent="0.25">
      <c r="A3" s="4"/>
      <c r="B3" s="4"/>
      <c r="C3" s="4"/>
    </row>
    <row r="4" spans="1:3" ht="13" x14ac:dyDescent="0.3">
      <c r="B4" s="3">
        <v>2014</v>
      </c>
      <c r="C4" s="3">
        <v>2015</v>
      </c>
    </row>
    <row r="5" spans="1:3" ht="13" x14ac:dyDescent="0.3">
      <c r="A5" s="2" t="s">
        <v>1</v>
      </c>
    </row>
    <row r="6" spans="1:3" x14ac:dyDescent="0.25">
      <c r="A6" s="1" t="s">
        <v>2</v>
      </c>
      <c r="B6" s="1">
        <v>2016245</v>
      </c>
      <c r="C6" s="1">
        <v>3023989</v>
      </c>
    </row>
    <row r="7" spans="1:3" x14ac:dyDescent="0.25">
      <c r="A7" s="1" t="s">
        <v>3</v>
      </c>
      <c r="B7" s="1">
        <v>1278771</v>
      </c>
      <c r="C7" s="1">
        <v>4194238</v>
      </c>
    </row>
    <row r="8" spans="1:3" x14ac:dyDescent="0.25">
      <c r="A8" s="1" t="s">
        <v>4</v>
      </c>
      <c r="B8" s="1">
        <v>185314</v>
      </c>
      <c r="C8" s="1">
        <v>759104</v>
      </c>
    </row>
    <row r="9" spans="1:3" x14ac:dyDescent="0.25">
      <c r="A9" s="1" t="s">
        <v>5</v>
      </c>
      <c r="B9" s="1">
        <v>392116</v>
      </c>
      <c r="C9" s="1">
        <v>1006169</v>
      </c>
    </row>
    <row r="11" spans="1:3" ht="13" x14ac:dyDescent="0.3">
      <c r="A11" s="2" t="s">
        <v>6</v>
      </c>
      <c r="B11"/>
      <c r="C11"/>
    </row>
    <row r="12" spans="1:3" x14ac:dyDescent="0.25">
      <c r="A12" s="5" t="s">
        <v>7</v>
      </c>
      <c r="B12" s="1">
        <v>4000000</v>
      </c>
      <c r="C12" s="1">
        <f>B12+0.7*(C34-B34)</f>
        <v>13030853.299999999</v>
      </c>
    </row>
    <row r="13" spans="1:3" x14ac:dyDescent="0.25">
      <c r="A13" s="5" t="s">
        <v>8</v>
      </c>
      <c r="B13" s="1">
        <f>-10%*B12</f>
        <v>-400000</v>
      </c>
      <c r="C13" s="1">
        <f>B13-0.1*C12</f>
        <v>-1703085.33</v>
      </c>
    </row>
    <row r="14" spans="1:3" x14ac:dyDescent="0.25">
      <c r="A14" s="1" t="s">
        <v>9</v>
      </c>
      <c r="B14" s="1">
        <f>SUM(B12:B13)</f>
        <v>3600000</v>
      </c>
      <c r="C14" s="1">
        <f>SUM(C12:C13)</f>
        <v>11327767.969999999</v>
      </c>
    </row>
    <row r="16" spans="1:3" ht="13" x14ac:dyDescent="0.3">
      <c r="A16" s="2" t="s">
        <v>10</v>
      </c>
      <c r="B16" s="1">
        <f>SUM(B6:B9)+B14</f>
        <v>7472446</v>
      </c>
      <c r="C16" s="1">
        <f>SUM(C6:C9)+C14</f>
        <v>20311267.969999999</v>
      </c>
    </row>
    <row r="19" spans="1:3" ht="13" x14ac:dyDescent="0.3">
      <c r="A19" s="2" t="s">
        <v>11</v>
      </c>
    </row>
    <row r="20" spans="1:3" x14ac:dyDescent="0.25">
      <c r="A20" s="1" t="s">
        <v>12</v>
      </c>
      <c r="B20" s="1">
        <v>906648</v>
      </c>
      <c r="C20" s="1">
        <v>3271271</v>
      </c>
    </row>
    <row r="21" spans="1:3" x14ac:dyDescent="0.25">
      <c r="A21" s="1" t="s">
        <v>13</v>
      </c>
      <c r="B21" s="1">
        <f ca="1">-25%*B45</f>
        <v>157934.89383570576</v>
      </c>
      <c r="C21" s="1">
        <f ca="1">-25%*C45</f>
        <v>423485.80894877721</v>
      </c>
    </row>
    <row r="22" spans="1:3" x14ac:dyDescent="0.25">
      <c r="A22" s="1" t="s">
        <v>14</v>
      </c>
      <c r="B22" s="1">
        <v>52910</v>
      </c>
      <c r="C22" s="1">
        <v>151189</v>
      </c>
    </row>
    <row r="24" spans="1:3" ht="12.75" customHeight="1" x14ac:dyDescent="0.25">
      <c r="A24" s="1" t="s">
        <v>15</v>
      </c>
      <c r="B24" s="1">
        <f ca="1">B16-SUM(B20:B22)-SUM(B27:B28)</f>
        <v>846057.90585863497</v>
      </c>
      <c r="C24" s="1">
        <f ca="1">C16-SUM(C20:C22)-SUM(C27:C28)</f>
        <v>8597874.4171265345</v>
      </c>
    </row>
    <row r="26" spans="1:3" ht="13" x14ac:dyDescent="0.3">
      <c r="A26" s="2" t="s">
        <v>16</v>
      </c>
    </row>
    <row r="27" spans="1:3" x14ac:dyDescent="0.25">
      <c r="A27" s="1" t="s">
        <v>17</v>
      </c>
      <c r="B27" s="1">
        <v>4610999</v>
      </c>
      <c r="C27" s="1">
        <f>B27</f>
        <v>4610999</v>
      </c>
    </row>
    <row r="28" spans="1:3" x14ac:dyDescent="0.25">
      <c r="A28" s="1" t="s">
        <v>18</v>
      </c>
      <c r="B28" s="1">
        <f ca="1">B46</f>
        <v>897896.20030565909</v>
      </c>
      <c r="C28" s="1">
        <f ca="1">B28+C46</f>
        <v>3256448.7439246867</v>
      </c>
    </row>
    <row r="29" spans="1:3" ht="13" x14ac:dyDescent="0.3">
      <c r="A29" s="2" t="s">
        <v>19</v>
      </c>
      <c r="B29" s="1">
        <f ca="1">SUM(B20:B28)</f>
        <v>7472446</v>
      </c>
      <c r="C29" s="1">
        <f ca="1">SUM(C20:C28)</f>
        <v>20311267.969999999</v>
      </c>
    </row>
    <row r="32" spans="1:3" s="2" customFormat="1" ht="13" x14ac:dyDescent="0.3">
      <c r="A32" s="2" t="s">
        <v>20</v>
      </c>
      <c r="B32" s="3">
        <v>2014</v>
      </c>
      <c r="C32" s="3">
        <v>2015</v>
      </c>
    </row>
    <row r="33" spans="1:3" ht="13" x14ac:dyDescent="0.3">
      <c r="A33" s="2" t="s">
        <v>21</v>
      </c>
    </row>
    <row r="34" spans="1:3" x14ac:dyDescent="0.25">
      <c r="A34" s="1" t="s">
        <v>22</v>
      </c>
      <c r="B34" s="1">
        <v>6076345</v>
      </c>
      <c r="C34" s="1">
        <v>18977564</v>
      </c>
    </row>
    <row r="35" spans="1:3" x14ac:dyDescent="0.25">
      <c r="A35" s="1" t="s">
        <v>23</v>
      </c>
      <c r="B35" s="1">
        <v>131326</v>
      </c>
      <c r="C35" s="1">
        <v>176111</v>
      </c>
    </row>
    <row r="36" spans="1:3" ht="13" x14ac:dyDescent="0.3">
      <c r="A36" s="2" t="s">
        <v>24</v>
      </c>
      <c r="B36" s="1">
        <f>SUM(B34:B35)</f>
        <v>6207671</v>
      </c>
      <c r="C36" s="1">
        <f>SUM(C34:C35)</f>
        <v>19153675</v>
      </c>
    </row>
    <row r="38" spans="1:3" ht="13" x14ac:dyDescent="0.3">
      <c r="A38" s="2" t="s">
        <v>25</v>
      </c>
    </row>
    <row r="39" spans="1:3" x14ac:dyDescent="0.25">
      <c r="A39" s="1" t="s">
        <v>26</v>
      </c>
      <c r="B39" s="1">
        <v>-2461470</v>
      </c>
      <c r="C39" s="1">
        <v>-7839481</v>
      </c>
    </row>
    <row r="40" spans="1:3" x14ac:dyDescent="0.25">
      <c r="A40" s="1" t="s">
        <v>27</v>
      </c>
      <c r="B40" s="1">
        <f>B13</f>
        <v>-400000</v>
      </c>
      <c r="C40" s="1">
        <f>C13-B13</f>
        <v>-1303085.33</v>
      </c>
    </row>
    <row r="41" spans="1:3" x14ac:dyDescent="0.25">
      <c r="A41" s="1" t="s">
        <v>28</v>
      </c>
      <c r="B41" s="1">
        <v>-1866614</v>
      </c>
      <c r="C41" s="1">
        <v>-6045369</v>
      </c>
    </row>
    <row r="42" spans="1:3" x14ac:dyDescent="0.25">
      <c r="A42" s="1" t="s">
        <v>29</v>
      </c>
      <c r="B42" s="1">
        <f ca="1">-6%*B24</f>
        <v>-50763.474351518096</v>
      </c>
      <c r="C42" s="1">
        <f ca="1">-10%*B24+6%*C25</f>
        <v>-84605.790585863506</v>
      </c>
    </row>
    <row r="43" spans="1:3" x14ac:dyDescent="0.25">
      <c r="A43" s="1" t="s">
        <v>30</v>
      </c>
      <c r="B43" s="1">
        <f>5%*B6</f>
        <v>100812.25</v>
      </c>
      <c r="C43" s="1">
        <f>6%*B6+5%*(C6-B6)</f>
        <v>171361.9</v>
      </c>
    </row>
    <row r="44" spans="1:3" x14ac:dyDescent="0.25">
      <c r="A44" s="1" t="s">
        <v>31</v>
      </c>
      <c r="B44" s="1">
        <f ca="1">B36+SUM(B39:B43)</f>
        <v>1529635.7756484821</v>
      </c>
      <c r="C44" s="1">
        <f ca="1">C36+SUM(C39:C43)</f>
        <v>4052495.779414136</v>
      </c>
    </row>
    <row r="45" spans="1:3" x14ac:dyDescent="0.25">
      <c r="A45" s="1" t="s">
        <v>32</v>
      </c>
      <c r="B45" s="1">
        <f ca="1">-41.3%*B44</f>
        <v>-631739.57534282305</v>
      </c>
      <c r="C45" s="1">
        <f ca="1">-41.8%*C44</f>
        <v>-1693943.2357951088</v>
      </c>
    </row>
    <row r="46" spans="1:3" x14ac:dyDescent="0.25">
      <c r="A46" s="1" t="s">
        <v>33</v>
      </c>
      <c r="B46" s="1">
        <f ca="1">SUM(B44:B45)</f>
        <v>897896.20030565909</v>
      </c>
      <c r="C46" s="1">
        <f ca="1">SUM(C44:C45)</f>
        <v>2358552.5436190274</v>
      </c>
    </row>
    <row r="50" spans="1:3" ht="18" x14ac:dyDescent="0.4">
      <c r="A50" s="44" t="s">
        <v>80</v>
      </c>
    </row>
    <row r="51" spans="1:3" ht="13" x14ac:dyDescent="0.3">
      <c r="A51" s="2"/>
      <c r="B51" s="6">
        <v>2014</v>
      </c>
      <c r="C51" s="6">
        <v>2015</v>
      </c>
    </row>
    <row r="52" spans="1:3" x14ac:dyDescent="0.25">
      <c r="A52" s="5" t="s">
        <v>33</v>
      </c>
      <c r="B52" s="1">
        <f ca="1">B46</f>
        <v>897896.20030565909</v>
      </c>
      <c r="C52" s="1">
        <f ca="1">C46</f>
        <v>2358552.5436190274</v>
      </c>
    </row>
    <row r="53" spans="1:3" x14ac:dyDescent="0.25">
      <c r="A53" s="1" t="s">
        <v>34</v>
      </c>
      <c r="B53" s="1">
        <f>-B40</f>
        <v>400000</v>
      </c>
      <c r="C53" s="1">
        <f>-C40</f>
        <v>1303085.33</v>
      </c>
    </row>
    <row r="54" spans="1:3" x14ac:dyDescent="0.25">
      <c r="A54" s="1" t="s">
        <v>35</v>
      </c>
      <c r="B54" s="1">
        <f ca="1">-B42*(1+B45/B44)</f>
        <v>29798.15944434112</v>
      </c>
      <c r="C54" s="1">
        <f ca="1">-C42*(1+C45/C44)</f>
        <v>49240.570120972567</v>
      </c>
    </row>
    <row r="55" spans="1:3" x14ac:dyDescent="0.25">
      <c r="A55" s="5" t="s">
        <v>36</v>
      </c>
      <c r="B55" s="1">
        <f ca="1">-B43*(1+B45/B44)</f>
        <v>-59176.79075</v>
      </c>
      <c r="C55" s="1">
        <f ca="1">-C43*(1+C45/C44)</f>
        <v>-99732.625800000009</v>
      </c>
    </row>
    <row r="56" spans="1:3" x14ac:dyDescent="0.25">
      <c r="A56" s="1" t="s">
        <v>64</v>
      </c>
      <c r="B56" s="1">
        <f>-SUM(B7:B9)</f>
        <v>-1856201</v>
      </c>
      <c r="C56" s="1">
        <f>-SUM(C7:C9)</f>
        <v>-5959511</v>
      </c>
    </row>
    <row r="57" spans="1:3" x14ac:dyDescent="0.25">
      <c r="A57" s="5" t="s">
        <v>66</v>
      </c>
      <c r="B57" s="1">
        <f ca="1">SUM(B20:B22)</f>
        <v>1117492.8938357057</v>
      </c>
      <c r="C57" s="1">
        <f ca="1">SUM(C20:C22)-SUM(B20:B22)</f>
        <v>2728452.9151130714</v>
      </c>
    </row>
    <row r="58" spans="1:3" x14ac:dyDescent="0.25">
      <c r="A58" s="1" t="s">
        <v>65</v>
      </c>
      <c r="B58" s="1">
        <f>-B12</f>
        <v>-4000000</v>
      </c>
      <c r="C58" s="1">
        <f>-C12+B12</f>
        <v>-9030853.2999999989</v>
      </c>
    </row>
    <row r="59" spans="1:3" ht="13" x14ac:dyDescent="0.3">
      <c r="A59" s="2" t="s">
        <v>67</v>
      </c>
      <c r="B59" s="1">
        <f ca="1">SUM(B52:B58)</f>
        <v>-3470190.5371642942</v>
      </c>
      <c r="C59" s="1">
        <f ca="1">SUM(C52:C58)</f>
        <v>-8650765.5669469275</v>
      </c>
    </row>
  </sheetData>
  <phoneticPr fontId="0" type="noConversion"/>
  <printOptions headings="1" gridLines="1"/>
  <pageMargins left="0.75" right="0.75" top="1" bottom="1" header="0.5" footer="0.5"/>
  <pageSetup paperSize="9" scale="91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</sheetPr>
  <dimension ref="A2:H97"/>
  <sheetViews>
    <sheetView zoomScale="66" zoomScaleNormal="66" workbookViewId="0">
      <pane xSplit="1" topLeftCell="B1" activePane="topRight" state="frozen"/>
      <selection activeCell="A14" sqref="A14"/>
      <selection pane="topRight" activeCell="G9" sqref="G9"/>
    </sheetView>
  </sheetViews>
  <sheetFormatPr defaultColWidth="9" defaultRowHeight="11.5" x14ac:dyDescent="0.25"/>
  <cols>
    <col min="1" max="1" width="50.453125" style="9" customWidth="1"/>
    <col min="2" max="2" width="12" style="9" customWidth="1"/>
    <col min="3" max="7" width="13.54296875" style="9" bestFit="1" customWidth="1"/>
    <col min="8" max="16384" width="9" style="9"/>
  </cols>
  <sheetData>
    <row r="2" spans="1:8" x14ac:dyDescent="0.25">
      <c r="B2" s="10" t="s">
        <v>40</v>
      </c>
      <c r="C2" s="10"/>
    </row>
    <row r="3" spans="1:8" x14ac:dyDescent="0.25">
      <c r="B3" s="10" t="s">
        <v>41</v>
      </c>
      <c r="C3" s="10"/>
    </row>
    <row r="4" spans="1:8" x14ac:dyDescent="0.25">
      <c r="B4" s="11"/>
      <c r="C4" s="11" t="s">
        <v>62</v>
      </c>
    </row>
    <row r="5" spans="1:8" x14ac:dyDescent="0.25">
      <c r="B5" s="11" t="s">
        <v>57</v>
      </c>
      <c r="C5" s="11" t="s">
        <v>43</v>
      </c>
    </row>
    <row r="6" spans="1:8" x14ac:dyDescent="0.25">
      <c r="B6" s="12">
        <v>2016</v>
      </c>
      <c r="C6" s="13">
        <v>28048500</v>
      </c>
    </row>
    <row r="7" spans="1:8" x14ac:dyDescent="0.25">
      <c r="B7" s="12">
        <v>2017</v>
      </c>
      <c r="C7" s="13">
        <v>42021000</v>
      </c>
    </row>
    <row r="8" spans="1:8" x14ac:dyDescent="0.25">
      <c r="B8" s="12">
        <v>2018</v>
      </c>
      <c r="C8" s="13">
        <v>55993500</v>
      </c>
    </row>
    <row r="9" spans="1:8" x14ac:dyDescent="0.25">
      <c r="B9" s="12">
        <v>2019</v>
      </c>
      <c r="C9" s="13">
        <v>69966000</v>
      </c>
    </row>
    <row r="10" spans="1:8" x14ac:dyDescent="0.25">
      <c r="B10" s="12">
        <v>2020</v>
      </c>
      <c r="C10" s="13">
        <v>93938500</v>
      </c>
    </row>
    <row r="11" spans="1:8" x14ac:dyDescent="0.25">
      <c r="C11" s="13"/>
    </row>
    <row r="12" spans="1:8" x14ac:dyDescent="0.25">
      <c r="C12" s="13"/>
    </row>
    <row r="13" spans="1:8" x14ac:dyDescent="0.25">
      <c r="A13" s="10" t="s">
        <v>44</v>
      </c>
      <c r="B13" s="10"/>
      <c r="C13" s="14"/>
      <c r="D13" s="10"/>
      <c r="E13" s="10"/>
      <c r="F13" s="10"/>
      <c r="G13" s="10"/>
      <c r="H13" s="10"/>
    </row>
    <row r="14" spans="1:8" x14ac:dyDescent="0.25">
      <c r="C14" s="13"/>
    </row>
    <row r="15" spans="1:8" x14ac:dyDescent="0.25">
      <c r="A15" s="15" t="s">
        <v>45</v>
      </c>
      <c r="C15" s="13"/>
    </row>
    <row r="16" spans="1:8" x14ac:dyDescent="0.25">
      <c r="A16" s="15"/>
      <c r="C16" s="13"/>
    </row>
    <row r="17" spans="1:8" x14ac:dyDescent="0.25">
      <c r="A17" s="15" t="s">
        <v>57</v>
      </c>
      <c r="B17" s="15">
        <v>2015</v>
      </c>
      <c r="C17" s="15">
        <v>2016</v>
      </c>
      <c r="D17" s="15">
        <v>2017</v>
      </c>
      <c r="E17" s="15">
        <v>2018</v>
      </c>
      <c r="F17" s="15">
        <v>2019</v>
      </c>
      <c r="G17" s="15">
        <v>2020</v>
      </c>
    </row>
    <row r="18" spans="1:8" x14ac:dyDescent="0.25">
      <c r="A18" s="9" t="s">
        <v>46</v>
      </c>
      <c r="C18" s="16">
        <f>20%</f>
        <v>0.2</v>
      </c>
      <c r="D18" s="16">
        <f>15%</f>
        <v>0.15</v>
      </c>
      <c r="E18" s="16">
        <v>0.1</v>
      </c>
      <c r="F18" s="16">
        <v>0.1</v>
      </c>
      <c r="G18" s="17">
        <v>0.1</v>
      </c>
    </row>
    <row r="19" spans="1:8" x14ac:dyDescent="0.25">
      <c r="A19" s="9" t="s">
        <v>3</v>
      </c>
      <c r="B19" s="17"/>
      <c r="C19" s="18">
        <v>0.22</v>
      </c>
      <c r="D19" s="19"/>
      <c r="E19" s="19"/>
      <c r="F19" s="19"/>
      <c r="G19" s="19"/>
      <c r="H19" s="18"/>
    </row>
    <row r="20" spans="1:8" x14ac:dyDescent="0.25">
      <c r="A20" s="9" t="s">
        <v>4</v>
      </c>
      <c r="C20" s="19">
        <v>4.4999999999999998E-2</v>
      </c>
      <c r="D20" s="19">
        <v>0.05</v>
      </c>
      <c r="E20" s="19">
        <f>D20</f>
        <v>0.05</v>
      </c>
      <c r="F20" s="19">
        <f>E20</f>
        <v>0.05</v>
      </c>
      <c r="G20" s="19">
        <f>F20</f>
        <v>0.05</v>
      </c>
      <c r="H20" s="18"/>
    </row>
    <row r="21" spans="1:8" x14ac:dyDescent="0.25">
      <c r="A21" s="9" t="s">
        <v>5</v>
      </c>
      <c r="C21" s="17">
        <v>0.05</v>
      </c>
      <c r="D21" s="18"/>
      <c r="E21" s="18"/>
      <c r="F21" s="18"/>
      <c r="G21" s="18"/>
      <c r="H21" s="18"/>
    </row>
    <row r="22" spans="1:8" x14ac:dyDescent="0.25">
      <c r="C22" s="18"/>
      <c r="D22" s="18"/>
      <c r="E22" s="18"/>
      <c r="F22" s="18"/>
      <c r="G22" s="18"/>
      <c r="H22" s="18"/>
    </row>
    <row r="23" spans="1:8" s="20" customFormat="1" x14ac:dyDescent="0.25">
      <c r="A23" s="20" t="s">
        <v>91</v>
      </c>
      <c r="B23" s="17">
        <v>0.7</v>
      </c>
      <c r="C23" s="17">
        <v>0.65</v>
      </c>
      <c r="D23" s="16">
        <v>0.57999999999999996</v>
      </c>
      <c r="E23" s="16">
        <v>0.51</v>
      </c>
      <c r="F23" s="16">
        <v>0.5</v>
      </c>
      <c r="G23" s="16">
        <v>0.55000000000000004</v>
      </c>
      <c r="H23" s="21"/>
    </row>
    <row r="24" spans="1:8" x14ac:dyDescent="0.25">
      <c r="A24" s="9" t="s">
        <v>27</v>
      </c>
      <c r="C24" s="17">
        <v>0.1</v>
      </c>
    </row>
    <row r="25" spans="1:8" x14ac:dyDescent="0.25">
      <c r="C25" s="13"/>
    </row>
    <row r="26" spans="1:8" x14ac:dyDescent="0.25">
      <c r="A26" s="9" t="s">
        <v>12</v>
      </c>
      <c r="C26" s="17">
        <v>0.17</v>
      </c>
      <c r="D26" s="17">
        <v>0.18</v>
      </c>
      <c r="E26" s="17">
        <v>0.19</v>
      </c>
      <c r="F26" s="17">
        <v>0.2</v>
      </c>
      <c r="G26" s="17">
        <v>0.2</v>
      </c>
    </row>
    <row r="27" spans="1:8" x14ac:dyDescent="0.25">
      <c r="A27" s="9" t="s">
        <v>38</v>
      </c>
      <c r="C27" s="16">
        <v>0.25</v>
      </c>
    </row>
    <row r="28" spans="1:8" x14ac:dyDescent="0.25">
      <c r="A28" s="22" t="s">
        <v>14</v>
      </c>
      <c r="C28" s="17">
        <v>0.01</v>
      </c>
    </row>
    <row r="29" spans="1:8" x14ac:dyDescent="0.25">
      <c r="A29" s="22"/>
      <c r="C29" s="17"/>
    </row>
    <row r="30" spans="1:8" x14ac:dyDescent="0.25">
      <c r="A30" s="22" t="s">
        <v>29</v>
      </c>
      <c r="C30" s="17">
        <v>0.12</v>
      </c>
    </row>
    <row r="31" spans="1:8" x14ac:dyDescent="0.25">
      <c r="A31" s="22" t="s">
        <v>30</v>
      </c>
      <c r="C31" s="17">
        <v>0.06</v>
      </c>
    </row>
    <row r="32" spans="1:8" x14ac:dyDescent="0.25">
      <c r="A32" s="22" t="s">
        <v>26</v>
      </c>
      <c r="C32" s="17">
        <v>0.4</v>
      </c>
    </row>
    <row r="33" spans="1:7" s="16" customFormat="1" x14ac:dyDescent="0.25">
      <c r="A33" s="16" t="s">
        <v>28</v>
      </c>
      <c r="C33" s="16">
        <v>0.32</v>
      </c>
      <c r="D33" s="16">
        <f>C33-1%</f>
        <v>0.31</v>
      </c>
      <c r="E33" s="16">
        <f>D33-1%</f>
        <v>0.3</v>
      </c>
      <c r="F33" s="16">
        <f>E33-1%</f>
        <v>0.28999999999999998</v>
      </c>
      <c r="G33" s="16">
        <f>F33-1%</f>
        <v>0.27999999999999997</v>
      </c>
    </row>
    <row r="34" spans="1:7" x14ac:dyDescent="0.25">
      <c r="A34" s="22" t="s">
        <v>39</v>
      </c>
      <c r="C34" s="23">
        <v>0.41499999999999998</v>
      </c>
    </row>
    <row r="35" spans="1:7" x14ac:dyDescent="0.25">
      <c r="A35" s="22"/>
    </row>
    <row r="36" spans="1:7" x14ac:dyDescent="0.25">
      <c r="A36" s="22"/>
      <c r="B36" s="15">
        <v>2015</v>
      </c>
      <c r="C36" s="15">
        <v>2016</v>
      </c>
      <c r="D36" s="15">
        <v>2017</v>
      </c>
      <c r="E36" s="15">
        <v>2018</v>
      </c>
      <c r="F36" s="15">
        <v>2019</v>
      </c>
      <c r="G36" s="15">
        <v>2020</v>
      </c>
    </row>
    <row r="37" spans="1:7" x14ac:dyDescent="0.25">
      <c r="A37" s="24" t="s">
        <v>20</v>
      </c>
    </row>
    <row r="38" spans="1:7" x14ac:dyDescent="0.25">
      <c r="A38" s="24" t="s">
        <v>24</v>
      </c>
      <c r="B38" s="22">
        <f>'Financial Statements'!C34</f>
        <v>18977564</v>
      </c>
      <c r="C38" s="13">
        <v>28048500</v>
      </c>
      <c r="D38" s="13">
        <v>42021000</v>
      </c>
      <c r="E38" s="13">
        <v>55993500</v>
      </c>
      <c r="F38" s="13">
        <v>69966000</v>
      </c>
      <c r="G38" s="13">
        <v>93938500</v>
      </c>
    </row>
    <row r="39" spans="1:7" x14ac:dyDescent="0.25">
      <c r="A39" s="24"/>
      <c r="C39" s="13"/>
      <c r="D39" s="13"/>
      <c r="E39" s="13"/>
      <c r="F39" s="13"/>
      <c r="G39" s="13"/>
    </row>
    <row r="40" spans="1:7" x14ac:dyDescent="0.25">
      <c r="A40" s="24" t="s">
        <v>25</v>
      </c>
      <c r="C40" s="13"/>
      <c r="D40" s="13"/>
      <c r="E40" s="13"/>
      <c r="F40" s="13"/>
      <c r="G40" s="13"/>
    </row>
    <row r="41" spans="1:7" x14ac:dyDescent="0.25">
      <c r="A41" s="22" t="s">
        <v>47</v>
      </c>
      <c r="B41" s="25">
        <v>-7839481</v>
      </c>
      <c r="C41" s="34">
        <f>-$C$32*C38</f>
        <v>-11219400</v>
      </c>
      <c r="D41" s="34">
        <f t="shared" ref="D41:G41" si="0">-$C$32*D38</f>
        <v>-16808400</v>
      </c>
      <c r="E41" s="34">
        <f t="shared" si="0"/>
        <v>-22397400</v>
      </c>
      <c r="F41" s="34">
        <f t="shared" si="0"/>
        <v>-27986400</v>
      </c>
      <c r="G41" s="34">
        <f t="shared" si="0"/>
        <v>-37575400</v>
      </c>
    </row>
    <row r="42" spans="1:7" x14ac:dyDescent="0.25">
      <c r="A42" s="22" t="s">
        <v>27</v>
      </c>
      <c r="B42" s="25">
        <v>-1303085</v>
      </c>
      <c r="C42" s="34">
        <f>-$C$24*AVERAGE(B59:C59)</f>
        <v>-1563118.915</v>
      </c>
      <c r="D42" s="34">
        <f t="shared" ref="D42:G42" si="1">-$C$24*AVERAGE(C59:D59)</f>
        <v>-2130185.25</v>
      </c>
      <c r="E42" s="34">
        <f t="shared" si="1"/>
        <v>-2646443.25</v>
      </c>
      <c r="F42" s="34">
        <f t="shared" si="1"/>
        <v>-3176984.25</v>
      </c>
      <c r="G42" s="34">
        <f t="shared" si="1"/>
        <v>-4332458.75</v>
      </c>
    </row>
    <row r="43" spans="1:7" x14ac:dyDescent="0.25">
      <c r="A43" s="22" t="s">
        <v>28</v>
      </c>
      <c r="B43" s="25">
        <v>-6045369</v>
      </c>
      <c r="C43" s="33">
        <f>-C33*C38</f>
        <v>-8975520</v>
      </c>
      <c r="D43" s="33">
        <f t="shared" ref="D43:G43" si="2">-D33*D38</f>
        <v>-13026510</v>
      </c>
      <c r="E43" s="33">
        <f t="shared" si="2"/>
        <v>-16798050</v>
      </c>
      <c r="F43" s="33">
        <f t="shared" si="2"/>
        <v>-20290140</v>
      </c>
      <c r="G43" s="33">
        <f t="shared" si="2"/>
        <v>-26302779.999999996</v>
      </c>
    </row>
    <row r="44" spans="1:7" x14ac:dyDescent="0.25">
      <c r="A44" s="22" t="s">
        <v>29</v>
      </c>
      <c r="B44" s="25">
        <v>-84606</v>
      </c>
      <c r="C44" s="33">
        <f ca="1">-$C$30*AVERAGE(B72:C72)</f>
        <v>-1288093.2280665876</v>
      </c>
      <c r="D44" s="33">
        <f t="shared" ref="D44:G44" ca="1" si="3">-$C$30*AVERAGE(C72:D72)</f>
        <v>-1595609.0675431206</v>
      </c>
      <c r="E44" s="33">
        <f t="shared" ca="1" si="3"/>
        <v>-1280455.3222419424</v>
      </c>
      <c r="F44" s="33">
        <f t="shared" ca="1" si="3"/>
        <v>-577101.83389279887</v>
      </c>
      <c r="G44" s="33">
        <f t="shared" ca="1" si="3"/>
        <v>-327162.15303046437</v>
      </c>
    </row>
    <row r="45" spans="1:7" x14ac:dyDescent="0.25">
      <c r="A45" s="22" t="s">
        <v>30</v>
      </c>
      <c r="B45" s="40">
        <v>171362</v>
      </c>
      <c r="C45" s="33">
        <f>$C$31*AVERAGE(B52:C52)</f>
        <v>259010.66999999998</v>
      </c>
      <c r="D45" s="33">
        <f t="shared" ref="D45:G45" si="4">$C$31*AVERAGE(C52:D52)</f>
        <v>357385.5</v>
      </c>
      <c r="E45" s="33">
        <f t="shared" si="4"/>
        <v>357075</v>
      </c>
      <c r="F45" s="33">
        <f t="shared" si="4"/>
        <v>377878.5</v>
      </c>
      <c r="G45" s="33">
        <f t="shared" si="4"/>
        <v>491713.5</v>
      </c>
    </row>
    <row r="46" spans="1:7" x14ac:dyDescent="0.25">
      <c r="A46" s="22" t="s">
        <v>31</v>
      </c>
      <c r="B46" s="25">
        <f>SUM(B38:B45)</f>
        <v>3876385</v>
      </c>
      <c r="C46" s="33">
        <f ca="1">SUM(C38:C45)</f>
        <v>5261378.526933413</v>
      </c>
      <c r="D46" s="33">
        <f t="shared" ref="D46:G46" ca="1" si="5">SUM(D38:D45)</f>
        <v>8817681.1824568789</v>
      </c>
      <c r="E46" s="33">
        <f t="shared" ca="1" si="5"/>
        <v>13228226.427758057</v>
      </c>
      <c r="F46" s="33">
        <f t="shared" ca="1" si="5"/>
        <v>18313252.4161072</v>
      </c>
      <c r="G46" s="33">
        <f t="shared" ca="1" si="5"/>
        <v>25892412.596969541</v>
      </c>
    </row>
    <row r="47" spans="1:7" x14ac:dyDescent="0.25">
      <c r="A47" s="22" t="s">
        <v>32</v>
      </c>
      <c r="B47" s="40">
        <f>IF(B46&lt;0,0,-B46*C34)</f>
        <v>-1608699.7749999999</v>
      </c>
      <c r="C47" s="33">
        <f ca="1">-$C$34*C46</f>
        <v>-2183472.0886773663</v>
      </c>
      <c r="D47" s="33">
        <f t="shared" ref="D47:G47" ca="1" si="6">-$C$34*D46</f>
        <v>-3659337.6907196045</v>
      </c>
      <c r="E47" s="33">
        <f t="shared" ca="1" si="6"/>
        <v>-5489713.9675195934</v>
      </c>
      <c r="F47" s="33">
        <f t="shared" ca="1" si="6"/>
        <v>-7599999.752684488</v>
      </c>
      <c r="G47" s="33">
        <f t="shared" ca="1" si="6"/>
        <v>-10745351.227742359</v>
      </c>
    </row>
    <row r="48" spans="1:7" s="15" customFormat="1" x14ac:dyDescent="0.25">
      <c r="A48" s="24" t="s">
        <v>33</v>
      </c>
      <c r="B48" s="25">
        <f>SUM(B46:B47)</f>
        <v>2267685.2250000001</v>
      </c>
      <c r="C48" s="35">
        <f ca="1">SUM(C46:C47)</f>
        <v>3077906.4382560467</v>
      </c>
      <c r="D48" s="35">
        <f t="shared" ref="D48:G48" ca="1" si="7">SUM(D46:D47)</f>
        <v>5158343.4917372745</v>
      </c>
      <c r="E48" s="35">
        <f t="shared" ca="1" si="7"/>
        <v>7738512.4602384632</v>
      </c>
      <c r="F48" s="35">
        <f t="shared" ca="1" si="7"/>
        <v>10713252.663422711</v>
      </c>
      <c r="G48" s="35">
        <f t="shared" ca="1" si="7"/>
        <v>15147061.369227182</v>
      </c>
    </row>
    <row r="49" spans="1:7" s="15" customFormat="1" x14ac:dyDescent="0.25">
      <c r="A49" s="24"/>
      <c r="C49" s="26"/>
      <c r="D49" s="26"/>
      <c r="E49" s="26"/>
      <c r="F49" s="26"/>
      <c r="G49" s="26"/>
    </row>
    <row r="50" spans="1:7" x14ac:dyDescent="0.25">
      <c r="A50" s="24" t="s">
        <v>48</v>
      </c>
      <c r="C50" s="13"/>
      <c r="D50" s="13"/>
      <c r="E50" s="13"/>
      <c r="F50" s="13"/>
      <c r="G50" s="13"/>
    </row>
    <row r="51" spans="1:7" x14ac:dyDescent="0.25">
      <c r="A51" s="24" t="s">
        <v>1</v>
      </c>
      <c r="C51" s="13"/>
      <c r="D51" s="13"/>
      <c r="E51" s="13"/>
      <c r="F51" s="13"/>
      <c r="G51" s="13"/>
    </row>
    <row r="52" spans="1:7" x14ac:dyDescent="0.25">
      <c r="A52" s="22" t="s">
        <v>2</v>
      </c>
      <c r="B52" s="22">
        <f>'Financial Statements'!C6</f>
        <v>3023989</v>
      </c>
      <c r="C52" s="33">
        <f>C18*C38</f>
        <v>5609700</v>
      </c>
      <c r="D52" s="33">
        <f t="shared" ref="D52:G52" si="8">D18*D38</f>
        <v>6303150</v>
      </c>
      <c r="E52" s="33">
        <f t="shared" si="8"/>
        <v>5599350</v>
      </c>
      <c r="F52" s="33">
        <f t="shared" si="8"/>
        <v>6996600</v>
      </c>
      <c r="G52" s="33">
        <f t="shared" si="8"/>
        <v>9393850</v>
      </c>
    </row>
    <row r="53" spans="1:7" x14ac:dyDescent="0.25">
      <c r="A53" s="22" t="s">
        <v>3</v>
      </c>
      <c r="B53" s="22">
        <f>'Financial Statements'!C7</f>
        <v>4194238</v>
      </c>
      <c r="C53" s="33">
        <f>$C$19*C38</f>
        <v>6170670</v>
      </c>
      <c r="D53" s="33">
        <f t="shared" ref="D53:G53" si="9">$C$19*D38</f>
        <v>9244620</v>
      </c>
      <c r="E53" s="33">
        <f t="shared" si="9"/>
        <v>12318570</v>
      </c>
      <c r="F53" s="33">
        <f t="shared" si="9"/>
        <v>15392520</v>
      </c>
      <c r="G53" s="33">
        <f t="shared" si="9"/>
        <v>20666470</v>
      </c>
    </row>
    <row r="54" spans="1:7" x14ac:dyDescent="0.25">
      <c r="A54" s="22" t="s">
        <v>4</v>
      </c>
      <c r="B54" s="22">
        <f>'Financial Statements'!C8</f>
        <v>759104</v>
      </c>
      <c r="C54" s="33">
        <f>C20*C38</f>
        <v>1262182.5</v>
      </c>
      <c r="D54" s="33">
        <f t="shared" ref="D54:G54" si="10">D20*D38</f>
        <v>2101050</v>
      </c>
      <c r="E54" s="33">
        <f t="shared" si="10"/>
        <v>2799675</v>
      </c>
      <c r="F54" s="33">
        <f t="shared" si="10"/>
        <v>3498300</v>
      </c>
      <c r="G54" s="33">
        <f t="shared" si="10"/>
        <v>4696925</v>
      </c>
    </row>
    <row r="55" spans="1:7" x14ac:dyDescent="0.25">
      <c r="A55" s="22" t="s">
        <v>5</v>
      </c>
      <c r="B55" s="22">
        <f>'Financial Statements'!C9</f>
        <v>1006169</v>
      </c>
      <c r="C55" s="33">
        <f>$C$21*C38</f>
        <v>1402425</v>
      </c>
      <c r="D55" s="33">
        <f t="shared" ref="D55:G55" si="11">$C$21*D38</f>
        <v>2101050</v>
      </c>
      <c r="E55" s="33">
        <f t="shared" si="11"/>
        <v>2799675</v>
      </c>
      <c r="F55" s="33">
        <f t="shared" si="11"/>
        <v>3498300</v>
      </c>
      <c r="G55" s="33">
        <f t="shared" si="11"/>
        <v>4696925</v>
      </c>
    </row>
    <row r="56" spans="1:7" x14ac:dyDescent="0.25">
      <c r="A56" s="24" t="s">
        <v>49</v>
      </c>
      <c r="B56" s="22">
        <f t="shared" ref="B56" si="12">SUM(B52:B55)</f>
        <v>8983500</v>
      </c>
      <c r="C56" s="33">
        <f>SUM(C52:C55)</f>
        <v>14444977.5</v>
      </c>
      <c r="D56" s="33">
        <f t="shared" ref="D56:G56" si="13">SUM(D52:D55)</f>
        <v>19749870</v>
      </c>
      <c r="E56" s="33">
        <f t="shared" si="13"/>
        <v>23517270</v>
      </c>
      <c r="F56" s="33">
        <f t="shared" si="13"/>
        <v>29385720</v>
      </c>
      <c r="G56" s="33">
        <f t="shared" si="13"/>
        <v>39454170</v>
      </c>
    </row>
    <row r="57" spans="1:7" x14ac:dyDescent="0.25">
      <c r="A57" s="22"/>
      <c r="C57" s="13"/>
      <c r="D57" s="13"/>
      <c r="E57" s="13"/>
      <c r="F57" s="13"/>
      <c r="G57" s="13"/>
    </row>
    <row r="58" spans="1:7" x14ac:dyDescent="0.25">
      <c r="A58" s="24" t="s">
        <v>6</v>
      </c>
      <c r="C58" s="13"/>
      <c r="D58" s="13"/>
      <c r="E58" s="13"/>
      <c r="F58" s="13"/>
      <c r="G58" s="13"/>
    </row>
    <row r="59" spans="1:7" x14ac:dyDescent="0.25">
      <c r="A59" s="22" t="s">
        <v>7</v>
      </c>
      <c r="B59" s="22">
        <f>'Financial Statements'!C12</f>
        <v>13030853.299999999</v>
      </c>
      <c r="C59" s="33">
        <f>C23*C38</f>
        <v>18231525</v>
      </c>
      <c r="D59" s="33">
        <f t="shared" ref="D59:G59" si="14">D23*D38</f>
        <v>24372180</v>
      </c>
      <c r="E59" s="33">
        <f t="shared" si="14"/>
        <v>28556685</v>
      </c>
      <c r="F59" s="33">
        <f t="shared" si="14"/>
        <v>34983000</v>
      </c>
      <c r="G59" s="33">
        <f t="shared" si="14"/>
        <v>51666175.000000007</v>
      </c>
    </row>
    <row r="60" spans="1:7" x14ac:dyDescent="0.25">
      <c r="A60" s="22" t="s">
        <v>8</v>
      </c>
      <c r="B60" s="27">
        <f>'Financial Statements'!C13</f>
        <v>-1703085.33</v>
      </c>
      <c r="C60" s="33">
        <f>B60+C42</f>
        <v>-3266204.2450000001</v>
      </c>
      <c r="D60" s="33">
        <f t="shared" ref="D60:G60" si="15">C60+D42</f>
        <v>-5396389.4950000001</v>
      </c>
      <c r="E60" s="33">
        <f t="shared" si="15"/>
        <v>-8042832.7450000001</v>
      </c>
      <c r="F60" s="33">
        <f t="shared" si="15"/>
        <v>-11219816.995000001</v>
      </c>
      <c r="G60" s="33">
        <f t="shared" si="15"/>
        <v>-15552275.745000001</v>
      </c>
    </row>
    <row r="61" spans="1:7" x14ac:dyDescent="0.25">
      <c r="A61" s="22" t="s">
        <v>9</v>
      </c>
      <c r="B61" s="22">
        <f>SUM(B59:B60)</f>
        <v>11327767.969999999</v>
      </c>
      <c r="C61" s="36">
        <f>SUM(C59:C60)</f>
        <v>14965320.754999999</v>
      </c>
      <c r="D61" s="36">
        <f t="shared" ref="D61:G61" si="16">SUM(D59:D60)</f>
        <v>18975790.504999999</v>
      </c>
      <c r="E61" s="36">
        <f t="shared" si="16"/>
        <v>20513852.254999999</v>
      </c>
      <c r="F61" s="36">
        <f t="shared" si="16"/>
        <v>23763183.004999999</v>
      </c>
      <c r="G61" s="36">
        <f t="shared" si="16"/>
        <v>36113899.25500001</v>
      </c>
    </row>
    <row r="62" spans="1:7" x14ac:dyDescent="0.25">
      <c r="A62" s="22"/>
      <c r="C62" s="13"/>
      <c r="D62" s="13"/>
      <c r="E62" s="13"/>
      <c r="F62" s="13"/>
      <c r="G62" s="13"/>
    </row>
    <row r="63" spans="1:7" x14ac:dyDescent="0.25">
      <c r="A63" s="24" t="s">
        <v>10</v>
      </c>
      <c r="B63" s="13">
        <f t="shared" ref="B63" si="17">B56+B61</f>
        <v>20311267.969999999</v>
      </c>
      <c r="C63" s="33">
        <f>C56+C61</f>
        <v>29410298.254999999</v>
      </c>
      <c r="D63" s="33">
        <f t="shared" ref="D63:G63" si="18">D56+D61</f>
        <v>38725660.504999995</v>
      </c>
      <c r="E63" s="33">
        <f t="shared" si="18"/>
        <v>44031122.254999995</v>
      </c>
      <c r="F63" s="33">
        <f t="shared" si="18"/>
        <v>53148903.004999995</v>
      </c>
      <c r="G63" s="33">
        <f t="shared" si="18"/>
        <v>75568069.25500001</v>
      </c>
    </row>
    <row r="64" spans="1:7" x14ac:dyDescent="0.25">
      <c r="A64" s="22"/>
      <c r="C64" s="13"/>
      <c r="D64" s="13"/>
      <c r="E64" s="13"/>
      <c r="F64" s="13"/>
      <c r="G64" s="13"/>
    </row>
    <row r="65" spans="1:7" x14ac:dyDescent="0.25">
      <c r="A65" s="22"/>
      <c r="C65" s="13"/>
      <c r="D65" s="13"/>
      <c r="E65" s="13"/>
      <c r="F65" s="13"/>
      <c r="G65" s="13"/>
    </row>
    <row r="66" spans="1:7" x14ac:dyDescent="0.25">
      <c r="A66" s="24" t="s">
        <v>11</v>
      </c>
      <c r="C66" s="13"/>
      <c r="D66" s="13"/>
      <c r="E66" s="13"/>
      <c r="F66" s="13"/>
      <c r="G66" s="13"/>
    </row>
    <row r="67" spans="1:7" x14ac:dyDescent="0.25">
      <c r="A67" s="22" t="s">
        <v>12</v>
      </c>
      <c r="B67" s="22">
        <f>'Financial Statements'!C20</f>
        <v>3271271</v>
      </c>
      <c r="C67" s="33">
        <f>C26*C38</f>
        <v>4768245</v>
      </c>
      <c r="D67" s="33">
        <f t="shared" ref="D67:G67" si="19">D26*D38</f>
        <v>7563780</v>
      </c>
      <c r="E67" s="33">
        <f t="shared" si="19"/>
        <v>10638765</v>
      </c>
      <c r="F67" s="33">
        <f t="shared" si="19"/>
        <v>13993200</v>
      </c>
      <c r="G67" s="33">
        <f t="shared" si="19"/>
        <v>18787700</v>
      </c>
    </row>
    <row r="68" spans="1:7" x14ac:dyDescent="0.25">
      <c r="A68" s="22" t="s">
        <v>13</v>
      </c>
      <c r="B68" s="22">
        <f ca="1">'Financial Statements'!C21</f>
        <v>423485.80894877721</v>
      </c>
      <c r="C68" s="33">
        <f ca="1">-$C$27*C47</f>
        <v>545868.02216934157</v>
      </c>
      <c r="D68" s="33">
        <f t="shared" ref="D68:G68" ca="1" si="20">-$C$27*D47</f>
        <v>914834.42267990112</v>
      </c>
      <c r="E68" s="33">
        <f t="shared" ca="1" si="20"/>
        <v>1372428.4918798984</v>
      </c>
      <c r="F68" s="33">
        <f t="shared" ca="1" si="20"/>
        <v>1899999.938171122</v>
      </c>
      <c r="G68" s="33">
        <f t="shared" ca="1" si="20"/>
        <v>2686337.8069355898</v>
      </c>
    </row>
    <row r="69" spans="1:7" x14ac:dyDescent="0.25">
      <c r="A69" s="22" t="s">
        <v>14</v>
      </c>
      <c r="B69" s="22">
        <f>'Financial Statements'!C22</f>
        <v>151189</v>
      </c>
      <c r="C69" s="33">
        <f>$C$28*C38</f>
        <v>280485</v>
      </c>
      <c r="D69" s="33">
        <f t="shared" ref="D69:G69" si="21">$C$28*D38</f>
        <v>420210</v>
      </c>
      <c r="E69" s="33">
        <f t="shared" si="21"/>
        <v>559935</v>
      </c>
      <c r="F69" s="33">
        <f t="shared" si="21"/>
        <v>699660</v>
      </c>
      <c r="G69" s="33">
        <f t="shared" si="21"/>
        <v>939385</v>
      </c>
    </row>
    <row r="70" spans="1:7" x14ac:dyDescent="0.25">
      <c r="A70" s="24" t="s">
        <v>50</v>
      </c>
      <c r="B70" s="22">
        <f t="shared" ref="B70" ca="1" si="22">SUM(B67:B69)</f>
        <v>3845945.8089487772</v>
      </c>
      <c r="C70" s="33">
        <f ca="1">SUM(C67:C69)</f>
        <v>5594598.0221693413</v>
      </c>
      <c r="D70" s="33">
        <f t="shared" ref="D70:G70" ca="1" si="23">SUM(D67:D69)</f>
        <v>8898824.4226799011</v>
      </c>
      <c r="E70" s="33">
        <f t="shared" ca="1" si="23"/>
        <v>12571128.491879899</v>
      </c>
      <c r="F70" s="33">
        <f t="shared" ca="1" si="23"/>
        <v>16592859.938171122</v>
      </c>
      <c r="G70" s="33">
        <f t="shared" ca="1" si="23"/>
        <v>22413422.80693559</v>
      </c>
    </row>
    <row r="71" spans="1:7" x14ac:dyDescent="0.25">
      <c r="A71" s="22"/>
      <c r="C71" s="13"/>
      <c r="D71" s="13"/>
      <c r="E71" s="13"/>
      <c r="F71" s="13"/>
      <c r="G71" s="13"/>
    </row>
    <row r="72" spans="1:7" ht="14.5" x14ac:dyDescent="0.35">
      <c r="A72" s="22" t="s">
        <v>15</v>
      </c>
      <c r="B72" s="72">
        <f ca="1">'Financial Statements'!C24</f>
        <v>8597874.4171265345</v>
      </c>
      <c r="C72" s="73">
        <f ca="1">C63-C70-C75-C76</f>
        <v>12870346.050649926</v>
      </c>
      <c r="D72" s="73">
        <f t="shared" ref="D72:G72" ca="1" si="24">D63-D70-D75-D76</f>
        <v>13723138.408402085</v>
      </c>
      <c r="E72" s="73">
        <f t="shared" ca="1" si="24"/>
        <v>7617783.6289636232</v>
      </c>
      <c r="F72" s="73">
        <f t="shared" ca="1" si="24"/>
        <v>2000580.2692496926</v>
      </c>
      <c r="G72" s="73">
        <f t="shared" ca="1" si="24"/>
        <v>3452122.2812580466</v>
      </c>
    </row>
    <row r="73" spans="1:7" x14ac:dyDescent="0.25">
      <c r="A73" s="22"/>
      <c r="C73" s="13"/>
      <c r="D73" s="13"/>
      <c r="E73" s="13"/>
      <c r="F73" s="13"/>
      <c r="G73" s="13"/>
    </row>
    <row r="74" spans="1:7" x14ac:dyDescent="0.25">
      <c r="A74" s="24" t="s">
        <v>16</v>
      </c>
      <c r="C74" s="13"/>
      <c r="D74" s="13"/>
      <c r="E74" s="13"/>
      <c r="F74" s="13"/>
      <c r="G74" s="13"/>
    </row>
    <row r="75" spans="1:7" x14ac:dyDescent="0.25">
      <c r="A75" s="22" t="s">
        <v>17</v>
      </c>
      <c r="B75" s="22">
        <f>'Financial Statements'!C27</f>
        <v>4610999</v>
      </c>
      <c r="C75" s="36">
        <f>B75</f>
        <v>4610999</v>
      </c>
      <c r="D75" s="36">
        <f t="shared" ref="D75:G75" si="25">C75</f>
        <v>4610999</v>
      </c>
      <c r="E75" s="36">
        <f t="shared" si="25"/>
        <v>4610999</v>
      </c>
      <c r="F75" s="36">
        <f t="shared" si="25"/>
        <v>4610999</v>
      </c>
      <c r="G75" s="36">
        <f t="shared" si="25"/>
        <v>4610999</v>
      </c>
    </row>
    <row r="76" spans="1:7" x14ac:dyDescent="0.25">
      <c r="A76" s="22" t="s">
        <v>18</v>
      </c>
      <c r="B76" s="22">
        <f ca="1">'Financial Statements'!C28</f>
        <v>3256448.7439246867</v>
      </c>
      <c r="C76" s="33">
        <f ca="1">B76+C48</f>
        <v>6334355.1821807334</v>
      </c>
      <c r="D76" s="33">
        <f t="shared" ref="D76:G76" ca="1" si="26">C76+D48</f>
        <v>11492698.673918009</v>
      </c>
      <c r="E76" s="33">
        <f t="shared" ca="1" si="26"/>
        <v>19231211.134156473</v>
      </c>
      <c r="F76" s="33">
        <f t="shared" ca="1" si="26"/>
        <v>29944463.797579184</v>
      </c>
      <c r="G76" s="33">
        <f t="shared" ca="1" si="26"/>
        <v>45091525.16680637</v>
      </c>
    </row>
    <row r="77" spans="1:7" x14ac:dyDescent="0.25">
      <c r="A77" s="24" t="s">
        <v>19</v>
      </c>
      <c r="B77" s="13">
        <f ca="1">B70+B72+B75+B76</f>
        <v>20311267.969999999</v>
      </c>
      <c r="C77" s="45">
        <f ca="1">C75+C76+C70+C72</f>
        <v>29410298.254999999</v>
      </c>
      <c r="D77" s="45">
        <f t="shared" ref="D77:G77" ca="1" si="27">D75+D76+D70+D72</f>
        <v>38725660.504999995</v>
      </c>
      <c r="E77" s="45">
        <f t="shared" ca="1" si="27"/>
        <v>44031122.254999995</v>
      </c>
      <c r="F77" s="45">
        <f t="shared" ca="1" si="27"/>
        <v>53148903.004999995</v>
      </c>
      <c r="G77" s="45">
        <f t="shared" ca="1" si="27"/>
        <v>75568069.25500001</v>
      </c>
    </row>
    <row r="78" spans="1:7" x14ac:dyDescent="0.25">
      <c r="A78" s="22"/>
      <c r="C78" s="13"/>
      <c r="D78" s="13"/>
      <c r="E78" s="13"/>
      <c r="F78" s="13"/>
      <c r="G78" s="13"/>
    </row>
    <row r="79" spans="1:7" x14ac:dyDescent="0.25">
      <c r="A79" s="22"/>
      <c r="C79" s="13"/>
      <c r="D79" s="13"/>
      <c r="E79" s="13"/>
      <c r="F79" s="13"/>
      <c r="G79" s="13"/>
    </row>
    <row r="80" spans="1:7" x14ac:dyDescent="0.25">
      <c r="A80" s="24"/>
      <c r="C80" s="28"/>
      <c r="D80" s="28"/>
      <c r="E80" s="28"/>
      <c r="F80" s="28"/>
      <c r="G80" s="28"/>
    </row>
    <row r="81" spans="1:7" x14ac:dyDescent="0.25">
      <c r="A81" s="22"/>
      <c r="C81" s="13"/>
      <c r="D81" s="13"/>
      <c r="E81" s="13"/>
      <c r="F81" s="13"/>
      <c r="G81" s="13"/>
    </row>
    <row r="82" spans="1:7" x14ac:dyDescent="0.25">
      <c r="A82" s="22"/>
      <c r="C82" s="13"/>
      <c r="D82" s="13"/>
      <c r="E82" s="13"/>
      <c r="F82" s="13"/>
      <c r="G82" s="13"/>
    </row>
    <row r="83" spans="1:7" x14ac:dyDescent="0.25">
      <c r="A83" s="22"/>
      <c r="C83" s="13"/>
      <c r="D83" s="13"/>
      <c r="E83" s="13"/>
      <c r="F83" s="13"/>
      <c r="G83" s="13"/>
    </row>
    <row r="84" spans="1:7" x14ac:dyDescent="0.25">
      <c r="A84" s="22"/>
      <c r="C84" s="13"/>
      <c r="D84" s="13"/>
      <c r="E84" s="13"/>
      <c r="F84" s="13"/>
      <c r="G84" s="13"/>
    </row>
    <row r="85" spans="1:7" x14ac:dyDescent="0.25">
      <c r="A85" s="22"/>
      <c r="C85" s="13"/>
      <c r="D85" s="13"/>
      <c r="E85" s="13"/>
      <c r="F85" s="13"/>
      <c r="G85" s="13"/>
    </row>
    <row r="86" spans="1:7" x14ac:dyDescent="0.25">
      <c r="A86" s="22"/>
      <c r="C86" s="13"/>
      <c r="D86" s="13"/>
      <c r="E86" s="13"/>
      <c r="F86" s="13"/>
      <c r="G86" s="13"/>
    </row>
    <row r="87" spans="1:7" x14ac:dyDescent="0.25">
      <c r="A87" s="22"/>
      <c r="C87" s="13"/>
      <c r="D87" s="13"/>
      <c r="E87" s="13"/>
      <c r="F87" s="13"/>
      <c r="G87" s="13"/>
    </row>
    <row r="88" spans="1:7" x14ac:dyDescent="0.25">
      <c r="A88" s="24"/>
      <c r="C88" s="13"/>
      <c r="D88" s="13"/>
      <c r="E88" s="13"/>
      <c r="F88" s="13"/>
      <c r="G88" s="13"/>
    </row>
    <row r="89" spans="1:7" x14ac:dyDescent="0.25">
      <c r="A89" s="22"/>
      <c r="C89" s="13"/>
      <c r="D89" s="13"/>
      <c r="E89" s="13"/>
      <c r="F89" s="13"/>
      <c r="G89" s="13"/>
    </row>
    <row r="90" spans="1:7" x14ac:dyDescent="0.25">
      <c r="A90" s="22"/>
      <c r="B90" s="17"/>
      <c r="C90" s="13"/>
      <c r="D90" s="13"/>
      <c r="E90" s="13"/>
      <c r="F90" s="13"/>
      <c r="G90" s="13"/>
    </row>
    <row r="91" spans="1:7" x14ac:dyDescent="0.25">
      <c r="A91" s="22"/>
      <c r="B91" s="17"/>
      <c r="C91" s="13"/>
      <c r="D91" s="13"/>
      <c r="E91" s="13"/>
      <c r="F91" s="13"/>
      <c r="G91" s="13"/>
    </row>
    <row r="92" spans="1:7" x14ac:dyDescent="0.25">
      <c r="A92" s="22"/>
    </row>
    <row r="93" spans="1:7" x14ac:dyDescent="0.25">
      <c r="A93" s="22"/>
      <c r="B93" s="25"/>
    </row>
    <row r="94" spans="1:7" x14ac:dyDescent="0.25">
      <c r="A94" s="22"/>
      <c r="B94" s="25"/>
    </row>
    <row r="95" spans="1:7" x14ac:dyDescent="0.25">
      <c r="A95" s="22"/>
      <c r="B95" s="13"/>
    </row>
    <row r="96" spans="1:7" x14ac:dyDescent="0.25">
      <c r="B96" s="25"/>
    </row>
    <row r="97" spans="2:2" x14ac:dyDescent="0.25">
      <c r="B97" s="13"/>
    </row>
  </sheetData>
  <phoneticPr fontId="0" type="noConversion"/>
  <printOptions headings="1" gridLines="1"/>
  <pageMargins left="0.75" right="0.75" top="1" bottom="1" header="0.5" footer="0.5"/>
  <pageSetup scale="70" orientation="portrait" verticalDpi="300" r:id="rId1"/>
  <headerFooter alignWithMargins="0">
    <oddHeader>&amp;CInitial Model with Negative Debt</oddHeader>
    <oddFooter>&amp;C&amp;P</oddFooter>
  </headerFooter>
  <colBreaks count="1" manualBreakCount="1">
    <brk id="7" max="7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  <pageSetUpPr fitToPage="1"/>
  </sheetPr>
  <dimension ref="A1:H106"/>
  <sheetViews>
    <sheetView zoomScale="63" zoomScaleNormal="63" workbookViewId="0">
      <pane xSplit="1" topLeftCell="B1" activePane="topRight" state="frozen"/>
      <selection activeCell="A78" sqref="A78"/>
      <selection pane="topRight" activeCell="F7" sqref="F7"/>
    </sheetView>
  </sheetViews>
  <sheetFormatPr defaultColWidth="9" defaultRowHeight="11.5" x14ac:dyDescent="0.25"/>
  <cols>
    <col min="1" max="1" width="47" style="9" customWidth="1"/>
    <col min="2" max="7" width="14.26953125" style="9" customWidth="1"/>
    <col min="8" max="16384" width="9" style="9"/>
  </cols>
  <sheetData>
    <row r="1" spans="1:8" x14ac:dyDescent="0.25">
      <c r="B1" s="10"/>
      <c r="C1" s="14"/>
      <c r="D1" s="10"/>
      <c r="E1" s="10"/>
      <c r="F1" s="10"/>
      <c r="G1" s="10"/>
      <c r="H1" s="10"/>
    </row>
    <row r="2" spans="1:8" x14ac:dyDescent="0.25">
      <c r="B2" s="10" t="s">
        <v>40</v>
      </c>
      <c r="C2" s="10"/>
    </row>
    <row r="3" spans="1:8" x14ac:dyDescent="0.25">
      <c r="B3" s="10" t="s">
        <v>41</v>
      </c>
      <c r="C3" s="10"/>
    </row>
    <row r="4" spans="1:8" x14ac:dyDescent="0.25">
      <c r="B4" s="11"/>
      <c r="C4" s="11" t="s">
        <v>62</v>
      </c>
    </row>
    <row r="5" spans="1:8" x14ac:dyDescent="0.25">
      <c r="B5" s="11" t="s">
        <v>57</v>
      </c>
      <c r="C5" s="11" t="s">
        <v>43</v>
      </c>
    </row>
    <row r="6" spans="1:8" x14ac:dyDescent="0.25">
      <c r="B6" s="12">
        <v>2016</v>
      </c>
      <c r="C6" s="13">
        <v>28048500</v>
      </c>
    </row>
    <row r="7" spans="1:8" x14ac:dyDescent="0.25">
      <c r="B7" s="12">
        <v>2017</v>
      </c>
      <c r="C7" s="13">
        <v>42021000</v>
      </c>
    </row>
    <row r="8" spans="1:8" x14ac:dyDescent="0.25">
      <c r="B8" s="12">
        <v>2018</v>
      </c>
      <c r="C8" s="13">
        <v>55993500</v>
      </c>
    </row>
    <row r="9" spans="1:8" x14ac:dyDescent="0.25">
      <c r="B9" s="12">
        <v>2019</v>
      </c>
      <c r="C9" s="13">
        <v>69966000</v>
      </c>
    </row>
    <row r="10" spans="1:8" x14ac:dyDescent="0.25">
      <c r="B10" s="12">
        <v>2020</v>
      </c>
      <c r="C10" s="13">
        <v>93938500</v>
      </c>
    </row>
    <row r="11" spans="1:8" x14ac:dyDescent="0.25">
      <c r="C11" s="13"/>
    </row>
    <row r="12" spans="1:8" x14ac:dyDescent="0.25">
      <c r="C12" s="13"/>
    </row>
    <row r="13" spans="1:8" x14ac:dyDescent="0.25">
      <c r="A13" s="29" t="s">
        <v>51</v>
      </c>
      <c r="C13" s="13"/>
    </row>
    <row r="14" spans="1:8" x14ac:dyDescent="0.25">
      <c r="C14" s="13"/>
    </row>
    <row r="15" spans="1:8" x14ac:dyDescent="0.25">
      <c r="A15" s="15" t="s">
        <v>70</v>
      </c>
      <c r="C15" s="13"/>
    </row>
    <row r="16" spans="1:8" x14ac:dyDescent="0.25">
      <c r="A16" s="15"/>
      <c r="C16" s="13"/>
    </row>
    <row r="17" spans="1:8" x14ac:dyDescent="0.25">
      <c r="A17" s="15" t="s">
        <v>42</v>
      </c>
      <c r="B17" s="15">
        <v>2015</v>
      </c>
      <c r="C17" s="15">
        <v>2016</v>
      </c>
      <c r="D17" s="15">
        <v>2017</v>
      </c>
      <c r="E17" s="15">
        <v>2018</v>
      </c>
      <c r="F17" s="15">
        <v>2019</v>
      </c>
      <c r="G17" s="15">
        <v>2020</v>
      </c>
    </row>
    <row r="18" spans="1:8" x14ac:dyDescent="0.25">
      <c r="A18" s="9" t="s">
        <v>2</v>
      </c>
      <c r="B18" s="16"/>
      <c r="C18" s="16">
        <f>'ProForma Statements'!C18</f>
        <v>0.2</v>
      </c>
      <c r="D18" s="16">
        <f>'ProForma Statements'!D18</f>
        <v>0.15</v>
      </c>
      <c r="E18" s="16">
        <f>'ProForma Statements'!E18</f>
        <v>0.1</v>
      </c>
      <c r="F18" s="16">
        <f>'ProForma Statements'!F18</f>
        <v>0.1</v>
      </c>
      <c r="G18" s="16">
        <f>'ProForma Statements'!G18</f>
        <v>0.1</v>
      </c>
    </row>
    <row r="19" spans="1:8" x14ac:dyDescent="0.25">
      <c r="A19" s="9" t="s">
        <v>3</v>
      </c>
      <c r="B19" s="16"/>
      <c r="C19" s="16">
        <f>'ProForma Statements'!C19</f>
        <v>0.22</v>
      </c>
      <c r="D19" s="16"/>
      <c r="E19" s="16"/>
      <c r="F19" s="16"/>
      <c r="G19" s="16"/>
      <c r="H19" s="18"/>
    </row>
    <row r="20" spans="1:8" x14ac:dyDescent="0.25">
      <c r="A20" s="9" t="s">
        <v>4</v>
      </c>
      <c r="B20" s="16"/>
      <c r="C20" s="19">
        <f>'ProForma Statements'!C20</f>
        <v>4.4999999999999998E-2</v>
      </c>
      <c r="D20" s="19">
        <f>'ProForma Statements'!D20</f>
        <v>0.05</v>
      </c>
      <c r="E20" s="19">
        <f>'ProForma Statements'!E20</f>
        <v>0.05</v>
      </c>
      <c r="F20" s="19">
        <f>'ProForma Statements'!F20</f>
        <v>0.05</v>
      </c>
      <c r="G20" s="19">
        <f>'ProForma Statements'!G20</f>
        <v>0.05</v>
      </c>
      <c r="H20" s="18"/>
    </row>
    <row r="21" spans="1:8" x14ac:dyDescent="0.25">
      <c r="A21" s="9" t="s">
        <v>5</v>
      </c>
      <c r="B21" s="16"/>
      <c r="C21" s="16">
        <f>'ProForma Statements'!C21</f>
        <v>0.05</v>
      </c>
      <c r="D21" s="16"/>
      <c r="E21" s="16"/>
      <c r="F21" s="16"/>
      <c r="G21" s="16"/>
      <c r="H21" s="18"/>
    </row>
    <row r="22" spans="1:8" x14ac:dyDescent="0.25">
      <c r="B22" s="16"/>
      <c r="C22" s="16"/>
      <c r="D22" s="16"/>
      <c r="E22" s="16"/>
      <c r="F22" s="16"/>
      <c r="G22" s="16"/>
      <c r="H22" s="18"/>
    </row>
    <row r="23" spans="1:8" s="20" customFormat="1" x14ac:dyDescent="0.25">
      <c r="A23" s="20" t="s">
        <v>63</v>
      </c>
      <c r="B23" s="16">
        <f>'ProForma Statements'!B23</f>
        <v>0.7</v>
      </c>
      <c r="C23" s="17">
        <v>0.65</v>
      </c>
      <c r="D23" s="16">
        <v>0.57999999999999996</v>
      </c>
      <c r="E23" s="16">
        <v>0.51</v>
      </c>
      <c r="F23" s="16">
        <v>0.5</v>
      </c>
      <c r="G23" s="16">
        <v>0.55000000000000004</v>
      </c>
      <c r="H23" s="21"/>
    </row>
    <row r="24" spans="1:8" x14ac:dyDescent="0.25">
      <c r="A24" s="9" t="s">
        <v>27</v>
      </c>
      <c r="B24" s="16"/>
      <c r="C24" s="16">
        <f>'ProForma Statements'!C24</f>
        <v>0.1</v>
      </c>
      <c r="D24" s="16"/>
      <c r="E24" s="16"/>
      <c r="F24" s="16"/>
      <c r="G24" s="16"/>
    </row>
    <row r="25" spans="1:8" x14ac:dyDescent="0.25">
      <c r="B25" s="16"/>
      <c r="C25" s="16"/>
      <c r="D25" s="16"/>
      <c r="E25" s="16"/>
      <c r="F25" s="16"/>
      <c r="G25" s="16"/>
    </row>
    <row r="26" spans="1:8" x14ac:dyDescent="0.25">
      <c r="A26" s="9" t="s">
        <v>12</v>
      </c>
      <c r="B26" s="16"/>
      <c r="C26" s="16">
        <f>'ProForma Statements'!C26</f>
        <v>0.17</v>
      </c>
      <c r="D26" s="16">
        <f>'ProForma Statements'!D26</f>
        <v>0.18</v>
      </c>
      <c r="E26" s="16">
        <f>'ProForma Statements'!E26</f>
        <v>0.19</v>
      </c>
      <c r="F26" s="16">
        <f>'ProForma Statements'!F26</f>
        <v>0.2</v>
      </c>
      <c r="G26" s="16">
        <f>'ProForma Statements'!G26</f>
        <v>0.2</v>
      </c>
    </row>
    <row r="27" spans="1:8" x14ac:dyDescent="0.25">
      <c r="A27" s="9" t="s">
        <v>38</v>
      </c>
      <c r="B27" s="16"/>
      <c r="C27" s="16">
        <f>'ProForma Statements'!C27</f>
        <v>0.25</v>
      </c>
      <c r="D27" s="16"/>
      <c r="E27" s="16"/>
      <c r="F27" s="16"/>
      <c r="G27" s="16"/>
    </row>
    <row r="28" spans="1:8" x14ac:dyDescent="0.25">
      <c r="A28" s="22" t="s">
        <v>14</v>
      </c>
      <c r="B28" s="16"/>
      <c r="C28" s="16">
        <f>'ProForma Statements'!C28</f>
        <v>0.01</v>
      </c>
      <c r="D28" s="16"/>
      <c r="E28" s="16"/>
      <c r="F28" s="16"/>
      <c r="G28" s="16"/>
    </row>
    <row r="29" spans="1:8" x14ac:dyDescent="0.25">
      <c r="A29" s="22"/>
      <c r="B29" s="16"/>
      <c r="C29" s="16"/>
      <c r="D29" s="16"/>
      <c r="E29" s="16"/>
      <c r="F29" s="16"/>
      <c r="G29" s="16"/>
    </row>
    <row r="30" spans="1:8" x14ac:dyDescent="0.25">
      <c r="A30" s="22" t="s">
        <v>29</v>
      </c>
      <c r="B30" s="16"/>
      <c r="C30" s="16">
        <f>'ProForma Statements'!C30</f>
        <v>0.12</v>
      </c>
      <c r="D30" s="16"/>
      <c r="E30" s="16"/>
      <c r="F30" s="16"/>
      <c r="G30" s="16"/>
    </row>
    <row r="31" spans="1:8" x14ac:dyDescent="0.25">
      <c r="A31" s="22" t="s">
        <v>30</v>
      </c>
      <c r="B31" s="16"/>
      <c r="C31" s="16">
        <f>'ProForma Statements'!C31</f>
        <v>0.06</v>
      </c>
      <c r="D31" s="16"/>
      <c r="E31" s="16"/>
      <c r="F31" s="16"/>
      <c r="G31" s="16"/>
    </row>
    <row r="32" spans="1:8" x14ac:dyDescent="0.25">
      <c r="A32" s="22" t="s">
        <v>26</v>
      </c>
      <c r="B32" s="16"/>
      <c r="C32" s="16">
        <f>'ProForma Statements'!C32</f>
        <v>0.4</v>
      </c>
      <c r="D32" s="16"/>
      <c r="E32" s="16"/>
      <c r="F32" s="16"/>
      <c r="G32" s="16"/>
    </row>
    <row r="33" spans="1:7" s="16" customFormat="1" x14ac:dyDescent="0.25">
      <c r="A33" s="16" t="s">
        <v>52</v>
      </c>
      <c r="C33" s="16">
        <f>'ProForma Statements'!C33</f>
        <v>0.32</v>
      </c>
      <c r="D33" s="16">
        <f>'ProForma Statements'!D33</f>
        <v>0.31</v>
      </c>
      <c r="E33" s="16">
        <f>'ProForma Statements'!E33</f>
        <v>0.3</v>
      </c>
      <c r="F33" s="16">
        <f>'ProForma Statements'!F33</f>
        <v>0.28999999999999998</v>
      </c>
      <c r="G33" s="16">
        <f>'ProForma Statements'!G33</f>
        <v>0.27999999999999997</v>
      </c>
    </row>
    <row r="34" spans="1:7" x14ac:dyDescent="0.25">
      <c r="A34" s="22" t="s">
        <v>39</v>
      </c>
      <c r="B34" s="16"/>
      <c r="C34" s="19">
        <f>'ProForma Statements'!C34</f>
        <v>0.41499999999999998</v>
      </c>
      <c r="D34" s="16"/>
      <c r="E34" s="16"/>
      <c r="F34" s="16"/>
      <c r="G34" s="16"/>
    </row>
    <row r="35" spans="1:7" x14ac:dyDescent="0.25">
      <c r="A35" s="22"/>
      <c r="C35" s="23"/>
    </row>
    <row r="36" spans="1:7" x14ac:dyDescent="0.25">
      <c r="A36" s="22"/>
      <c r="C36" s="23"/>
    </row>
    <row r="37" spans="1:7" x14ac:dyDescent="0.25">
      <c r="A37" s="24" t="s">
        <v>20</v>
      </c>
    </row>
    <row r="38" spans="1:7" x14ac:dyDescent="0.25">
      <c r="A38" s="24" t="s">
        <v>24</v>
      </c>
      <c r="B38" s="22">
        <f>'ProForma Statements'!B38</f>
        <v>18977564</v>
      </c>
      <c r="C38" s="36">
        <v>28048500</v>
      </c>
      <c r="D38" s="36">
        <v>42021000</v>
      </c>
      <c r="E38" s="36">
        <v>55993500</v>
      </c>
      <c r="F38" s="36">
        <v>69966000</v>
      </c>
      <c r="G38" s="36">
        <v>93938500</v>
      </c>
    </row>
    <row r="39" spans="1:7" x14ac:dyDescent="0.25">
      <c r="A39" s="24"/>
      <c r="C39" s="13"/>
      <c r="D39" s="13"/>
      <c r="E39" s="13"/>
      <c r="F39" s="13"/>
      <c r="G39" s="13"/>
    </row>
    <row r="40" spans="1:7" x14ac:dyDescent="0.25">
      <c r="A40" s="24" t="s">
        <v>25</v>
      </c>
      <c r="C40" s="13"/>
      <c r="D40" s="13"/>
      <c r="E40" s="13"/>
      <c r="F40" s="13"/>
      <c r="G40" s="13"/>
    </row>
    <row r="41" spans="1:7" x14ac:dyDescent="0.25">
      <c r="A41" s="22" t="s">
        <v>47</v>
      </c>
      <c r="B41" s="25">
        <v>-7839481</v>
      </c>
      <c r="C41" s="34">
        <f>-$C$32*C38</f>
        <v>-11219400</v>
      </c>
      <c r="D41" s="34">
        <f t="shared" ref="D41:G41" si="0">-$C$32*D38</f>
        <v>-16808400</v>
      </c>
      <c r="E41" s="34">
        <f t="shared" si="0"/>
        <v>-22397400</v>
      </c>
      <c r="F41" s="34">
        <f t="shared" si="0"/>
        <v>-27986400</v>
      </c>
      <c r="G41" s="34">
        <f t="shared" si="0"/>
        <v>-37575400</v>
      </c>
    </row>
    <row r="42" spans="1:7" x14ac:dyDescent="0.25">
      <c r="A42" s="22" t="s">
        <v>27</v>
      </c>
      <c r="B42" s="25">
        <v>-1303085</v>
      </c>
      <c r="C42" s="34">
        <f>-$C$24*AVERAGE(B59:C59)</f>
        <v>-1563118.915</v>
      </c>
      <c r="D42" s="34">
        <f t="shared" ref="D42:G42" si="1">-$C$24*AVERAGE(C59:D59)</f>
        <v>-2130185.25</v>
      </c>
      <c r="E42" s="34">
        <f t="shared" si="1"/>
        <v>-2646443.25</v>
      </c>
      <c r="F42" s="34">
        <f t="shared" si="1"/>
        <v>-3176984.25</v>
      </c>
      <c r="G42" s="34">
        <f t="shared" si="1"/>
        <v>-4332458.75</v>
      </c>
    </row>
    <row r="43" spans="1:7" x14ac:dyDescent="0.25">
      <c r="A43" s="22" t="s">
        <v>28</v>
      </c>
      <c r="B43" s="25">
        <v>-6045369</v>
      </c>
      <c r="C43" s="33">
        <f>-C33*C38</f>
        <v>-8975520</v>
      </c>
      <c r="D43" s="33">
        <f t="shared" ref="D43:G43" si="2">-D33*D38</f>
        <v>-13026510</v>
      </c>
      <c r="E43" s="33">
        <f t="shared" si="2"/>
        <v>-16798050</v>
      </c>
      <c r="F43" s="33">
        <f t="shared" si="2"/>
        <v>-20290140</v>
      </c>
      <c r="G43" s="33">
        <f t="shared" si="2"/>
        <v>-26302779.999999996</v>
      </c>
    </row>
    <row r="44" spans="1:7" x14ac:dyDescent="0.25">
      <c r="A44" s="22" t="s">
        <v>29</v>
      </c>
      <c r="B44" s="25">
        <v>-84606</v>
      </c>
      <c r="C44" s="33">
        <f ca="1">-$C$30*(B72+C72)/2</f>
        <v>-1288093.2280665874</v>
      </c>
      <c r="D44" s="33">
        <f t="shared" ref="D44:G44" ca="1" si="3">-$C$30*(C72+D72)/2</f>
        <v>-1595609.0675431201</v>
      </c>
      <c r="E44" s="33">
        <f t="shared" ca="1" si="3"/>
        <v>-1280455.3222419417</v>
      </c>
      <c r="F44" s="33">
        <f t="shared" ca="1" si="3"/>
        <v>-577101.83389279805</v>
      </c>
      <c r="G44" s="33">
        <f t="shared" ca="1" si="3"/>
        <v>-327162.1530304639</v>
      </c>
    </row>
    <row r="45" spans="1:7" x14ac:dyDescent="0.25">
      <c r="A45" s="22" t="s">
        <v>30</v>
      </c>
      <c r="B45" s="40">
        <v>171362</v>
      </c>
      <c r="C45" s="33">
        <f>$C$31*(B52+C52)/2</f>
        <v>259010.66999999998</v>
      </c>
      <c r="D45" s="33">
        <f t="shared" ref="D45:G45" si="4">$C$31*(C52+D52)/2</f>
        <v>357385.5</v>
      </c>
      <c r="E45" s="33">
        <f t="shared" si="4"/>
        <v>357075</v>
      </c>
      <c r="F45" s="33">
        <f t="shared" si="4"/>
        <v>377878.5</v>
      </c>
      <c r="G45" s="33">
        <f t="shared" si="4"/>
        <v>491713.5</v>
      </c>
    </row>
    <row r="46" spans="1:7" x14ac:dyDescent="0.25">
      <c r="A46" s="22" t="s">
        <v>31</v>
      </c>
      <c r="B46" s="25">
        <f>SUM(B38:B45)</f>
        <v>3876385</v>
      </c>
      <c r="C46" s="33">
        <f ca="1">C38+SUM(C41:C45)</f>
        <v>5261378.5269334167</v>
      </c>
      <c r="D46" s="33">
        <f t="shared" ref="D46:G46" ca="1" si="5">D38+SUM(D41:D45)</f>
        <v>8817681.1824568808</v>
      </c>
      <c r="E46" s="33">
        <f t="shared" ca="1" si="5"/>
        <v>13228226.42775806</v>
      </c>
      <c r="F46" s="33">
        <f t="shared" ca="1" si="5"/>
        <v>18313252.4161072</v>
      </c>
      <c r="G46" s="33">
        <f t="shared" ca="1" si="5"/>
        <v>25892412.59696953</v>
      </c>
    </row>
    <row r="47" spans="1:7" x14ac:dyDescent="0.25">
      <c r="A47" s="22" t="s">
        <v>32</v>
      </c>
      <c r="B47" s="40">
        <f>IF(B46&lt;0,0,-B46*C34)</f>
        <v>-1608699.7749999999</v>
      </c>
      <c r="C47" s="33">
        <f ca="1">-$C$34*C46</f>
        <v>-2183472.0886773677</v>
      </c>
      <c r="D47" s="33">
        <f t="shared" ref="D47:G47" ca="1" si="6">-$C$34*D46</f>
        <v>-3659337.6907196054</v>
      </c>
      <c r="E47" s="33">
        <f t="shared" ca="1" si="6"/>
        <v>-5489713.9675195944</v>
      </c>
      <c r="F47" s="33">
        <f t="shared" ca="1" si="6"/>
        <v>-7599999.752684488</v>
      </c>
      <c r="G47" s="33">
        <f t="shared" ca="1" si="6"/>
        <v>-10745351.227742355</v>
      </c>
    </row>
    <row r="48" spans="1:7" s="15" customFormat="1" x14ac:dyDescent="0.25">
      <c r="A48" s="24" t="s">
        <v>33</v>
      </c>
      <c r="B48" s="39">
        <f>SUM(B46:B47)</f>
        <v>2267685.2250000001</v>
      </c>
      <c r="C48" s="35">
        <f ca="1">C46+C47</f>
        <v>3077906.4382560491</v>
      </c>
      <c r="D48" s="35">
        <f t="shared" ref="D48:G48" ca="1" si="7">D46+D47</f>
        <v>5158343.4917372754</v>
      </c>
      <c r="E48" s="35">
        <f t="shared" ca="1" si="7"/>
        <v>7738512.460238466</v>
      </c>
      <c r="F48" s="35">
        <f t="shared" ca="1" si="7"/>
        <v>10713252.663422711</v>
      </c>
      <c r="G48" s="35">
        <f t="shared" ca="1" si="7"/>
        <v>15147061.369227175</v>
      </c>
    </row>
    <row r="49" spans="1:7" s="15" customFormat="1" x14ac:dyDescent="0.25">
      <c r="A49" s="24"/>
      <c r="C49" s="26"/>
      <c r="D49" s="26"/>
      <c r="E49" s="26"/>
      <c r="F49" s="26"/>
      <c r="G49" s="26"/>
    </row>
    <row r="50" spans="1:7" x14ac:dyDescent="0.25">
      <c r="A50" s="24" t="s">
        <v>48</v>
      </c>
      <c r="C50" s="13"/>
      <c r="D50" s="13"/>
      <c r="E50" s="13"/>
      <c r="F50" s="13"/>
      <c r="G50" s="13"/>
    </row>
    <row r="51" spans="1:7" x14ac:dyDescent="0.25">
      <c r="A51" s="24" t="s">
        <v>53</v>
      </c>
      <c r="C51" s="13"/>
      <c r="D51" s="13"/>
      <c r="E51" s="13"/>
      <c r="F51" s="13"/>
      <c r="G51" s="13"/>
    </row>
    <row r="52" spans="1:7" x14ac:dyDescent="0.25">
      <c r="A52" s="22" t="s">
        <v>2</v>
      </c>
      <c r="B52" s="22">
        <f>'ProForma Statements'!B52</f>
        <v>3023989</v>
      </c>
      <c r="C52" s="48">
        <f>C18*C38</f>
        <v>5609700</v>
      </c>
      <c r="D52" s="48">
        <f t="shared" ref="D52:G52" si="8">D18*D38</f>
        <v>6303150</v>
      </c>
      <c r="E52" s="48">
        <f t="shared" si="8"/>
        <v>5599350</v>
      </c>
      <c r="F52" s="48">
        <f t="shared" si="8"/>
        <v>6996600</v>
      </c>
      <c r="G52" s="48">
        <f t="shared" si="8"/>
        <v>9393850</v>
      </c>
    </row>
    <row r="53" spans="1:7" x14ac:dyDescent="0.25">
      <c r="A53" s="22" t="s">
        <v>3</v>
      </c>
      <c r="B53" s="22">
        <f>'ProForma Statements'!B53</f>
        <v>4194238</v>
      </c>
      <c r="C53" s="48">
        <f>$C$19*C38</f>
        <v>6170670</v>
      </c>
      <c r="D53" s="48">
        <f t="shared" ref="D53:G53" si="9">$C$19*D38</f>
        <v>9244620</v>
      </c>
      <c r="E53" s="48">
        <f t="shared" si="9"/>
        <v>12318570</v>
      </c>
      <c r="F53" s="48">
        <f t="shared" si="9"/>
        <v>15392520</v>
      </c>
      <c r="G53" s="48">
        <f t="shared" si="9"/>
        <v>20666470</v>
      </c>
    </row>
    <row r="54" spans="1:7" x14ac:dyDescent="0.25">
      <c r="A54" s="22" t="s">
        <v>4</v>
      </c>
      <c r="B54" s="22">
        <f>'ProForma Statements'!B54</f>
        <v>759104</v>
      </c>
      <c r="C54" s="48">
        <f>C20*C38</f>
        <v>1262182.5</v>
      </c>
      <c r="D54" s="48">
        <f t="shared" ref="D54:G54" si="10">D20*D38</f>
        <v>2101050</v>
      </c>
      <c r="E54" s="48">
        <f t="shared" si="10"/>
        <v>2799675</v>
      </c>
      <c r="F54" s="48">
        <f t="shared" si="10"/>
        <v>3498300</v>
      </c>
      <c r="G54" s="48">
        <f t="shared" si="10"/>
        <v>4696925</v>
      </c>
    </row>
    <row r="55" spans="1:7" x14ac:dyDescent="0.25">
      <c r="A55" s="22" t="s">
        <v>5</v>
      </c>
      <c r="B55" s="22">
        <f>'ProForma Statements'!B55</f>
        <v>1006169</v>
      </c>
      <c r="C55" s="48">
        <f>$C$21*C38</f>
        <v>1402425</v>
      </c>
      <c r="D55" s="48">
        <f t="shared" ref="D55:G55" si="11">$C$21*D38</f>
        <v>2101050</v>
      </c>
      <c r="E55" s="48">
        <f t="shared" si="11"/>
        <v>2799675</v>
      </c>
      <c r="F55" s="48">
        <f t="shared" si="11"/>
        <v>3498300</v>
      </c>
      <c r="G55" s="48">
        <f t="shared" si="11"/>
        <v>4696925</v>
      </c>
    </row>
    <row r="56" spans="1:7" x14ac:dyDescent="0.25">
      <c r="A56" s="24" t="s">
        <v>49</v>
      </c>
      <c r="B56" s="22">
        <f t="shared" ref="B56:C56" si="12">SUM(B52:B55)</f>
        <v>8983500</v>
      </c>
      <c r="C56" s="48">
        <f t="shared" si="12"/>
        <v>14444977.5</v>
      </c>
      <c r="D56" s="48">
        <f t="shared" ref="D56:G56" si="13">SUM(D52:D55)</f>
        <v>19749870</v>
      </c>
      <c r="E56" s="48">
        <f t="shared" si="13"/>
        <v>23517270</v>
      </c>
      <c r="F56" s="48">
        <f t="shared" si="13"/>
        <v>29385720</v>
      </c>
      <c r="G56" s="48">
        <f t="shared" si="13"/>
        <v>39454170</v>
      </c>
    </row>
    <row r="57" spans="1:7" x14ac:dyDescent="0.25">
      <c r="A57" s="22"/>
      <c r="C57" s="13"/>
      <c r="D57" s="13"/>
      <c r="E57" s="13"/>
      <c r="F57" s="13"/>
      <c r="G57" s="13"/>
    </row>
    <row r="58" spans="1:7" x14ac:dyDescent="0.25">
      <c r="A58" s="24" t="s">
        <v>6</v>
      </c>
      <c r="C58" s="13"/>
      <c r="D58" s="13"/>
      <c r="E58" s="13"/>
      <c r="F58" s="13"/>
      <c r="G58" s="13"/>
    </row>
    <row r="59" spans="1:7" x14ac:dyDescent="0.25">
      <c r="A59" s="22" t="s">
        <v>7</v>
      </c>
      <c r="B59" s="22">
        <f>'ProForma Statements'!B59</f>
        <v>13030853.299999999</v>
      </c>
      <c r="C59" s="33">
        <f>C23*C38</f>
        <v>18231525</v>
      </c>
      <c r="D59" s="33">
        <f t="shared" ref="D59:G59" si="14">D23*D38</f>
        <v>24372180</v>
      </c>
      <c r="E59" s="33">
        <f t="shared" si="14"/>
        <v>28556685</v>
      </c>
      <c r="F59" s="33">
        <f t="shared" si="14"/>
        <v>34983000</v>
      </c>
      <c r="G59" s="33">
        <f t="shared" si="14"/>
        <v>51666175.000000007</v>
      </c>
    </row>
    <row r="60" spans="1:7" x14ac:dyDescent="0.25">
      <c r="A60" s="22" t="s">
        <v>8</v>
      </c>
      <c r="B60" s="22">
        <f>'ProForma Statements'!B60</f>
        <v>-1703085.33</v>
      </c>
      <c r="C60" s="33">
        <f>B60+C42</f>
        <v>-3266204.2450000001</v>
      </c>
      <c r="D60" s="33">
        <f t="shared" ref="D60:G60" si="15">C60+D42</f>
        <v>-5396389.4950000001</v>
      </c>
      <c r="E60" s="33">
        <f t="shared" si="15"/>
        <v>-8042832.7450000001</v>
      </c>
      <c r="F60" s="33">
        <f t="shared" si="15"/>
        <v>-11219816.995000001</v>
      </c>
      <c r="G60" s="33">
        <f t="shared" si="15"/>
        <v>-15552275.745000001</v>
      </c>
    </row>
    <row r="61" spans="1:7" x14ac:dyDescent="0.25">
      <c r="A61" s="22" t="s">
        <v>9</v>
      </c>
      <c r="B61" s="22">
        <f>'ProForma Statements'!B61</f>
        <v>11327767.969999999</v>
      </c>
      <c r="C61" s="36">
        <f>C59+C60</f>
        <v>14965320.754999999</v>
      </c>
      <c r="D61" s="36">
        <f t="shared" ref="D61:G61" si="16">D59+D60</f>
        <v>18975790.504999999</v>
      </c>
      <c r="E61" s="36">
        <f t="shared" si="16"/>
        <v>20513852.254999999</v>
      </c>
      <c r="F61" s="36">
        <f t="shared" si="16"/>
        <v>23763183.004999999</v>
      </c>
      <c r="G61" s="36">
        <f t="shared" si="16"/>
        <v>36113899.25500001</v>
      </c>
    </row>
    <row r="62" spans="1:7" x14ac:dyDescent="0.25">
      <c r="A62" s="22"/>
      <c r="C62" s="13"/>
      <c r="D62" s="13"/>
      <c r="E62" s="13"/>
      <c r="F62" s="13"/>
      <c r="G62" s="13"/>
    </row>
    <row r="63" spans="1:7" x14ac:dyDescent="0.25">
      <c r="A63" s="24" t="s">
        <v>10</v>
      </c>
      <c r="B63" s="13">
        <f t="shared" ref="B63:C63" si="17">B56+B61</f>
        <v>20311267.969999999</v>
      </c>
      <c r="C63" s="33">
        <f t="shared" si="17"/>
        <v>29410298.254999999</v>
      </c>
      <c r="D63" s="33">
        <f t="shared" ref="D63:G63" si="18">D56+D61</f>
        <v>38725660.504999995</v>
      </c>
      <c r="E63" s="33">
        <f t="shared" si="18"/>
        <v>44031122.254999995</v>
      </c>
      <c r="F63" s="33">
        <f t="shared" si="18"/>
        <v>53148903.004999995</v>
      </c>
      <c r="G63" s="33">
        <f t="shared" si="18"/>
        <v>75568069.25500001</v>
      </c>
    </row>
    <row r="64" spans="1:7" x14ac:dyDescent="0.25">
      <c r="A64" s="22"/>
      <c r="C64" s="13"/>
      <c r="D64" s="13"/>
      <c r="E64" s="13"/>
      <c r="F64" s="13"/>
      <c r="G64" s="13"/>
    </row>
    <row r="65" spans="1:7" x14ac:dyDescent="0.25">
      <c r="A65" s="22"/>
      <c r="C65" s="13"/>
      <c r="D65" s="13"/>
      <c r="E65" s="13"/>
      <c r="F65" s="13"/>
      <c r="G65" s="13"/>
    </row>
    <row r="66" spans="1:7" x14ac:dyDescent="0.25">
      <c r="A66" s="24" t="s">
        <v>11</v>
      </c>
      <c r="C66" s="13"/>
      <c r="D66" s="13"/>
      <c r="E66" s="13"/>
      <c r="F66" s="13"/>
      <c r="G66" s="13"/>
    </row>
    <row r="67" spans="1:7" x14ac:dyDescent="0.25">
      <c r="A67" s="22" t="s">
        <v>12</v>
      </c>
      <c r="B67" s="22">
        <f>'ProForma Statements'!B67</f>
        <v>3271271</v>
      </c>
      <c r="C67" s="33">
        <f>C26*C38</f>
        <v>4768245</v>
      </c>
      <c r="D67" s="33">
        <f t="shared" ref="D67:G67" si="19">D26*D38</f>
        <v>7563780</v>
      </c>
      <c r="E67" s="33">
        <f t="shared" si="19"/>
        <v>10638765</v>
      </c>
      <c r="F67" s="33">
        <f t="shared" si="19"/>
        <v>13993200</v>
      </c>
      <c r="G67" s="33">
        <f t="shared" si="19"/>
        <v>18787700</v>
      </c>
    </row>
    <row r="68" spans="1:7" x14ac:dyDescent="0.25">
      <c r="A68" s="22" t="s">
        <v>13</v>
      </c>
      <c r="B68" s="22">
        <f ca="1">'ProForma Statements'!B68</f>
        <v>423485.80894877721</v>
      </c>
      <c r="C68" s="33">
        <f ca="1">-$C$27*C47</f>
        <v>545868.02216934192</v>
      </c>
      <c r="D68" s="33">
        <f t="shared" ref="D68:G68" ca="1" si="20">-$C$27*D47</f>
        <v>914834.42267990136</v>
      </c>
      <c r="E68" s="33">
        <f t="shared" ca="1" si="20"/>
        <v>1372428.4918798986</v>
      </c>
      <c r="F68" s="33">
        <f t="shared" ca="1" si="20"/>
        <v>1899999.938171122</v>
      </c>
      <c r="G68" s="33">
        <f t="shared" ca="1" si="20"/>
        <v>2686337.8069355888</v>
      </c>
    </row>
    <row r="69" spans="1:7" x14ac:dyDescent="0.25">
      <c r="A69" s="22" t="s">
        <v>14</v>
      </c>
      <c r="B69" s="22">
        <f>'ProForma Statements'!B69</f>
        <v>151189</v>
      </c>
      <c r="C69" s="33">
        <f>$C$28*C38</f>
        <v>280485</v>
      </c>
      <c r="D69" s="33">
        <f t="shared" ref="D69:G69" si="21">$C$28*D38</f>
        <v>420210</v>
      </c>
      <c r="E69" s="33">
        <f t="shared" si="21"/>
        <v>559935</v>
      </c>
      <c r="F69" s="33">
        <f t="shared" si="21"/>
        <v>699660</v>
      </c>
      <c r="G69" s="33">
        <f t="shared" si="21"/>
        <v>939385</v>
      </c>
    </row>
    <row r="70" spans="1:7" x14ac:dyDescent="0.25">
      <c r="A70" s="24" t="s">
        <v>50</v>
      </c>
      <c r="B70" s="22">
        <f t="shared" ref="B70:C70" ca="1" si="22">SUM(B67:B69)</f>
        <v>3845945.8089487772</v>
      </c>
      <c r="C70" s="33">
        <f t="shared" ca="1" si="22"/>
        <v>5594598.0221693423</v>
      </c>
      <c r="D70" s="33">
        <f t="shared" ref="D70:G70" ca="1" si="23">SUM(D67:D69)</f>
        <v>8898824.4226799011</v>
      </c>
      <c r="E70" s="33">
        <f t="shared" ca="1" si="23"/>
        <v>12571128.491879899</v>
      </c>
      <c r="F70" s="33">
        <f t="shared" ca="1" si="23"/>
        <v>16592859.938171122</v>
      </c>
      <c r="G70" s="33">
        <f t="shared" ca="1" si="23"/>
        <v>22413422.80693559</v>
      </c>
    </row>
    <row r="71" spans="1:7" x14ac:dyDescent="0.25">
      <c r="A71" s="22"/>
      <c r="C71" s="13"/>
      <c r="D71" s="13"/>
      <c r="E71" s="13"/>
      <c r="F71" s="13"/>
      <c r="G71" s="13"/>
    </row>
    <row r="72" spans="1:7" x14ac:dyDescent="0.25">
      <c r="A72" s="22" t="s">
        <v>15</v>
      </c>
      <c r="B72" s="22">
        <f ca="1">'ProForma Statements'!B72</f>
        <v>8597874.4171265345</v>
      </c>
      <c r="C72" s="38">
        <f ca="1">C63-C70-C75-C76</f>
        <v>12870346.050649922</v>
      </c>
      <c r="D72" s="38">
        <f t="shared" ref="D72:G72" ca="1" si="24">D63-D70-D75-D76</f>
        <v>13723138.408402082</v>
      </c>
      <c r="E72" s="38">
        <f t="shared" ca="1" si="24"/>
        <v>7617783.6289636157</v>
      </c>
      <c r="F72" s="38">
        <f t="shared" ca="1" si="24"/>
        <v>2000580.2692496851</v>
      </c>
      <c r="G72" s="38">
        <f t="shared" ca="1" si="24"/>
        <v>3452122.2812580466</v>
      </c>
    </row>
    <row r="73" spans="1:7" x14ac:dyDescent="0.25">
      <c r="A73" s="22"/>
      <c r="C73" s="13"/>
      <c r="D73" s="13"/>
      <c r="E73" s="13"/>
      <c r="F73" s="13"/>
      <c r="G73" s="13"/>
    </row>
    <row r="74" spans="1:7" x14ac:dyDescent="0.25">
      <c r="A74" s="24" t="s">
        <v>16</v>
      </c>
      <c r="C74" s="13"/>
      <c r="D74" s="13"/>
      <c r="E74" s="13"/>
      <c r="F74" s="13"/>
      <c r="G74" s="13"/>
    </row>
    <row r="75" spans="1:7" x14ac:dyDescent="0.25">
      <c r="A75" s="22" t="s">
        <v>17</v>
      </c>
      <c r="B75" s="22">
        <f>'ProForma Statements'!B75</f>
        <v>4610999</v>
      </c>
      <c r="C75" s="36">
        <f>$B$75</f>
        <v>4610999</v>
      </c>
      <c r="D75" s="36">
        <f t="shared" ref="D75:G75" si="25">$B$75</f>
        <v>4610999</v>
      </c>
      <c r="E75" s="36">
        <f t="shared" si="25"/>
        <v>4610999</v>
      </c>
      <c r="F75" s="36">
        <f t="shared" si="25"/>
        <v>4610999</v>
      </c>
      <c r="G75" s="36">
        <f t="shared" si="25"/>
        <v>4610999</v>
      </c>
    </row>
    <row r="76" spans="1:7" x14ac:dyDescent="0.25">
      <c r="A76" s="22" t="s">
        <v>18</v>
      </c>
      <c r="B76" s="22">
        <f ca="1">'ProForma Statements'!B76</f>
        <v>3256448.7439246867</v>
      </c>
      <c r="C76" s="33">
        <f ca="1">B76+C48</f>
        <v>6334355.1821807362</v>
      </c>
      <c r="D76" s="33">
        <f t="shared" ref="D76:G76" ca="1" si="26">C76+D48</f>
        <v>11492698.673918013</v>
      </c>
      <c r="E76" s="33">
        <f t="shared" ca="1" si="26"/>
        <v>19231211.13415648</v>
      </c>
      <c r="F76" s="33">
        <f t="shared" ca="1" si="26"/>
        <v>29944463.797579192</v>
      </c>
      <c r="G76" s="33">
        <f t="shared" ca="1" si="26"/>
        <v>45091525.16680637</v>
      </c>
    </row>
    <row r="77" spans="1:7" x14ac:dyDescent="0.25">
      <c r="A77" s="24" t="s">
        <v>19</v>
      </c>
      <c r="B77" s="13">
        <f t="shared" ref="B77:C77" ca="1" si="27">B70+B72+B75+B76</f>
        <v>20311267.969999999</v>
      </c>
      <c r="C77" s="33">
        <f t="shared" ca="1" si="27"/>
        <v>29410298.254999999</v>
      </c>
      <c r="D77" s="33">
        <f t="shared" ref="D77:G77" ca="1" si="28">D70+D72+D75+D76</f>
        <v>38725660.504999995</v>
      </c>
      <c r="E77" s="33">
        <f t="shared" ca="1" si="28"/>
        <v>44031122.254999995</v>
      </c>
      <c r="F77" s="33">
        <f t="shared" ca="1" si="28"/>
        <v>53148903.004999995</v>
      </c>
      <c r="G77" s="33">
        <f t="shared" ca="1" si="28"/>
        <v>75568069.25500001</v>
      </c>
    </row>
    <row r="78" spans="1:7" x14ac:dyDescent="0.25">
      <c r="A78" s="22"/>
      <c r="C78" s="13"/>
      <c r="D78" s="13"/>
      <c r="E78" s="13"/>
      <c r="F78" s="13"/>
      <c r="G78" s="13"/>
    </row>
    <row r="79" spans="1:7" x14ac:dyDescent="0.25">
      <c r="A79" s="22"/>
      <c r="C79" s="13"/>
      <c r="D79" s="13"/>
      <c r="E79" s="13"/>
      <c r="F79" s="13"/>
      <c r="G79" s="13"/>
    </row>
    <row r="80" spans="1:7" x14ac:dyDescent="0.25">
      <c r="A80" s="24" t="s">
        <v>81</v>
      </c>
      <c r="C80" s="28">
        <v>2016</v>
      </c>
      <c r="D80" s="28">
        <v>2017</v>
      </c>
      <c r="E80" s="28">
        <v>2018</v>
      </c>
      <c r="F80" s="28">
        <v>2019</v>
      </c>
      <c r="G80" s="28">
        <v>2020</v>
      </c>
    </row>
    <row r="81" spans="1:7" x14ac:dyDescent="0.25">
      <c r="A81" s="22" t="s">
        <v>54</v>
      </c>
      <c r="C81" s="33">
        <f ca="1">C48</f>
        <v>3077906.4382560491</v>
      </c>
      <c r="D81" s="33">
        <f ca="1">D48</f>
        <v>5158343.4917372754</v>
      </c>
      <c r="E81" s="33">
        <f ca="1">E48</f>
        <v>7738512.460238466</v>
      </c>
      <c r="F81" s="33">
        <f ca="1">F48</f>
        <v>10713252.663422711</v>
      </c>
      <c r="G81" s="33">
        <f ca="1">G48</f>
        <v>15147061.369227175</v>
      </c>
    </row>
    <row r="82" spans="1:7" x14ac:dyDescent="0.25">
      <c r="A82" s="22" t="s">
        <v>34</v>
      </c>
      <c r="C82" s="33">
        <f>-C42</f>
        <v>1563118.915</v>
      </c>
      <c r="D82" s="33">
        <f>-D42</f>
        <v>2130185.25</v>
      </c>
      <c r="E82" s="33">
        <f>-E42</f>
        <v>2646443.25</v>
      </c>
      <c r="F82" s="33">
        <f>-F42</f>
        <v>3176984.25</v>
      </c>
      <c r="G82" s="33">
        <f>-G42</f>
        <v>4332458.75</v>
      </c>
    </row>
    <row r="83" spans="1:7" x14ac:dyDescent="0.25">
      <c r="A83" s="22" t="s">
        <v>71</v>
      </c>
      <c r="C83" s="33">
        <f t="shared" ref="C83:G84" ca="1" si="29">-C44*(1-$C$34)</f>
        <v>753534.53841895354</v>
      </c>
      <c r="D83" s="33">
        <f t="shared" ca="1" si="29"/>
        <v>933431.30451272521</v>
      </c>
      <c r="E83" s="33">
        <f t="shared" ca="1" si="29"/>
        <v>749066.3635115358</v>
      </c>
      <c r="F83" s="33">
        <f t="shared" ca="1" si="29"/>
        <v>337604.57282728684</v>
      </c>
      <c r="G83" s="33">
        <f t="shared" ca="1" si="29"/>
        <v>191389.85952282138</v>
      </c>
    </row>
    <row r="84" spans="1:7" x14ac:dyDescent="0.25">
      <c r="A84" s="22" t="s">
        <v>72</v>
      </c>
      <c r="C84" s="33">
        <f t="shared" si="29"/>
        <v>-151521.24194999997</v>
      </c>
      <c r="D84" s="33">
        <f t="shared" si="29"/>
        <v>-209070.51749999999</v>
      </c>
      <c r="E84" s="33">
        <f t="shared" si="29"/>
        <v>-208888.875</v>
      </c>
      <c r="F84" s="33">
        <f t="shared" si="29"/>
        <v>-221058.92249999999</v>
      </c>
      <c r="G84" s="33">
        <f t="shared" si="29"/>
        <v>-287652.39749999996</v>
      </c>
    </row>
    <row r="85" spans="1:7" x14ac:dyDescent="0.25">
      <c r="A85" s="22" t="s">
        <v>68</v>
      </c>
      <c r="C85" s="33">
        <f>-SUM(C53:C55)+SUM(B53:B55)</f>
        <v>-2875766.5</v>
      </c>
      <c r="D85" s="33">
        <f>-SUM(D53:D55)+SUM(C53:C55)</f>
        <v>-4611442.5</v>
      </c>
      <c r="E85" s="33">
        <f>-SUM(E53:E55)+SUM(D53:D55)</f>
        <v>-4471200</v>
      </c>
      <c r="F85" s="33">
        <f>-SUM(F53:F55)+SUM(E53:E55)</f>
        <v>-4471200</v>
      </c>
      <c r="G85" s="33">
        <f>-SUM(G53:G55)+SUM(F53:F55)</f>
        <v>-7671200</v>
      </c>
    </row>
    <row r="86" spans="1:7" x14ac:dyDescent="0.25">
      <c r="A86" s="22" t="s">
        <v>66</v>
      </c>
      <c r="C86" s="33">
        <f ca="1">C70-B70</f>
        <v>1748652.2132205651</v>
      </c>
      <c r="D86" s="33">
        <f ca="1">D70-C70</f>
        <v>3304226.4005105589</v>
      </c>
      <c r="E86" s="33">
        <f ca="1">E70-D70</f>
        <v>3672304.0691999979</v>
      </c>
      <c r="F86" s="33">
        <f ca="1">F70-E70</f>
        <v>4021731.4462912232</v>
      </c>
      <c r="G86" s="33">
        <f ca="1">G70-F70</f>
        <v>5820562.8687644675</v>
      </c>
    </row>
    <row r="87" spans="1:7" x14ac:dyDescent="0.25">
      <c r="A87" s="22" t="s">
        <v>65</v>
      </c>
      <c r="C87" s="33">
        <f>-C59+B59</f>
        <v>-5200671.7000000011</v>
      </c>
      <c r="D87" s="33">
        <f>-D59+C59</f>
        <v>-6140655</v>
      </c>
      <c r="E87" s="33">
        <f>-E59+D59</f>
        <v>-4184505</v>
      </c>
      <c r="F87" s="33">
        <f>-F59+E59</f>
        <v>-6426315</v>
      </c>
      <c r="G87" s="33">
        <f>-G59+F59</f>
        <v>-16683175.000000007</v>
      </c>
    </row>
    <row r="88" spans="1:7" x14ac:dyDescent="0.25">
      <c r="A88" s="24" t="s">
        <v>37</v>
      </c>
      <c r="C88" s="33">
        <f ca="1">SUM(C81:C87)</f>
        <v>-1084747.3370544338</v>
      </c>
      <c r="D88" s="33">
        <f ca="1">SUM(D81:D87)</f>
        <v>565018.42926055938</v>
      </c>
      <c r="E88" s="33">
        <f ca="1">SUM(E81:E87)</f>
        <v>5941732.2679500002</v>
      </c>
      <c r="F88" s="33">
        <f ca="1">SUM(F81:F87)</f>
        <v>7130999.010041222</v>
      </c>
      <c r="G88" s="33">
        <f ca="1">SUM(G81:G87)</f>
        <v>849445.45001445711</v>
      </c>
    </row>
    <row r="89" spans="1:7" x14ac:dyDescent="0.25">
      <c r="A89" s="22"/>
      <c r="C89" s="13"/>
      <c r="D89" s="13"/>
      <c r="E89" s="13"/>
      <c r="F89" s="13"/>
      <c r="G89" s="13"/>
    </row>
    <row r="90" spans="1:7" x14ac:dyDescent="0.25">
      <c r="A90" s="22"/>
      <c r="C90" s="13"/>
      <c r="D90" s="13"/>
      <c r="E90" s="13"/>
      <c r="F90" s="13"/>
      <c r="G90" s="13"/>
    </row>
    <row r="91" spans="1:7" x14ac:dyDescent="0.25">
      <c r="A91" s="24" t="s">
        <v>55</v>
      </c>
      <c r="C91" s="13"/>
      <c r="D91" s="13"/>
      <c r="E91" s="13"/>
      <c r="F91" s="13"/>
      <c r="G91" s="13"/>
    </row>
    <row r="92" spans="1:7" x14ac:dyDescent="0.25">
      <c r="A92" s="22" t="s">
        <v>60</v>
      </c>
      <c r="B92" s="30">
        <v>0.20430000000000001</v>
      </c>
      <c r="C92" s="13"/>
      <c r="D92" s="13"/>
      <c r="E92" s="13"/>
      <c r="F92" s="13"/>
      <c r="G92" s="13"/>
    </row>
    <row r="93" spans="1:7" x14ac:dyDescent="0.25">
      <c r="A93" s="22" t="s">
        <v>82</v>
      </c>
      <c r="B93" s="30">
        <v>0.05</v>
      </c>
      <c r="C93" s="13"/>
      <c r="D93" s="13"/>
      <c r="E93" s="13"/>
      <c r="F93" s="13"/>
      <c r="G93" s="13"/>
    </row>
    <row r="94" spans="1:7" x14ac:dyDescent="0.25">
      <c r="A94" s="22"/>
      <c r="B94" s="30"/>
      <c r="C94" s="13"/>
      <c r="D94" s="13"/>
      <c r="E94" s="13"/>
      <c r="F94" s="13"/>
      <c r="G94" s="13"/>
    </row>
    <row r="95" spans="1:7" x14ac:dyDescent="0.25">
      <c r="A95" s="24" t="s">
        <v>57</v>
      </c>
      <c r="C95" s="28">
        <v>2016</v>
      </c>
      <c r="D95" s="28">
        <v>2017</v>
      </c>
      <c r="E95" s="28">
        <v>2018</v>
      </c>
      <c r="F95" s="28">
        <v>2019</v>
      </c>
      <c r="G95" s="28">
        <v>2020</v>
      </c>
    </row>
    <row r="96" spans="1:7" x14ac:dyDescent="0.25">
      <c r="A96" s="46" t="s">
        <v>84</v>
      </c>
      <c r="C96" s="13">
        <f ca="1">C88</f>
        <v>-1084747.3370544338</v>
      </c>
      <c r="D96" s="13">
        <f t="shared" ref="D96:G96" ca="1" si="30">D88</f>
        <v>565018.42926055938</v>
      </c>
      <c r="E96" s="13">
        <f t="shared" ca="1" si="30"/>
        <v>5941732.2679500002</v>
      </c>
      <c r="F96" s="13">
        <f t="shared" ca="1" si="30"/>
        <v>7130999.010041222</v>
      </c>
      <c r="G96" s="13">
        <f t="shared" ca="1" si="30"/>
        <v>849445.45001445711</v>
      </c>
    </row>
    <row r="97" spans="1:7" x14ac:dyDescent="0.25">
      <c r="A97" s="46" t="s">
        <v>85</v>
      </c>
      <c r="G97" s="13">
        <f ca="1">G96*(1+B93)/(B92-B93)</f>
        <v>5780412.9780633831</v>
      </c>
    </row>
    <row r="98" spans="1:7" x14ac:dyDescent="0.25">
      <c r="A98" s="46" t="s">
        <v>86</v>
      </c>
      <c r="C98" s="13">
        <f ca="1">C97+C96</f>
        <v>-1084747.3370544338</v>
      </c>
      <c r="D98" s="13">
        <f t="shared" ref="D98:G98" ca="1" si="31">D97+D96</f>
        <v>565018.42926055938</v>
      </c>
      <c r="E98" s="13">
        <f t="shared" ca="1" si="31"/>
        <v>5941732.2679500002</v>
      </c>
      <c r="F98" s="13">
        <f t="shared" ca="1" si="31"/>
        <v>7130999.010041222</v>
      </c>
      <c r="G98" s="13">
        <f t="shared" ca="1" si="31"/>
        <v>6629858.4280778402</v>
      </c>
    </row>
    <row r="99" spans="1:7" x14ac:dyDescent="0.25">
      <c r="A99" s="22" t="s">
        <v>56</v>
      </c>
      <c r="B99" s="41">
        <f ca="1">NPV(B92,C98:G98)*(1+B92)^0.5</f>
        <v>9764616.5868229493</v>
      </c>
      <c r="C99" s="31" t="str">
        <f ca="1">_xlfn.FORMULATEXT(B99)</f>
        <v>=NPV(B92,C98:G98)*(1+B92)^0.5</v>
      </c>
    </row>
    <row r="100" spans="1:7" x14ac:dyDescent="0.25">
      <c r="A100" s="22" t="s">
        <v>88</v>
      </c>
      <c r="B100" s="34">
        <f>B52</f>
        <v>3023989</v>
      </c>
      <c r="C100" s="31" t="str">
        <f t="shared" ref="C100:C102" ca="1" si="32">_xlfn.FORMULATEXT(B100)</f>
        <v>=B52</v>
      </c>
    </row>
    <row r="101" spans="1:7" x14ac:dyDescent="0.25">
      <c r="A101" s="9" t="s">
        <v>83</v>
      </c>
      <c r="B101" s="34">
        <f ca="1">B72</f>
        <v>8597874.4171265345</v>
      </c>
      <c r="C101" s="31" t="str">
        <f t="shared" ca="1" si="32"/>
        <v>=B72</v>
      </c>
      <c r="E101" s="41"/>
    </row>
    <row r="102" spans="1:7" x14ac:dyDescent="0.25">
      <c r="A102" s="9" t="s">
        <v>69</v>
      </c>
      <c r="B102" s="33">
        <f ca="1">B99+B100-B101</f>
        <v>4190731.1696964148</v>
      </c>
      <c r="C102" s="31" t="str">
        <f t="shared" ca="1" si="32"/>
        <v>=B99+B100-B101</v>
      </c>
    </row>
    <row r="103" spans="1:7" x14ac:dyDescent="0.25">
      <c r="B103" s="13"/>
    </row>
    <row r="104" spans="1:7" x14ac:dyDescent="0.25">
      <c r="A104" s="9" t="s">
        <v>58</v>
      </c>
      <c r="B104" s="13">
        <v>5000000</v>
      </c>
    </row>
    <row r="105" spans="1:7" x14ac:dyDescent="0.25">
      <c r="A105" s="9" t="s">
        <v>59</v>
      </c>
      <c r="B105" s="37">
        <f ca="1">B102/B104</f>
        <v>0.838146233939283</v>
      </c>
      <c r="C105" s="31" t="str">
        <f t="shared" ref="C105" ca="1" si="33">_xlfn.FORMULATEXT(B105)</f>
        <v>=B102/B104</v>
      </c>
    </row>
    <row r="106" spans="1:7" x14ac:dyDescent="0.25">
      <c r="B106" s="32"/>
    </row>
  </sheetData>
  <printOptions headings="1" gridLines="1"/>
  <pageMargins left="0.75" right="0.75" top="1" bottom="1" header="0.5" footer="0.5"/>
  <pageSetup scale="66" fitToHeight="0" orientation="portrait" verticalDpi="300" r:id="rId1"/>
  <headerFooter alignWithMargins="0">
    <oddHeader>&amp;CModel without Negative Debt</oddHeader>
    <oddFooter>&amp;C&amp;P</oddFooter>
  </headerFooter>
  <rowBreaks count="2" manualBreakCount="2">
    <brk id="48" max="16383" man="1"/>
    <brk id="107" max="6" man="1"/>
  </rowBreaks>
  <colBreaks count="1" manualBreakCount="1">
    <brk id="7" max="15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CDA-6022-4587-A581-E821DCE487CB}">
  <sheetPr>
    <tabColor theme="6" tint="0.59999389629810485"/>
  </sheetPr>
  <dimension ref="A1:M131"/>
  <sheetViews>
    <sheetView zoomScale="57" zoomScaleNormal="57" workbookViewId="0">
      <selection activeCell="G6" sqref="G6:I7"/>
    </sheetView>
  </sheetViews>
  <sheetFormatPr defaultColWidth="9" defaultRowHeight="11.5" x14ac:dyDescent="0.25"/>
  <cols>
    <col min="1" max="1" width="47" style="9" customWidth="1"/>
    <col min="2" max="7" width="14.26953125" style="9" customWidth="1"/>
    <col min="8" max="16384" width="9" style="9"/>
  </cols>
  <sheetData>
    <row r="1" spans="1:9" x14ac:dyDescent="0.25">
      <c r="B1" s="10"/>
      <c r="C1" s="14"/>
      <c r="D1" s="10"/>
      <c r="E1" s="10"/>
      <c r="F1" s="10"/>
      <c r="G1" s="10"/>
      <c r="H1" s="10"/>
    </row>
    <row r="2" spans="1:9" x14ac:dyDescent="0.25">
      <c r="B2" s="10" t="s">
        <v>40</v>
      </c>
      <c r="C2" s="10"/>
    </row>
    <row r="3" spans="1:9" x14ac:dyDescent="0.25">
      <c r="B3" s="10" t="s">
        <v>41</v>
      </c>
      <c r="C3" s="10"/>
    </row>
    <row r="4" spans="1:9" x14ac:dyDescent="0.25">
      <c r="B4" s="11"/>
      <c r="C4" s="11" t="s">
        <v>62</v>
      </c>
    </row>
    <row r="5" spans="1:9" x14ac:dyDescent="0.25">
      <c r="B5" s="11" t="s">
        <v>57</v>
      </c>
      <c r="C5" s="11" t="s">
        <v>43</v>
      </c>
    </row>
    <row r="6" spans="1:9" ht="12.5" x14ac:dyDescent="0.25">
      <c r="B6" s="12">
        <v>2016</v>
      </c>
      <c r="C6" s="13">
        <v>28048500</v>
      </c>
      <c r="G6"/>
      <c r="H6"/>
      <c r="I6"/>
    </row>
    <row r="7" spans="1:9" ht="12.5" x14ac:dyDescent="0.25">
      <c r="B7" s="12">
        <v>2017</v>
      </c>
      <c r="C7" s="13">
        <v>42021000</v>
      </c>
      <c r="E7"/>
      <c r="F7"/>
      <c r="G7"/>
      <c r="H7"/>
      <c r="I7"/>
    </row>
    <row r="8" spans="1:9" ht="12.5" x14ac:dyDescent="0.25">
      <c r="B8" s="12">
        <v>2018</v>
      </c>
      <c r="C8" s="13">
        <v>55993500</v>
      </c>
      <c r="E8"/>
      <c r="F8"/>
    </row>
    <row r="9" spans="1:9" x14ac:dyDescent="0.25">
      <c r="B9" s="12">
        <v>2019</v>
      </c>
      <c r="C9" s="13">
        <v>69966000</v>
      </c>
    </row>
    <row r="10" spans="1:9" x14ac:dyDescent="0.25">
      <c r="B10" s="12">
        <v>2020</v>
      </c>
      <c r="C10" s="13">
        <v>93938500</v>
      </c>
    </row>
    <row r="11" spans="1:9" x14ac:dyDescent="0.25">
      <c r="C11" s="13"/>
    </row>
    <row r="12" spans="1:9" x14ac:dyDescent="0.25">
      <c r="C12" s="13"/>
    </row>
    <row r="13" spans="1:9" x14ac:dyDescent="0.25">
      <c r="A13" s="29" t="s">
        <v>51</v>
      </c>
      <c r="C13" s="13"/>
    </row>
    <row r="14" spans="1:9" x14ac:dyDescent="0.25">
      <c r="C14" s="13"/>
    </row>
    <row r="15" spans="1:9" x14ac:dyDescent="0.25">
      <c r="A15" s="15" t="s">
        <v>70</v>
      </c>
      <c r="C15" s="13"/>
    </row>
    <row r="16" spans="1:9" x14ac:dyDescent="0.25">
      <c r="A16" s="15"/>
      <c r="C16" s="13"/>
    </row>
    <row r="17" spans="1:8" x14ac:dyDescent="0.25">
      <c r="A17" s="15" t="s">
        <v>42</v>
      </c>
      <c r="B17" s="15">
        <v>2015</v>
      </c>
      <c r="C17" s="15">
        <v>2016</v>
      </c>
      <c r="D17" s="15">
        <v>2017</v>
      </c>
      <c r="E17" s="15">
        <v>2018</v>
      </c>
      <c r="F17" s="15">
        <v>2019</v>
      </c>
      <c r="G17" s="15">
        <v>2020</v>
      </c>
    </row>
    <row r="18" spans="1:8" x14ac:dyDescent="0.25">
      <c r="A18" s="9" t="s">
        <v>2</v>
      </c>
      <c r="B18" s="16"/>
      <c r="C18" s="16">
        <f>'ProForma Statements'!C18</f>
        <v>0.2</v>
      </c>
      <c r="D18" s="16">
        <f>'ProForma Statements'!D18</f>
        <v>0.15</v>
      </c>
      <c r="E18" s="16">
        <f>'ProForma Statements'!E18</f>
        <v>0.1</v>
      </c>
      <c r="F18" s="16">
        <f>'ProForma Statements'!F18</f>
        <v>0.1</v>
      </c>
      <c r="G18" s="16">
        <f>'ProForma Statements'!G18</f>
        <v>0.1</v>
      </c>
    </row>
    <row r="19" spans="1:8" x14ac:dyDescent="0.25">
      <c r="A19" s="9" t="s">
        <v>3</v>
      </c>
      <c r="B19" s="16"/>
      <c r="C19" s="16">
        <f>'ProForma Statements'!C19</f>
        <v>0.22</v>
      </c>
      <c r="D19" s="16"/>
      <c r="E19" s="16"/>
      <c r="F19" s="16"/>
      <c r="G19" s="16"/>
      <c r="H19" s="18"/>
    </row>
    <row r="20" spans="1:8" x14ac:dyDescent="0.25">
      <c r="A20" s="9" t="s">
        <v>4</v>
      </c>
      <c r="B20" s="16"/>
      <c r="C20" s="19">
        <f>'ProForma Statements'!C20</f>
        <v>4.4999999999999998E-2</v>
      </c>
      <c r="D20" s="19">
        <f>'ProForma Statements'!D20</f>
        <v>0.05</v>
      </c>
      <c r="E20" s="19">
        <f>'ProForma Statements'!E20</f>
        <v>0.05</v>
      </c>
      <c r="F20" s="19">
        <f>'ProForma Statements'!F20</f>
        <v>0.05</v>
      </c>
      <c r="G20" s="19">
        <f>'ProForma Statements'!G20</f>
        <v>0.05</v>
      </c>
      <c r="H20" s="18"/>
    </row>
    <row r="21" spans="1:8" x14ac:dyDescent="0.25">
      <c r="A21" s="9" t="s">
        <v>5</v>
      </c>
      <c r="B21" s="16"/>
      <c r="C21" s="16">
        <f>'ProForma Statements'!C21</f>
        <v>0.05</v>
      </c>
      <c r="D21" s="16"/>
      <c r="E21" s="16"/>
      <c r="F21" s="16"/>
      <c r="G21" s="16"/>
      <c r="H21" s="18"/>
    </row>
    <row r="22" spans="1:8" x14ac:dyDescent="0.25">
      <c r="B22" s="16"/>
      <c r="C22" s="16"/>
      <c r="D22" s="16"/>
      <c r="E22" s="16"/>
      <c r="F22" s="16"/>
      <c r="G22" s="16"/>
      <c r="H22" s="18"/>
    </row>
    <row r="23" spans="1:8" s="20" customFormat="1" x14ac:dyDescent="0.25">
      <c r="A23" s="20" t="s">
        <v>63</v>
      </c>
      <c r="B23" s="16">
        <f>'ProForma Statements'!B23</f>
        <v>0.7</v>
      </c>
      <c r="C23" s="16">
        <f>'ProForma Statements'!C23</f>
        <v>0.65</v>
      </c>
      <c r="D23" s="16">
        <f>'ProForma Statements'!D23</f>
        <v>0.57999999999999996</v>
      </c>
      <c r="E23" s="16">
        <f>'ProForma Statements'!E23</f>
        <v>0.51</v>
      </c>
      <c r="F23" s="16">
        <f>'ProForma Statements'!F23</f>
        <v>0.5</v>
      </c>
      <c r="G23" s="16">
        <f>'ProForma Statements'!G23</f>
        <v>0.55000000000000004</v>
      </c>
      <c r="H23" s="21"/>
    </row>
    <row r="24" spans="1:8" x14ac:dyDescent="0.25">
      <c r="A24" s="9" t="s">
        <v>27</v>
      </c>
      <c r="B24" s="16"/>
      <c r="C24" s="16">
        <f>'ProForma Statements'!C24</f>
        <v>0.1</v>
      </c>
      <c r="D24" s="16"/>
      <c r="E24" s="16"/>
      <c r="F24" s="16"/>
      <c r="G24" s="16"/>
    </row>
    <row r="25" spans="1:8" x14ac:dyDescent="0.25">
      <c r="B25" s="16"/>
      <c r="C25" s="16"/>
      <c r="D25" s="16"/>
      <c r="E25" s="16"/>
      <c r="F25" s="16"/>
      <c r="G25" s="16"/>
    </row>
    <row r="26" spans="1:8" x14ac:dyDescent="0.25">
      <c r="A26" s="9" t="s">
        <v>12</v>
      </c>
      <c r="B26" s="16"/>
      <c r="C26" s="16">
        <f>'ProForma Statements'!C26</f>
        <v>0.17</v>
      </c>
      <c r="D26" s="16">
        <f>'ProForma Statements'!D26</f>
        <v>0.18</v>
      </c>
      <c r="E26" s="16">
        <f>'ProForma Statements'!E26</f>
        <v>0.19</v>
      </c>
      <c r="F26" s="16">
        <f>'ProForma Statements'!F26</f>
        <v>0.2</v>
      </c>
      <c r="G26" s="16">
        <f>'ProForma Statements'!G26</f>
        <v>0.2</v>
      </c>
    </row>
    <row r="27" spans="1:8" x14ac:dyDescent="0.25">
      <c r="A27" s="9" t="s">
        <v>38</v>
      </c>
      <c r="B27" s="16"/>
      <c r="C27" s="16">
        <f>'ProForma Statements'!C27</f>
        <v>0.25</v>
      </c>
      <c r="D27" s="16"/>
      <c r="E27" s="16"/>
      <c r="F27" s="16"/>
      <c r="G27" s="16"/>
    </row>
    <row r="28" spans="1:8" x14ac:dyDescent="0.25">
      <c r="A28" s="22" t="s">
        <v>14</v>
      </c>
      <c r="B28" s="16"/>
      <c r="C28" s="16">
        <f>'ProForma Statements'!C28</f>
        <v>0.01</v>
      </c>
      <c r="D28" s="16"/>
      <c r="E28" s="16"/>
      <c r="F28" s="16"/>
      <c r="G28" s="16"/>
    </row>
    <row r="29" spans="1:8" x14ac:dyDescent="0.25">
      <c r="A29" s="22"/>
      <c r="B29" s="16"/>
      <c r="C29" s="16"/>
      <c r="D29" s="16"/>
      <c r="E29" s="16"/>
      <c r="F29" s="16"/>
      <c r="G29" s="16"/>
    </row>
    <row r="30" spans="1:8" x14ac:dyDescent="0.25">
      <c r="A30" s="22" t="s">
        <v>29</v>
      </c>
      <c r="B30" s="16"/>
      <c r="C30" s="16">
        <f>'ProForma Statements'!C30</f>
        <v>0.12</v>
      </c>
      <c r="D30" s="16"/>
      <c r="E30" s="16"/>
      <c r="F30" s="16"/>
      <c r="G30" s="16"/>
    </row>
    <row r="31" spans="1:8" x14ac:dyDescent="0.25">
      <c r="A31" s="22" t="s">
        <v>30</v>
      </c>
      <c r="B31" s="16"/>
      <c r="C31" s="16">
        <f>'ProForma Statements'!C31</f>
        <v>0.06</v>
      </c>
      <c r="D31" s="16"/>
      <c r="E31" s="16"/>
      <c r="F31" s="16"/>
      <c r="G31" s="16"/>
    </row>
    <row r="32" spans="1:8" x14ac:dyDescent="0.25">
      <c r="A32" s="22" t="s">
        <v>26</v>
      </c>
      <c r="B32" s="16"/>
      <c r="C32" s="16">
        <f>'ProForma Statements'!C32</f>
        <v>0.4</v>
      </c>
      <c r="D32" s="16"/>
      <c r="E32" s="16"/>
      <c r="F32" s="16"/>
      <c r="G32" s="16"/>
    </row>
    <row r="33" spans="1:13" s="16" customFormat="1" x14ac:dyDescent="0.25">
      <c r="A33" s="16" t="s">
        <v>52</v>
      </c>
      <c r="C33" s="16">
        <f>'ProForma Statements'!C33</f>
        <v>0.32</v>
      </c>
      <c r="D33" s="16">
        <f>'ProForma Statements'!D33</f>
        <v>0.31</v>
      </c>
      <c r="E33" s="16">
        <f>'ProForma Statements'!E33</f>
        <v>0.3</v>
      </c>
      <c r="F33" s="16">
        <f>'ProForma Statements'!F33</f>
        <v>0.28999999999999998</v>
      </c>
      <c r="G33" s="16">
        <f>'ProForma Statements'!G33</f>
        <v>0.27999999999999997</v>
      </c>
    </row>
    <row r="34" spans="1:13" x14ac:dyDescent="0.25">
      <c r="A34" s="22" t="s">
        <v>39</v>
      </c>
      <c r="B34" s="16"/>
      <c r="C34" s="19">
        <f>'ProForma Statements'!C34</f>
        <v>0.41499999999999998</v>
      </c>
      <c r="D34" s="16"/>
      <c r="E34" s="16"/>
      <c r="F34" s="16"/>
      <c r="G34" s="16"/>
    </row>
    <row r="35" spans="1:13" x14ac:dyDescent="0.25">
      <c r="A35" s="22"/>
      <c r="C35" s="23"/>
    </row>
    <row r="36" spans="1:13" x14ac:dyDescent="0.25">
      <c r="A36" s="22"/>
      <c r="C36" s="23"/>
    </row>
    <row r="37" spans="1:13" x14ac:dyDescent="0.25">
      <c r="A37" s="24" t="s">
        <v>20</v>
      </c>
    </row>
    <row r="38" spans="1:13" x14ac:dyDescent="0.25">
      <c r="A38" s="24" t="s">
        <v>24</v>
      </c>
      <c r="B38" s="22">
        <f>'ProForma Statements'!B38</f>
        <v>18977564</v>
      </c>
      <c r="C38" s="47">
        <f>'FCF and Valuation'!C38*SalesDataTable!$B$108</f>
        <v>28048500</v>
      </c>
      <c r="D38" s="47">
        <f>'FCF and Valuation'!D38*SalesDataTable!$B$108</f>
        <v>42021000</v>
      </c>
      <c r="E38" s="47">
        <f>'FCF and Valuation'!E38*SalesDataTable!$B$108</f>
        <v>55993500</v>
      </c>
      <c r="F38" s="47">
        <f>'FCF and Valuation'!F38*SalesDataTable!$B$108</f>
        <v>69966000</v>
      </c>
      <c r="G38" s="47">
        <f>'FCF and Valuation'!G38*SalesDataTable!$B$108</f>
        <v>93938500</v>
      </c>
      <c r="H38" s="9" t="str">
        <f ca="1">_xlfn.FORMULATEXT(G38)</f>
        <v>='FCF and Valuation'!G38*SalesDataTable!$B$108</v>
      </c>
    </row>
    <row r="39" spans="1:13" ht="12.5" x14ac:dyDescent="0.25">
      <c r="A39" s="24"/>
      <c r="C39" s="13"/>
      <c r="D39" s="13"/>
      <c r="E39" s="13"/>
      <c r="F39" s="13"/>
      <c r="G39" s="13"/>
      <c r="J39"/>
      <c r="K39"/>
      <c r="L39"/>
      <c r="M39"/>
    </row>
    <row r="40" spans="1:13" ht="12.5" x14ac:dyDescent="0.25">
      <c r="A40" s="24" t="s">
        <v>25</v>
      </c>
      <c r="C40" s="13"/>
      <c r="D40" s="13"/>
      <c r="E40" s="13"/>
      <c r="F40" s="13"/>
      <c r="G40" s="13"/>
      <c r="J40"/>
      <c r="K40"/>
      <c r="L40"/>
      <c r="M40"/>
    </row>
    <row r="41" spans="1:13" ht="12.5" x14ac:dyDescent="0.25">
      <c r="A41" s="22" t="s">
        <v>47</v>
      </c>
      <c r="B41" s="25">
        <v>-7839481</v>
      </c>
      <c r="C41" s="34">
        <f>-$C$32*C38</f>
        <v>-11219400</v>
      </c>
      <c r="D41" s="34">
        <f t="shared" ref="D41:G41" si="0">-$C$32*D38</f>
        <v>-16808400</v>
      </c>
      <c r="E41" s="34">
        <f t="shared" si="0"/>
        <v>-22397400</v>
      </c>
      <c r="F41" s="34">
        <f t="shared" si="0"/>
        <v>-27986400</v>
      </c>
      <c r="G41" s="34">
        <f t="shared" si="0"/>
        <v>-37575400</v>
      </c>
      <c r="J41"/>
      <c r="K41"/>
      <c r="L41"/>
      <c r="M41"/>
    </row>
    <row r="42" spans="1:13" ht="12.5" x14ac:dyDescent="0.25">
      <c r="A42" s="22" t="s">
        <v>27</v>
      </c>
      <c r="B42" s="25">
        <v>-1303085</v>
      </c>
      <c r="C42" s="34">
        <f>-$C$24*AVERAGE(B59:C59)</f>
        <v>-1563118.915</v>
      </c>
      <c r="D42" s="34">
        <f t="shared" ref="D42:G42" si="1">-$C$24*AVERAGE(C59:D59)</f>
        <v>-2130185.25</v>
      </c>
      <c r="E42" s="34">
        <f t="shared" si="1"/>
        <v>-2646443.25</v>
      </c>
      <c r="F42" s="34">
        <f t="shared" si="1"/>
        <v>-3176984.25</v>
      </c>
      <c r="G42" s="34">
        <f t="shared" si="1"/>
        <v>-4332458.75</v>
      </c>
      <c r="J42"/>
      <c r="K42"/>
      <c r="L42"/>
      <c r="M42"/>
    </row>
    <row r="43" spans="1:13" ht="12.5" x14ac:dyDescent="0.25">
      <c r="A43" s="22" t="s">
        <v>28</v>
      </c>
      <c r="B43" s="25">
        <v>-6045369</v>
      </c>
      <c r="C43" s="33">
        <f>-C33*C38</f>
        <v>-8975520</v>
      </c>
      <c r="D43" s="33">
        <f t="shared" ref="D43:G43" si="2">-D33*D38</f>
        <v>-13026510</v>
      </c>
      <c r="E43" s="33">
        <f t="shared" si="2"/>
        <v>-16798050</v>
      </c>
      <c r="F43" s="33">
        <f t="shared" si="2"/>
        <v>-20290140</v>
      </c>
      <c r="G43" s="33">
        <f t="shared" si="2"/>
        <v>-26302779.999999996</v>
      </c>
      <c r="J43"/>
      <c r="K43"/>
      <c r="L43"/>
      <c r="M43"/>
    </row>
    <row r="44" spans="1:13" x14ac:dyDescent="0.25">
      <c r="A44" s="22" t="s">
        <v>29</v>
      </c>
      <c r="B44" s="25">
        <v>-84606</v>
      </c>
      <c r="C44" s="33">
        <f ca="1">-$C$30*(B72+C72)/2</f>
        <v>-1288093.2280665874</v>
      </c>
      <c r="D44" s="33">
        <f t="shared" ref="D44:G44" ca="1" si="3">-$C$30*(C72+D72)/2</f>
        <v>-1595609.0675431166</v>
      </c>
      <c r="E44" s="33">
        <f t="shared" ca="1" si="3"/>
        <v>-1280455.3222418958</v>
      </c>
      <c r="F44" s="33">
        <f t="shared" ca="1" si="3"/>
        <v>-577101.83389242319</v>
      </c>
      <c r="G44" s="33">
        <f t="shared" ca="1" si="3"/>
        <v>-327162.15302816906</v>
      </c>
    </row>
    <row r="45" spans="1:13" x14ac:dyDescent="0.25">
      <c r="A45" s="22" t="s">
        <v>30</v>
      </c>
      <c r="B45" s="40">
        <v>171362</v>
      </c>
      <c r="C45" s="33">
        <f>$C$31*(B52+C52)/2</f>
        <v>259010.66999999998</v>
      </c>
      <c r="D45" s="33">
        <f t="shared" ref="D45:G45" si="4">$C$31*(C52+D52)/2</f>
        <v>357385.5</v>
      </c>
      <c r="E45" s="33">
        <f t="shared" si="4"/>
        <v>357075</v>
      </c>
      <c r="F45" s="33">
        <f t="shared" si="4"/>
        <v>377878.5</v>
      </c>
      <c r="G45" s="33">
        <f t="shared" si="4"/>
        <v>491713.5</v>
      </c>
    </row>
    <row r="46" spans="1:13" x14ac:dyDescent="0.25">
      <c r="A46" s="22" t="s">
        <v>31</v>
      </c>
      <c r="B46" s="25">
        <f>SUM(B38:B45)</f>
        <v>3876385</v>
      </c>
      <c r="C46" s="33">
        <f ca="1">C38+SUM(C41:C45)</f>
        <v>5261378.5269334167</v>
      </c>
      <c r="D46" s="33">
        <f t="shared" ref="D46:G46" ca="1" si="5">D38+SUM(D41:D45)</f>
        <v>8817681.1824568808</v>
      </c>
      <c r="E46" s="33">
        <f t="shared" ca="1" si="5"/>
        <v>13228226.427758105</v>
      </c>
      <c r="F46" s="33">
        <f t="shared" ca="1" si="5"/>
        <v>18313252.41610758</v>
      </c>
      <c r="G46" s="33">
        <f t="shared" ca="1" si="5"/>
        <v>25892412.596971825</v>
      </c>
    </row>
    <row r="47" spans="1:13" x14ac:dyDescent="0.25">
      <c r="A47" s="22" t="s">
        <v>32</v>
      </c>
      <c r="B47" s="40">
        <f>IF(B46&lt;0,0,-B46*C34)</f>
        <v>-1608699.7749999999</v>
      </c>
      <c r="C47" s="33">
        <f ca="1">-$C$34*C46</f>
        <v>-2183472.0886773677</v>
      </c>
      <c r="D47" s="33">
        <f t="shared" ref="D47:G47" ca="1" si="6">-$C$34*D46</f>
        <v>-3659337.6907196054</v>
      </c>
      <c r="E47" s="33">
        <f t="shared" ca="1" si="6"/>
        <v>-5489713.967519613</v>
      </c>
      <c r="F47" s="33">
        <f t="shared" ca="1" si="6"/>
        <v>-7599999.7526846454</v>
      </c>
      <c r="G47" s="33">
        <f t="shared" ca="1" si="6"/>
        <v>-10745351.227743307</v>
      </c>
    </row>
    <row r="48" spans="1:13" s="15" customFormat="1" x14ac:dyDescent="0.25">
      <c r="A48" s="24" t="s">
        <v>33</v>
      </c>
      <c r="B48" s="39">
        <f>SUM(B46:B47)</f>
        <v>2267685.2250000001</v>
      </c>
      <c r="C48" s="35">
        <f ca="1">C46+C47</f>
        <v>3077906.4382560491</v>
      </c>
      <c r="D48" s="35">
        <f t="shared" ref="D48:G48" ca="1" si="7">D46+D47</f>
        <v>5158343.4917372754</v>
      </c>
      <c r="E48" s="35">
        <f t="shared" ca="1" si="7"/>
        <v>7738512.4602384921</v>
      </c>
      <c r="F48" s="35">
        <f t="shared" ca="1" si="7"/>
        <v>10713252.663422935</v>
      </c>
      <c r="G48" s="35">
        <f t="shared" ca="1" si="7"/>
        <v>15147061.369228518</v>
      </c>
    </row>
    <row r="49" spans="1:7" s="15" customFormat="1" x14ac:dyDescent="0.25">
      <c r="A49" s="24"/>
      <c r="C49" s="26"/>
      <c r="D49" s="26"/>
      <c r="E49" s="26"/>
      <c r="F49" s="26"/>
      <c r="G49" s="26"/>
    </row>
    <row r="50" spans="1:7" x14ac:dyDescent="0.25">
      <c r="A50" s="24" t="s">
        <v>48</v>
      </c>
      <c r="C50" s="13"/>
      <c r="D50" s="13"/>
      <c r="E50" s="13"/>
      <c r="F50" s="13"/>
      <c r="G50" s="13"/>
    </row>
    <row r="51" spans="1:7" x14ac:dyDescent="0.25">
      <c r="A51" s="24" t="s">
        <v>53</v>
      </c>
      <c r="C51" s="13"/>
      <c r="D51" s="13"/>
      <c r="E51" s="13"/>
      <c r="F51" s="13"/>
      <c r="G51" s="13"/>
    </row>
    <row r="52" spans="1:7" x14ac:dyDescent="0.25">
      <c r="A52" s="22" t="s">
        <v>2</v>
      </c>
      <c r="B52" s="22">
        <f>'ProForma Statements'!B52</f>
        <v>3023989</v>
      </c>
      <c r="C52" s="48">
        <f>C18*C38</f>
        <v>5609700</v>
      </c>
      <c r="D52" s="48">
        <f t="shared" ref="D52:G52" si="8">D18*D38</f>
        <v>6303150</v>
      </c>
      <c r="E52" s="48">
        <f t="shared" si="8"/>
        <v>5599350</v>
      </c>
      <c r="F52" s="48">
        <f t="shared" si="8"/>
        <v>6996600</v>
      </c>
      <c r="G52" s="48">
        <f t="shared" si="8"/>
        <v>9393850</v>
      </c>
    </row>
    <row r="53" spans="1:7" x14ac:dyDescent="0.25">
      <c r="A53" s="22" t="s">
        <v>3</v>
      </c>
      <c r="B53" s="22">
        <f>'ProForma Statements'!B53</f>
        <v>4194238</v>
      </c>
      <c r="C53" s="48">
        <f>$C$19*C38</f>
        <v>6170670</v>
      </c>
      <c r="D53" s="48">
        <f t="shared" ref="D53:G53" si="9">$C$19*D38</f>
        <v>9244620</v>
      </c>
      <c r="E53" s="48">
        <f t="shared" si="9"/>
        <v>12318570</v>
      </c>
      <c r="F53" s="48">
        <f t="shared" si="9"/>
        <v>15392520</v>
      </c>
      <c r="G53" s="48">
        <f t="shared" si="9"/>
        <v>20666470</v>
      </c>
    </row>
    <row r="54" spans="1:7" x14ac:dyDescent="0.25">
      <c r="A54" s="22" t="s">
        <v>4</v>
      </c>
      <c r="B54" s="22">
        <f>'ProForma Statements'!B54</f>
        <v>759104</v>
      </c>
      <c r="C54" s="48">
        <f>C20*C38</f>
        <v>1262182.5</v>
      </c>
      <c r="D54" s="48">
        <f t="shared" ref="D54:G54" si="10">D20*D38</f>
        <v>2101050</v>
      </c>
      <c r="E54" s="48">
        <f t="shared" si="10"/>
        <v>2799675</v>
      </c>
      <c r="F54" s="48">
        <f t="shared" si="10"/>
        <v>3498300</v>
      </c>
      <c r="G54" s="48">
        <f t="shared" si="10"/>
        <v>4696925</v>
      </c>
    </row>
    <row r="55" spans="1:7" x14ac:dyDescent="0.25">
      <c r="A55" s="22" t="s">
        <v>5</v>
      </c>
      <c r="B55" s="22">
        <f>'ProForma Statements'!B55</f>
        <v>1006169</v>
      </c>
      <c r="C55" s="48">
        <f>$C$21*C38</f>
        <v>1402425</v>
      </c>
      <c r="D55" s="48">
        <f t="shared" ref="D55:G55" si="11">$C$21*D38</f>
        <v>2101050</v>
      </c>
      <c r="E55" s="48">
        <f t="shared" si="11"/>
        <v>2799675</v>
      </c>
      <c r="F55" s="48">
        <f t="shared" si="11"/>
        <v>3498300</v>
      </c>
      <c r="G55" s="48">
        <f t="shared" si="11"/>
        <v>4696925</v>
      </c>
    </row>
    <row r="56" spans="1:7" x14ac:dyDescent="0.25">
      <c r="A56" s="24" t="s">
        <v>49</v>
      </c>
      <c r="B56" s="22">
        <f t="shared" ref="B56:C56" si="12">SUM(B52:B55)</f>
        <v>8983500</v>
      </c>
      <c r="C56" s="48">
        <f t="shared" si="12"/>
        <v>14444977.5</v>
      </c>
      <c r="D56" s="48">
        <f t="shared" ref="D56:G56" si="13">SUM(D52:D55)</f>
        <v>19749870</v>
      </c>
      <c r="E56" s="48">
        <f t="shared" si="13"/>
        <v>23517270</v>
      </c>
      <c r="F56" s="48">
        <f t="shared" si="13"/>
        <v>29385720</v>
      </c>
      <c r="G56" s="48">
        <f t="shared" si="13"/>
        <v>39454170</v>
      </c>
    </row>
    <row r="57" spans="1:7" x14ac:dyDescent="0.25">
      <c r="A57" s="22"/>
      <c r="C57" s="13"/>
      <c r="D57" s="13"/>
      <c r="E57" s="13"/>
      <c r="F57" s="13"/>
      <c r="G57" s="13"/>
    </row>
    <row r="58" spans="1:7" x14ac:dyDescent="0.25">
      <c r="A58" s="24" t="s">
        <v>6</v>
      </c>
      <c r="C58" s="13"/>
      <c r="D58" s="13"/>
      <c r="E58" s="13"/>
      <c r="F58" s="13"/>
      <c r="G58" s="13"/>
    </row>
    <row r="59" spans="1:7" x14ac:dyDescent="0.25">
      <c r="A59" s="22" t="s">
        <v>7</v>
      </c>
      <c r="B59" s="22">
        <f>'ProForma Statements'!B59</f>
        <v>13030853.299999999</v>
      </c>
      <c r="C59" s="33">
        <f>C23*C38</f>
        <v>18231525</v>
      </c>
      <c r="D59" s="33">
        <f t="shared" ref="D59:G59" si="14">D23*D38</f>
        <v>24372180</v>
      </c>
      <c r="E59" s="33">
        <f t="shared" si="14"/>
        <v>28556685</v>
      </c>
      <c r="F59" s="33">
        <f t="shared" si="14"/>
        <v>34983000</v>
      </c>
      <c r="G59" s="33">
        <f t="shared" si="14"/>
        <v>51666175.000000007</v>
      </c>
    </row>
    <row r="60" spans="1:7" x14ac:dyDescent="0.25">
      <c r="A60" s="22" t="s">
        <v>8</v>
      </c>
      <c r="B60" s="22">
        <f>'ProForma Statements'!B60</f>
        <v>-1703085.33</v>
      </c>
      <c r="C60" s="33">
        <f>B60+C42</f>
        <v>-3266204.2450000001</v>
      </c>
      <c r="D60" s="33">
        <f t="shared" ref="D60:G60" si="15">C60+D42</f>
        <v>-5396389.4950000001</v>
      </c>
      <c r="E60" s="33">
        <f t="shared" si="15"/>
        <v>-8042832.7450000001</v>
      </c>
      <c r="F60" s="33">
        <f t="shared" si="15"/>
        <v>-11219816.995000001</v>
      </c>
      <c r="G60" s="33">
        <f t="shared" si="15"/>
        <v>-15552275.745000001</v>
      </c>
    </row>
    <row r="61" spans="1:7" x14ac:dyDescent="0.25">
      <c r="A61" s="22" t="s">
        <v>9</v>
      </c>
      <c r="B61" s="22">
        <f>'ProForma Statements'!B61</f>
        <v>11327767.969999999</v>
      </c>
      <c r="C61" s="36">
        <f>C59+C60</f>
        <v>14965320.754999999</v>
      </c>
      <c r="D61" s="36">
        <f t="shared" ref="D61:G61" si="16">D59+D60</f>
        <v>18975790.504999999</v>
      </c>
      <c r="E61" s="36">
        <f t="shared" si="16"/>
        <v>20513852.254999999</v>
      </c>
      <c r="F61" s="36">
        <f t="shared" si="16"/>
        <v>23763183.004999999</v>
      </c>
      <c r="G61" s="36">
        <f t="shared" si="16"/>
        <v>36113899.25500001</v>
      </c>
    </row>
    <row r="62" spans="1:7" x14ac:dyDescent="0.25">
      <c r="A62" s="22"/>
      <c r="C62" s="13"/>
      <c r="D62" s="13"/>
      <c r="E62" s="13"/>
      <c r="F62" s="13"/>
      <c r="G62" s="13"/>
    </row>
    <row r="63" spans="1:7" x14ac:dyDescent="0.25">
      <c r="A63" s="24" t="s">
        <v>10</v>
      </c>
      <c r="B63" s="13">
        <f t="shared" ref="B63:C63" si="17">B56+B61</f>
        <v>20311267.969999999</v>
      </c>
      <c r="C63" s="33">
        <f t="shared" si="17"/>
        <v>29410298.254999999</v>
      </c>
      <c r="D63" s="33">
        <f t="shared" ref="D63:G63" si="18">D56+D61</f>
        <v>38725660.504999995</v>
      </c>
      <c r="E63" s="33">
        <f t="shared" si="18"/>
        <v>44031122.254999995</v>
      </c>
      <c r="F63" s="33">
        <f t="shared" si="18"/>
        <v>53148903.004999995</v>
      </c>
      <c r="G63" s="33">
        <f t="shared" si="18"/>
        <v>75568069.25500001</v>
      </c>
    </row>
    <row r="64" spans="1:7" x14ac:dyDescent="0.25">
      <c r="A64" s="22"/>
      <c r="C64" s="13"/>
      <c r="D64" s="13"/>
      <c r="E64" s="13"/>
      <c r="F64" s="13"/>
      <c r="G64" s="13"/>
    </row>
    <row r="65" spans="1:7" x14ac:dyDescent="0.25">
      <c r="A65" s="22"/>
      <c r="C65" s="13"/>
      <c r="D65" s="13"/>
      <c r="E65" s="13"/>
      <c r="F65" s="13"/>
      <c r="G65" s="13"/>
    </row>
    <row r="66" spans="1:7" x14ac:dyDescent="0.25">
      <c r="A66" s="24" t="s">
        <v>11</v>
      </c>
      <c r="C66" s="13"/>
      <c r="D66" s="13"/>
      <c r="E66" s="13"/>
      <c r="F66" s="13"/>
      <c r="G66" s="13"/>
    </row>
    <row r="67" spans="1:7" x14ac:dyDescent="0.25">
      <c r="A67" s="22" t="s">
        <v>12</v>
      </c>
      <c r="B67" s="22">
        <f>'ProForma Statements'!B67</f>
        <v>3271271</v>
      </c>
      <c r="C67" s="33">
        <f>C26*C38</f>
        <v>4768245</v>
      </c>
      <c r="D67" s="33">
        <f>D26*D38</f>
        <v>7563780</v>
      </c>
      <c r="E67" s="33">
        <f>E26*E38</f>
        <v>10638765</v>
      </c>
      <c r="F67" s="33">
        <f>F26*F38</f>
        <v>13993200</v>
      </c>
      <c r="G67" s="33">
        <f>G26*G38</f>
        <v>18787700</v>
      </c>
    </row>
    <row r="68" spans="1:7" x14ac:dyDescent="0.25">
      <c r="A68" s="22" t="s">
        <v>13</v>
      </c>
      <c r="B68" s="22">
        <f ca="1">'ProForma Statements'!B68</f>
        <v>423485.80894877721</v>
      </c>
      <c r="C68" s="33">
        <f ca="1">-$C$27*C47</f>
        <v>545868.02216934192</v>
      </c>
      <c r="D68" s="33">
        <f ca="1">-$C$27*D47</f>
        <v>914834.42267990136</v>
      </c>
      <c r="E68" s="33">
        <f ca="1">-$C$27*E47</f>
        <v>1372428.4918799032</v>
      </c>
      <c r="F68" s="33">
        <f ca="1">-$C$27*F47</f>
        <v>1899999.9381711613</v>
      </c>
      <c r="G68" s="33">
        <f ca="1">-$C$27*G47</f>
        <v>2686337.8069358268</v>
      </c>
    </row>
    <row r="69" spans="1:7" x14ac:dyDescent="0.25">
      <c r="A69" s="22" t="s">
        <v>14</v>
      </c>
      <c r="B69" s="22">
        <f>'ProForma Statements'!B69</f>
        <v>151189</v>
      </c>
      <c r="C69" s="33">
        <f>$C$28*C38</f>
        <v>280485</v>
      </c>
      <c r="D69" s="33">
        <f>$C$28*D38</f>
        <v>420210</v>
      </c>
      <c r="E69" s="33">
        <f>$C$28*E38</f>
        <v>559935</v>
      </c>
      <c r="F69" s="33">
        <f>$C$28*F38</f>
        <v>699660</v>
      </c>
      <c r="G69" s="33">
        <f>$C$28*G38</f>
        <v>939385</v>
      </c>
    </row>
    <row r="70" spans="1:7" x14ac:dyDescent="0.25">
      <c r="A70" s="24" t="s">
        <v>50</v>
      </c>
      <c r="B70" s="22">
        <f t="shared" ref="B70:G70" ca="1" si="19">SUM(B67:B69)</f>
        <v>3845945.8089487772</v>
      </c>
      <c r="C70" s="33">
        <f t="shared" ca="1" si="19"/>
        <v>5594598.0221693423</v>
      </c>
      <c r="D70" s="33">
        <f t="shared" ca="1" si="19"/>
        <v>8898824.4226799011</v>
      </c>
      <c r="E70" s="33">
        <f t="shared" ca="1" si="19"/>
        <v>12571128.491879903</v>
      </c>
      <c r="F70" s="33">
        <f t="shared" ca="1" si="19"/>
        <v>16592859.938171161</v>
      </c>
      <c r="G70" s="33">
        <f t="shared" ca="1" si="19"/>
        <v>22413422.806935828</v>
      </c>
    </row>
    <row r="71" spans="1:7" x14ac:dyDescent="0.25">
      <c r="A71" s="22"/>
      <c r="C71" s="13"/>
      <c r="D71" s="13"/>
      <c r="E71" s="13"/>
      <c r="F71" s="13"/>
      <c r="G71" s="13"/>
    </row>
    <row r="72" spans="1:7" x14ac:dyDescent="0.25">
      <c r="A72" s="22" t="s">
        <v>15</v>
      </c>
      <c r="B72" s="22">
        <f ca="1">'ProForma Statements'!B72</f>
        <v>8597874.4171265345</v>
      </c>
      <c r="C72" s="38">
        <f ca="1">C63-C70-C75-C76</f>
        <v>12870346.050649926</v>
      </c>
      <c r="D72" s="38">
        <f t="shared" ref="D72:G72" ca="1" si="20">D63-D70-D75-D76</f>
        <v>13723138.408402108</v>
      </c>
      <c r="E72" s="38">
        <f t="shared" ca="1" si="20"/>
        <v>7617783.6289638579</v>
      </c>
      <c r="F72" s="38">
        <f t="shared" ca="1" si="20"/>
        <v>2000580.269251477</v>
      </c>
      <c r="G72" s="38">
        <f t="shared" ca="1" si="20"/>
        <v>3452122.2812684253</v>
      </c>
    </row>
    <row r="73" spans="1:7" x14ac:dyDescent="0.25">
      <c r="A73" s="22"/>
      <c r="C73" s="13"/>
      <c r="D73" s="13"/>
      <c r="E73" s="13"/>
      <c r="F73" s="13"/>
      <c r="G73" s="13"/>
    </row>
    <row r="74" spans="1:7" x14ac:dyDescent="0.25">
      <c r="A74" s="24" t="s">
        <v>16</v>
      </c>
      <c r="C74" s="13"/>
      <c r="D74" s="13"/>
      <c r="E74" s="13"/>
      <c r="F74" s="13"/>
      <c r="G74" s="13"/>
    </row>
    <row r="75" spans="1:7" x14ac:dyDescent="0.25">
      <c r="A75" s="22" t="s">
        <v>17</v>
      </c>
      <c r="B75" s="22">
        <f>'ProForma Statements'!B75</f>
        <v>4610999</v>
      </c>
      <c r="C75" s="36">
        <f>$B$75</f>
        <v>4610999</v>
      </c>
      <c r="D75" s="36">
        <f>$B$75</f>
        <v>4610999</v>
      </c>
      <c r="E75" s="36">
        <f>$B$75</f>
        <v>4610999</v>
      </c>
      <c r="F75" s="36">
        <f>$B$75</f>
        <v>4610999</v>
      </c>
      <c r="G75" s="36">
        <f>$B$75</f>
        <v>4610999</v>
      </c>
    </row>
    <row r="76" spans="1:7" x14ac:dyDescent="0.25">
      <c r="A76" s="22" t="s">
        <v>18</v>
      </c>
      <c r="B76" s="22">
        <f ca="1">'ProForma Statements'!B76</f>
        <v>3256448.7439246867</v>
      </c>
      <c r="C76" s="33">
        <f ca="1">B76+C48</f>
        <v>6334355.1821807362</v>
      </c>
      <c r="D76" s="33">
        <f ca="1">C76+D48</f>
        <v>11492698.673918013</v>
      </c>
      <c r="E76" s="33">
        <f ca="1">D76+E48</f>
        <v>19231211.134156503</v>
      </c>
      <c r="F76" s="33">
        <f ca="1">E76+F48</f>
        <v>29944463.797579437</v>
      </c>
      <c r="G76" s="33">
        <f ca="1">F76+G48</f>
        <v>45091525.166807957</v>
      </c>
    </row>
    <row r="77" spans="1:7" x14ac:dyDescent="0.25">
      <c r="A77" s="24" t="s">
        <v>19</v>
      </c>
      <c r="B77" s="13">
        <f t="shared" ref="B77:G77" ca="1" si="21">B70+B72+B75+B76</f>
        <v>20311267.969999999</v>
      </c>
      <c r="C77" s="33">
        <f t="shared" ca="1" si="21"/>
        <v>29410298.255000006</v>
      </c>
      <c r="D77" s="33">
        <f t="shared" ca="1" si="21"/>
        <v>38725660.505000025</v>
      </c>
      <c r="E77" s="33">
        <f t="shared" ca="1" si="21"/>
        <v>44031122.255000263</v>
      </c>
      <c r="F77" s="33">
        <f t="shared" ca="1" si="21"/>
        <v>53148903.005002074</v>
      </c>
      <c r="G77" s="33">
        <f t="shared" ca="1" si="21"/>
        <v>75568069.255012214</v>
      </c>
    </row>
    <row r="78" spans="1:7" x14ac:dyDescent="0.25">
      <c r="A78" s="22"/>
      <c r="C78" s="13"/>
      <c r="D78" s="13"/>
      <c r="E78" s="13"/>
      <c r="F78" s="13"/>
      <c r="G78" s="13"/>
    </row>
    <row r="79" spans="1:7" x14ac:dyDescent="0.25">
      <c r="A79" s="22"/>
      <c r="C79" s="13"/>
      <c r="D79" s="13"/>
      <c r="E79" s="13"/>
      <c r="F79" s="13"/>
      <c r="G79" s="13"/>
    </row>
    <row r="80" spans="1:7" x14ac:dyDescent="0.25">
      <c r="A80" s="24" t="s">
        <v>81</v>
      </c>
      <c r="C80" s="28">
        <v>2016</v>
      </c>
      <c r="D80" s="28">
        <v>2017</v>
      </c>
      <c r="E80" s="28">
        <v>2018</v>
      </c>
      <c r="F80" s="28">
        <v>2019</v>
      </c>
      <c r="G80" s="28">
        <v>2020</v>
      </c>
    </row>
    <row r="81" spans="1:7" x14ac:dyDescent="0.25">
      <c r="A81" s="22" t="s">
        <v>54</v>
      </c>
      <c r="C81" s="33">
        <f ca="1">C48</f>
        <v>3077906.4382560491</v>
      </c>
      <c r="D81" s="33">
        <f ca="1">D48</f>
        <v>5158343.4917372754</v>
      </c>
      <c r="E81" s="33">
        <f ca="1">E48</f>
        <v>7738512.4602384921</v>
      </c>
      <c r="F81" s="33">
        <f ca="1">F48</f>
        <v>10713252.663422935</v>
      </c>
      <c r="G81" s="33">
        <f ca="1">G48</f>
        <v>15147061.369228518</v>
      </c>
    </row>
    <row r="82" spans="1:7" x14ac:dyDescent="0.25">
      <c r="A82" s="22" t="s">
        <v>34</v>
      </c>
      <c r="C82" s="33">
        <f>-C42</f>
        <v>1563118.915</v>
      </c>
      <c r="D82" s="33">
        <f>-D42</f>
        <v>2130185.25</v>
      </c>
      <c r="E82" s="33">
        <f>-E42</f>
        <v>2646443.25</v>
      </c>
      <c r="F82" s="33">
        <f>-F42</f>
        <v>3176984.25</v>
      </c>
      <c r="G82" s="33">
        <f>-G42</f>
        <v>4332458.75</v>
      </c>
    </row>
    <row r="83" spans="1:7" x14ac:dyDescent="0.25">
      <c r="A83" s="22" t="s">
        <v>71</v>
      </c>
      <c r="C83" s="33">
        <f t="shared" ref="C83:G84" ca="1" si="22">-C44*(1-$C$34)</f>
        <v>753534.53841895354</v>
      </c>
      <c r="D83" s="33">
        <f t="shared" ca="1" si="22"/>
        <v>933431.30451272312</v>
      </c>
      <c r="E83" s="33">
        <f t="shared" ca="1" si="22"/>
        <v>749066.36351150903</v>
      </c>
      <c r="F83" s="33">
        <f t="shared" ca="1" si="22"/>
        <v>337604.57282706758</v>
      </c>
      <c r="G83" s="33">
        <f t="shared" ca="1" si="22"/>
        <v>191389.85952147888</v>
      </c>
    </row>
    <row r="84" spans="1:7" x14ac:dyDescent="0.25">
      <c r="A84" s="22" t="s">
        <v>72</v>
      </c>
      <c r="C84" s="33">
        <f t="shared" si="22"/>
        <v>-151521.24194999997</v>
      </c>
      <c r="D84" s="33">
        <f t="shared" si="22"/>
        <v>-209070.51749999999</v>
      </c>
      <c r="E84" s="33">
        <f t="shared" si="22"/>
        <v>-208888.875</v>
      </c>
      <c r="F84" s="33">
        <f t="shared" si="22"/>
        <v>-221058.92249999999</v>
      </c>
      <c r="G84" s="33">
        <f t="shared" si="22"/>
        <v>-287652.39749999996</v>
      </c>
    </row>
    <row r="85" spans="1:7" x14ac:dyDescent="0.25">
      <c r="A85" s="22" t="s">
        <v>68</v>
      </c>
      <c r="C85" s="33">
        <f>-SUM(C53:C55)+SUM(B53:B55)</f>
        <v>-2875766.5</v>
      </c>
      <c r="D85" s="33">
        <f>-SUM(D53:D55)+SUM(C53:C55)</f>
        <v>-4611442.5</v>
      </c>
      <c r="E85" s="33">
        <f>-SUM(E53:E55)+SUM(D53:D55)</f>
        <v>-4471200</v>
      </c>
      <c r="F85" s="33">
        <f>-SUM(F53:F55)+SUM(E53:E55)</f>
        <v>-4471200</v>
      </c>
      <c r="G85" s="33">
        <f>-SUM(G53:G55)+SUM(F53:F55)</f>
        <v>-7671200</v>
      </c>
    </row>
    <row r="86" spans="1:7" x14ac:dyDescent="0.25">
      <c r="A86" s="22" t="s">
        <v>66</v>
      </c>
      <c r="C86" s="33">
        <f ca="1">C70-B70</f>
        <v>1748652.2132205651</v>
      </c>
      <c r="D86" s="33">
        <f ca="1">D70-C70</f>
        <v>3304226.4005105589</v>
      </c>
      <c r="E86" s="33">
        <f ca="1">E70-D70</f>
        <v>3672304.0692000017</v>
      </c>
      <c r="F86" s="33">
        <f ca="1">F70-E70</f>
        <v>4021731.4462912586</v>
      </c>
      <c r="G86" s="33">
        <f ca="1">G70-F70</f>
        <v>5820562.8687646668</v>
      </c>
    </row>
    <row r="87" spans="1:7" x14ac:dyDescent="0.25">
      <c r="A87" s="22" t="s">
        <v>65</v>
      </c>
      <c r="C87" s="33">
        <f>-C59+B59</f>
        <v>-5200671.7000000011</v>
      </c>
      <c r="D87" s="33">
        <f>-D59+C59</f>
        <v>-6140655</v>
      </c>
      <c r="E87" s="33">
        <f>-E59+D59</f>
        <v>-4184505</v>
      </c>
      <c r="F87" s="33">
        <f>-F59+E59</f>
        <v>-6426315</v>
      </c>
      <c r="G87" s="33">
        <f>-G59+F59</f>
        <v>-16683175.000000007</v>
      </c>
    </row>
    <row r="88" spans="1:7" x14ac:dyDescent="0.25">
      <c r="A88" s="24" t="s">
        <v>37</v>
      </c>
      <c r="C88" s="33">
        <f ca="1">SUM(C81:C87)</f>
        <v>-1084747.3370544338</v>
      </c>
      <c r="D88" s="33">
        <f ca="1">SUM(D81:D87)</f>
        <v>565018.42926055752</v>
      </c>
      <c r="E88" s="33">
        <f ca="1">SUM(E81:E87)</f>
        <v>5941732.2679500021</v>
      </c>
      <c r="F88" s="33">
        <f ca="1">SUM(F81:F87)</f>
        <v>7130999.0100412611</v>
      </c>
      <c r="G88" s="33">
        <f ca="1">SUM(G81:G87)</f>
        <v>849445.45001465827</v>
      </c>
    </row>
    <row r="89" spans="1:7" x14ac:dyDescent="0.25">
      <c r="A89" s="22"/>
      <c r="C89" s="13"/>
      <c r="D89" s="13"/>
      <c r="E89" s="13"/>
      <c r="F89" s="13"/>
      <c r="G89" s="13"/>
    </row>
    <row r="90" spans="1:7" x14ac:dyDescent="0.25">
      <c r="A90" s="22"/>
      <c r="C90" s="13"/>
      <c r="D90" s="13"/>
      <c r="E90" s="13"/>
      <c r="F90" s="13"/>
      <c r="G90" s="13"/>
    </row>
    <row r="91" spans="1:7" x14ac:dyDescent="0.25">
      <c r="A91" s="24" t="s">
        <v>55</v>
      </c>
      <c r="C91" s="13"/>
      <c r="D91" s="13"/>
      <c r="E91" s="13"/>
      <c r="F91" s="13"/>
      <c r="G91" s="13"/>
    </row>
    <row r="92" spans="1:7" x14ac:dyDescent="0.25">
      <c r="A92" s="22" t="s">
        <v>60</v>
      </c>
      <c r="B92" s="30">
        <v>0.20430000000000001</v>
      </c>
      <c r="C92" s="13"/>
      <c r="D92" s="13"/>
      <c r="E92" s="13"/>
      <c r="F92" s="13"/>
      <c r="G92" s="13"/>
    </row>
    <row r="93" spans="1:7" x14ac:dyDescent="0.25">
      <c r="A93" s="22" t="s">
        <v>82</v>
      </c>
      <c r="B93" s="30">
        <v>0.05</v>
      </c>
      <c r="C93" s="13"/>
      <c r="D93" s="13"/>
      <c r="E93" s="13"/>
      <c r="F93" s="13"/>
      <c r="G93" s="13"/>
    </row>
    <row r="94" spans="1:7" x14ac:dyDescent="0.25">
      <c r="A94" s="22"/>
      <c r="B94" s="30"/>
      <c r="C94" s="13"/>
      <c r="D94" s="13"/>
      <c r="E94" s="13"/>
      <c r="F94" s="13"/>
      <c r="G94" s="13"/>
    </row>
    <row r="95" spans="1:7" x14ac:dyDescent="0.25">
      <c r="A95" s="24" t="s">
        <v>57</v>
      </c>
      <c r="C95" s="28">
        <v>2016</v>
      </c>
      <c r="D95" s="28">
        <v>2017</v>
      </c>
      <c r="E95" s="28">
        <v>2018</v>
      </c>
      <c r="F95" s="28">
        <v>2019</v>
      </c>
      <c r="G95" s="28">
        <v>2020</v>
      </c>
    </row>
    <row r="96" spans="1:7" x14ac:dyDescent="0.25">
      <c r="A96" s="46" t="s">
        <v>84</v>
      </c>
      <c r="C96" s="13">
        <f ca="1">C88</f>
        <v>-1084747.3370544338</v>
      </c>
      <c r="D96" s="13">
        <f t="shared" ref="D96:G96" ca="1" si="23">D88</f>
        <v>565018.42926055752</v>
      </c>
      <c r="E96" s="13">
        <f t="shared" ca="1" si="23"/>
        <v>5941732.2679500021</v>
      </c>
      <c r="F96" s="13">
        <f t="shared" ca="1" si="23"/>
        <v>7130999.0100412611</v>
      </c>
      <c r="G96" s="13">
        <f t="shared" ca="1" si="23"/>
        <v>849445.45001465827</v>
      </c>
    </row>
    <row r="97" spans="1:7" x14ac:dyDescent="0.25">
      <c r="A97" s="46" t="s">
        <v>85</v>
      </c>
      <c r="G97" s="13">
        <f ca="1">G96*(1+B93)/(B92-B93)</f>
        <v>5780412.9780647522</v>
      </c>
    </row>
    <row r="98" spans="1:7" x14ac:dyDescent="0.25">
      <c r="A98" s="46" t="s">
        <v>86</v>
      </c>
      <c r="C98" s="13">
        <f ca="1">C97+C96</f>
        <v>-1084747.3370544338</v>
      </c>
      <c r="D98" s="13">
        <f t="shared" ref="D98:G98" ca="1" si="24">D97+D96</f>
        <v>565018.42926055752</v>
      </c>
      <c r="E98" s="13">
        <f t="shared" ca="1" si="24"/>
        <v>5941732.2679500021</v>
      </c>
      <c r="F98" s="13">
        <f t="shared" ca="1" si="24"/>
        <v>7130999.0100412611</v>
      </c>
      <c r="G98" s="13">
        <f t="shared" ca="1" si="24"/>
        <v>6629858.4280794105</v>
      </c>
    </row>
    <row r="99" spans="1:7" x14ac:dyDescent="0.25">
      <c r="A99" s="22" t="s">
        <v>56</v>
      </c>
      <c r="B99" s="41">
        <f ca="1">NPV(B92,C98:G98)*(1+B92)^0.5</f>
        <v>9764616.5868236478</v>
      </c>
      <c r="C99" s="31" t="str">
        <f ca="1">_xlfn.FORMULATEXT(B99)</f>
        <v>=NPV(B92,C98:G98)*(1+B92)^0.5</v>
      </c>
    </row>
    <row r="100" spans="1:7" x14ac:dyDescent="0.25">
      <c r="A100" s="22" t="s">
        <v>88</v>
      </c>
      <c r="B100" s="34">
        <f>B52</f>
        <v>3023989</v>
      </c>
      <c r="C100" s="31" t="str">
        <f t="shared" ref="C100:C102" ca="1" si="25">_xlfn.FORMULATEXT(B100)</f>
        <v>=B52</v>
      </c>
    </row>
    <row r="101" spans="1:7" x14ac:dyDescent="0.25">
      <c r="A101" s="9" t="s">
        <v>83</v>
      </c>
      <c r="B101" s="34">
        <f ca="1">B72</f>
        <v>8597874.4171265345</v>
      </c>
      <c r="C101" s="31" t="str">
        <f t="shared" ca="1" si="25"/>
        <v>=B72</v>
      </c>
      <c r="E101" s="41"/>
    </row>
    <row r="102" spans="1:7" x14ac:dyDescent="0.25">
      <c r="A102" s="9" t="s">
        <v>69</v>
      </c>
      <c r="B102" s="33">
        <f ca="1">B99+B100-B101</f>
        <v>4190731.1696971133</v>
      </c>
      <c r="C102" s="31" t="str">
        <f t="shared" ca="1" si="25"/>
        <v>=B99+B100-B101</v>
      </c>
    </row>
    <row r="103" spans="1:7" x14ac:dyDescent="0.25">
      <c r="B103" s="13"/>
    </row>
    <row r="104" spans="1:7" x14ac:dyDescent="0.25">
      <c r="A104" s="9" t="s">
        <v>58</v>
      </c>
      <c r="B104" s="13">
        <v>5000000</v>
      </c>
    </row>
    <row r="105" spans="1:7" x14ac:dyDescent="0.25">
      <c r="A105" s="9" t="s">
        <v>59</v>
      </c>
      <c r="B105" s="37">
        <f ca="1">B102/B104</f>
        <v>0.83814623393942267</v>
      </c>
      <c r="C105" s="31" t="str">
        <f t="shared" ref="C105" ca="1" si="26">_xlfn.FORMULATEXT(B105)</f>
        <v>=B102/B104</v>
      </c>
    </row>
    <row r="106" spans="1:7" x14ac:dyDescent="0.25">
      <c r="B106" s="32"/>
    </row>
    <row r="107" spans="1:7" x14ac:dyDescent="0.25">
      <c r="D107" s="9" t="s">
        <v>77</v>
      </c>
    </row>
    <row r="108" spans="1:7" ht="12.5" x14ac:dyDescent="0.25">
      <c r="A108" s="9" t="s">
        <v>87</v>
      </c>
      <c r="B108" s="42">
        <v>1</v>
      </c>
      <c r="D108" s="43">
        <f ca="1">B105</f>
        <v>0.83814623393942267</v>
      </c>
      <c r="F108"/>
    </row>
    <row r="109" spans="1:7" ht="12.5" x14ac:dyDescent="0.25">
      <c r="B109" s="9" t="s">
        <v>73</v>
      </c>
      <c r="C109" s="32">
        <v>0.7</v>
      </c>
      <c r="D109" s="32">
        <f t="dataTable" ref="D109:D115" dt2D="0" dtr="0" r1="B108" ca="1"/>
        <v>1.1034014648692765</v>
      </c>
      <c r="F109"/>
    </row>
    <row r="110" spans="1:7" x14ac:dyDescent="0.25">
      <c r="C110" s="32">
        <v>0.8</v>
      </c>
      <c r="D110" s="32">
        <v>1.0149830545575391</v>
      </c>
    </row>
    <row r="111" spans="1:7" x14ac:dyDescent="0.25">
      <c r="B111" s="9" t="s">
        <v>74</v>
      </c>
      <c r="C111" s="32">
        <v>0.9</v>
      </c>
      <c r="D111" s="32">
        <v>0.92656464424811824</v>
      </c>
    </row>
    <row r="112" spans="1:7" x14ac:dyDescent="0.25">
      <c r="B112" s="9" t="s">
        <v>75</v>
      </c>
      <c r="C112" s="32">
        <v>1</v>
      </c>
      <c r="D112" s="32">
        <v>0.83814623393870891</v>
      </c>
    </row>
    <row r="113" spans="2:13" x14ac:dyDescent="0.25">
      <c r="B113" s="9" t="s">
        <v>76</v>
      </c>
      <c r="C113" s="32">
        <v>1.2</v>
      </c>
      <c r="D113" s="32">
        <v>0.66130941331929494</v>
      </c>
    </row>
    <row r="114" spans="2:13" x14ac:dyDescent="0.25">
      <c r="C114" s="32">
        <v>1.4</v>
      </c>
      <c r="D114" s="32">
        <v>0.48447259270046761</v>
      </c>
    </row>
    <row r="115" spans="2:13" x14ac:dyDescent="0.25">
      <c r="C115" s="32">
        <v>1.5</v>
      </c>
      <c r="D115" s="32">
        <v>0.3960541823916327</v>
      </c>
    </row>
    <row r="117" spans="2:13" ht="12.5" x14ac:dyDescent="0.25">
      <c r="G117"/>
      <c r="H117"/>
      <c r="I117"/>
      <c r="J117"/>
      <c r="K117"/>
      <c r="L117"/>
      <c r="M117"/>
    </row>
    <row r="118" spans="2:13" ht="12.5" x14ac:dyDescent="0.25">
      <c r="G118"/>
      <c r="H118"/>
      <c r="I118"/>
      <c r="J118"/>
      <c r="K118"/>
      <c r="L118"/>
      <c r="M118"/>
    </row>
    <row r="119" spans="2:13" ht="12.5" x14ac:dyDescent="0.25">
      <c r="G119"/>
      <c r="H119"/>
      <c r="I119"/>
      <c r="J119"/>
      <c r="K119"/>
      <c r="L119"/>
      <c r="M119"/>
    </row>
    <row r="120" spans="2:13" ht="12.5" x14ac:dyDescent="0.25">
      <c r="G120"/>
      <c r="H120"/>
      <c r="I120"/>
      <c r="J120"/>
      <c r="K120"/>
      <c r="L120"/>
      <c r="M120"/>
    </row>
    <row r="121" spans="2:13" ht="12.5" x14ac:dyDescent="0.25">
      <c r="G121"/>
      <c r="H121"/>
      <c r="I121"/>
      <c r="J121"/>
      <c r="K121"/>
      <c r="L121"/>
      <c r="M121"/>
    </row>
    <row r="122" spans="2:13" ht="12.5" x14ac:dyDescent="0.25">
      <c r="G122"/>
      <c r="H122"/>
      <c r="I122"/>
      <c r="J122"/>
      <c r="K122"/>
      <c r="L122"/>
      <c r="M122"/>
    </row>
    <row r="123" spans="2:13" ht="12.5" x14ac:dyDescent="0.25">
      <c r="G123"/>
      <c r="H123"/>
      <c r="I123"/>
      <c r="J123"/>
      <c r="K123"/>
      <c r="L123"/>
      <c r="M123"/>
    </row>
    <row r="124" spans="2:13" ht="12.5" x14ac:dyDescent="0.25">
      <c r="G124"/>
      <c r="H124"/>
      <c r="I124"/>
      <c r="J124"/>
      <c r="K124"/>
      <c r="L124"/>
      <c r="M124"/>
    </row>
    <row r="125" spans="2:13" ht="12.5" x14ac:dyDescent="0.25">
      <c r="G125"/>
      <c r="H125"/>
      <c r="I125"/>
      <c r="J125"/>
      <c r="K125"/>
      <c r="L125"/>
      <c r="M125"/>
    </row>
    <row r="126" spans="2:13" ht="12.5" x14ac:dyDescent="0.25">
      <c r="G126"/>
      <c r="H126"/>
      <c r="I126"/>
      <c r="J126"/>
      <c r="K126"/>
      <c r="L126"/>
      <c r="M126"/>
    </row>
    <row r="127" spans="2:13" ht="12.5" x14ac:dyDescent="0.25">
      <c r="G127"/>
      <c r="H127"/>
      <c r="I127"/>
      <c r="J127"/>
      <c r="K127"/>
      <c r="L127"/>
      <c r="M127"/>
    </row>
    <row r="128" spans="2:13" ht="12.5" x14ac:dyDescent="0.25">
      <c r="G128"/>
      <c r="H128"/>
      <c r="I128"/>
      <c r="J128"/>
      <c r="K128"/>
      <c r="L128"/>
      <c r="M128"/>
    </row>
    <row r="129" spans="7:13" ht="12.5" x14ac:dyDescent="0.25">
      <c r="G129"/>
      <c r="H129"/>
      <c r="I129"/>
      <c r="J129"/>
      <c r="K129"/>
      <c r="L129"/>
      <c r="M129"/>
    </row>
    <row r="130" spans="7:13" ht="12.5" x14ac:dyDescent="0.25">
      <c r="G130"/>
      <c r="H130"/>
      <c r="I130"/>
      <c r="J130"/>
      <c r="K130"/>
      <c r="L130"/>
      <c r="M130"/>
    </row>
    <row r="131" spans="7:13" ht="12.5" x14ac:dyDescent="0.25">
      <c r="G131"/>
      <c r="H131"/>
      <c r="I131"/>
      <c r="J131"/>
      <c r="K131"/>
      <c r="L131"/>
      <c r="M13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E982-9BCF-4B6E-A4F4-C3697B4D5C60}">
  <sheetPr>
    <tabColor theme="6" tint="0.59999389629810485"/>
  </sheetPr>
  <dimension ref="A1:R116"/>
  <sheetViews>
    <sheetView zoomScale="57" zoomScaleNormal="57" workbookViewId="0">
      <selection activeCell="O108" sqref="O108:R115"/>
    </sheetView>
  </sheetViews>
  <sheetFormatPr defaultColWidth="9" defaultRowHeight="11.5" x14ac:dyDescent="0.25"/>
  <cols>
    <col min="1" max="1" width="47" style="9" customWidth="1"/>
    <col min="2" max="7" width="14.26953125" style="9" customWidth="1"/>
    <col min="8" max="16384" width="9" style="9"/>
  </cols>
  <sheetData>
    <row r="1" spans="1:8" x14ac:dyDescent="0.25">
      <c r="B1" s="10"/>
      <c r="C1" s="14"/>
      <c r="D1" s="10"/>
      <c r="E1" s="10"/>
      <c r="F1" s="10"/>
      <c r="G1" s="10"/>
      <c r="H1" s="10"/>
    </row>
    <row r="2" spans="1:8" x14ac:dyDescent="0.25">
      <c r="B2" s="10" t="s">
        <v>40</v>
      </c>
      <c r="C2" s="10"/>
    </row>
    <row r="3" spans="1:8" x14ac:dyDescent="0.25">
      <c r="B3" s="10" t="s">
        <v>41</v>
      </c>
      <c r="C3" s="10"/>
    </row>
    <row r="4" spans="1:8" x14ac:dyDescent="0.25">
      <c r="B4" s="11"/>
      <c r="C4" s="11" t="s">
        <v>62</v>
      </c>
    </row>
    <row r="5" spans="1:8" x14ac:dyDescent="0.25">
      <c r="B5" s="11" t="s">
        <v>57</v>
      </c>
      <c r="C5" s="11" t="s">
        <v>43</v>
      </c>
    </row>
    <row r="6" spans="1:8" x14ac:dyDescent="0.25">
      <c r="B6" s="12">
        <v>2016</v>
      </c>
      <c r="C6" s="13">
        <v>28048500</v>
      </c>
    </row>
    <row r="7" spans="1:8" x14ac:dyDescent="0.25">
      <c r="B7" s="12">
        <v>2017</v>
      </c>
      <c r="C7" s="13">
        <v>42021000</v>
      </c>
    </row>
    <row r="8" spans="1:8" x14ac:dyDescent="0.25">
      <c r="B8" s="12">
        <v>2018</v>
      </c>
      <c r="C8" s="13">
        <v>55993500</v>
      </c>
    </row>
    <row r="9" spans="1:8" x14ac:dyDescent="0.25">
      <c r="B9" s="12">
        <v>2019</v>
      </c>
      <c r="C9" s="13">
        <v>69966000</v>
      </c>
    </row>
    <row r="10" spans="1:8" x14ac:dyDescent="0.25">
      <c r="B10" s="12">
        <v>2020</v>
      </c>
      <c r="C10" s="13">
        <v>93938500</v>
      </c>
    </row>
    <row r="11" spans="1:8" x14ac:dyDescent="0.25">
      <c r="C11" s="13"/>
    </row>
    <row r="12" spans="1:8" x14ac:dyDescent="0.25">
      <c r="C12" s="13"/>
    </row>
    <row r="13" spans="1:8" x14ac:dyDescent="0.25">
      <c r="A13" s="29" t="s">
        <v>51</v>
      </c>
      <c r="C13" s="13"/>
    </row>
    <row r="14" spans="1:8" x14ac:dyDescent="0.25">
      <c r="C14" s="13"/>
    </row>
    <row r="15" spans="1:8" x14ac:dyDescent="0.25">
      <c r="A15" s="15" t="s">
        <v>90</v>
      </c>
      <c r="C15" s="13"/>
    </row>
    <row r="16" spans="1:8" x14ac:dyDescent="0.25">
      <c r="A16" s="15"/>
      <c r="C16" s="13"/>
    </row>
    <row r="17" spans="1:8" x14ac:dyDescent="0.25">
      <c r="A17" s="15" t="s">
        <v>57</v>
      </c>
      <c r="B17" s="15">
        <v>2015</v>
      </c>
      <c r="C17" s="15">
        <v>2016</v>
      </c>
      <c r="D17" s="15">
        <v>2017</v>
      </c>
      <c r="E17" s="15">
        <v>2018</v>
      </c>
      <c r="F17" s="15">
        <v>2019</v>
      </c>
      <c r="G17" s="15">
        <v>2020</v>
      </c>
    </row>
    <row r="18" spans="1:8" x14ac:dyDescent="0.25">
      <c r="A18" s="9" t="s">
        <v>2</v>
      </c>
      <c r="B18" s="16"/>
      <c r="C18" s="16">
        <f>'ProForma Statements'!C18</f>
        <v>0.2</v>
      </c>
      <c r="D18" s="16">
        <f>'ProForma Statements'!D18</f>
        <v>0.15</v>
      </c>
      <c r="E18" s="16">
        <f>'ProForma Statements'!E18</f>
        <v>0.1</v>
      </c>
      <c r="F18" s="16">
        <f>'ProForma Statements'!F18</f>
        <v>0.1</v>
      </c>
      <c r="G18" s="16">
        <f>'ProForma Statements'!G18</f>
        <v>0.1</v>
      </c>
    </row>
    <row r="19" spans="1:8" x14ac:dyDescent="0.25">
      <c r="A19" s="9" t="s">
        <v>3</v>
      </c>
      <c r="B19" s="16"/>
      <c r="C19" s="16">
        <f>'ProForma Statements'!C19</f>
        <v>0.22</v>
      </c>
      <c r="D19" s="16"/>
      <c r="E19" s="16"/>
      <c r="F19" s="16"/>
      <c r="G19" s="16"/>
      <c r="H19" s="18"/>
    </row>
    <row r="20" spans="1:8" x14ac:dyDescent="0.25">
      <c r="A20" s="9" t="s">
        <v>4</v>
      </c>
      <c r="B20" s="16"/>
      <c r="C20" s="19">
        <f>'ProForma Statements'!C20</f>
        <v>4.4999999999999998E-2</v>
      </c>
      <c r="D20" s="19">
        <f>'ProForma Statements'!D20</f>
        <v>0.05</v>
      </c>
      <c r="E20" s="19">
        <f>'ProForma Statements'!E20</f>
        <v>0.05</v>
      </c>
      <c r="F20" s="19">
        <f>'ProForma Statements'!F20</f>
        <v>0.05</v>
      </c>
      <c r="G20" s="19">
        <f>'ProForma Statements'!G20</f>
        <v>0.05</v>
      </c>
      <c r="H20" s="18"/>
    </row>
    <row r="21" spans="1:8" x14ac:dyDescent="0.25">
      <c r="A21" s="9" t="s">
        <v>5</v>
      </c>
      <c r="B21" s="16"/>
      <c r="C21" s="16">
        <f>'ProForma Statements'!C21</f>
        <v>0.05</v>
      </c>
      <c r="D21" s="16"/>
      <c r="E21" s="16"/>
      <c r="F21" s="16"/>
      <c r="G21" s="16"/>
      <c r="H21" s="18"/>
    </row>
    <row r="22" spans="1:8" x14ac:dyDescent="0.25">
      <c r="B22" s="16"/>
      <c r="C22" s="16"/>
      <c r="D22" s="16"/>
      <c r="E22" s="16"/>
      <c r="F22" s="16"/>
      <c r="G22" s="16"/>
      <c r="H22" s="18"/>
    </row>
    <row r="23" spans="1:8" s="20" customFormat="1" x14ac:dyDescent="0.25">
      <c r="A23" s="20" t="s">
        <v>63</v>
      </c>
      <c r="B23" s="16">
        <f>'ProForma Statements'!B23</f>
        <v>0.7</v>
      </c>
      <c r="C23" s="16">
        <f>'ProForma Statements'!C23</f>
        <v>0.65</v>
      </c>
      <c r="D23" s="16">
        <f>'ProForma Statements'!D23</f>
        <v>0.57999999999999996</v>
      </c>
      <c r="E23" s="16">
        <f>'ProForma Statements'!E23</f>
        <v>0.51</v>
      </c>
      <c r="F23" s="16">
        <f>'ProForma Statements'!F23</f>
        <v>0.5</v>
      </c>
      <c r="G23" s="16">
        <f>'ProForma Statements'!G23</f>
        <v>0.55000000000000004</v>
      </c>
      <c r="H23" s="21"/>
    </row>
    <row r="24" spans="1:8" x14ac:dyDescent="0.25">
      <c r="A24" s="9" t="s">
        <v>27</v>
      </c>
      <c r="B24" s="16"/>
      <c r="C24" s="16">
        <f>'ProForma Statements'!C24</f>
        <v>0.1</v>
      </c>
      <c r="D24" s="16"/>
      <c r="E24" s="16"/>
      <c r="F24" s="16"/>
      <c r="G24" s="16"/>
    </row>
    <row r="25" spans="1:8" x14ac:dyDescent="0.25">
      <c r="B25" s="16"/>
      <c r="C25" s="16"/>
      <c r="D25" s="16"/>
      <c r="E25" s="16"/>
      <c r="F25" s="16"/>
      <c r="G25" s="16"/>
    </row>
    <row r="26" spans="1:8" x14ac:dyDescent="0.25">
      <c r="A26" s="9" t="s">
        <v>12</v>
      </c>
      <c r="B26" s="16"/>
      <c r="C26" s="16">
        <f>'ProForma Statements'!C26</f>
        <v>0.17</v>
      </c>
      <c r="D26" s="16">
        <f>'ProForma Statements'!D26</f>
        <v>0.18</v>
      </c>
      <c r="E26" s="16">
        <f>'ProForma Statements'!E26</f>
        <v>0.19</v>
      </c>
      <c r="F26" s="16">
        <f>'ProForma Statements'!F26</f>
        <v>0.2</v>
      </c>
      <c r="G26" s="16">
        <f>'ProForma Statements'!G26</f>
        <v>0.2</v>
      </c>
    </row>
    <row r="27" spans="1:8" x14ac:dyDescent="0.25">
      <c r="A27" s="9" t="s">
        <v>38</v>
      </c>
      <c r="B27" s="16"/>
      <c r="C27" s="16">
        <f>'ProForma Statements'!C27</f>
        <v>0.25</v>
      </c>
      <c r="D27" s="16"/>
      <c r="E27" s="16"/>
      <c r="F27" s="16"/>
      <c r="G27" s="16"/>
    </row>
    <row r="28" spans="1:8" x14ac:dyDescent="0.25">
      <c r="A28" s="22" t="s">
        <v>14</v>
      </c>
      <c r="B28" s="16"/>
      <c r="C28" s="16">
        <f>'ProForma Statements'!C28</f>
        <v>0.01</v>
      </c>
      <c r="D28" s="16"/>
      <c r="E28" s="16"/>
      <c r="F28" s="16"/>
      <c r="G28" s="16"/>
    </row>
    <row r="29" spans="1:8" x14ac:dyDescent="0.25">
      <c r="A29" s="22"/>
      <c r="B29" s="16"/>
      <c r="C29" s="16"/>
      <c r="D29" s="16"/>
      <c r="E29" s="16"/>
      <c r="F29" s="16"/>
      <c r="G29" s="16"/>
    </row>
    <row r="30" spans="1:8" x14ac:dyDescent="0.25">
      <c r="A30" s="22" t="s">
        <v>29</v>
      </c>
      <c r="B30" s="16"/>
      <c r="C30" s="16">
        <f>'ProForma Statements'!C30</f>
        <v>0.12</v>
      </c>
      <c r="D30" s="16"/>
      <c r="E30" s="16"/>
      <c r="F30" s="16"/>
      <c r="G30" s="16"/>
    </row>
    <row r="31" spans="1:8" x14ac:dyDescent="0.25">
      <c r="A31" s="22" t="s">
        <v>30</v>
      </c>
      <c r="B31" s="16"/>
      <c r="C31" s="16">
        <f>'ProForma Statements'!C31</f>
        <v>0.06</v>
      </c>
      <c r="D31" s="16"/>
      <c r="E31" s="16"/>
      <c r="F31" s="16"/>
      <c r="G31" s="16"/>
    </row>
    <row r="32" spans="1:8" x14ac:dyDescent="0.25">
      <c r="A32" s="22" t="s">
        <v>26</v>
      </c>
      <c r="B32" s="16"/>
      <c r="C32" s="16">
        <f>'ProForma Statements'!C32</f>
        <v>0.4</v>
      </c>
      <c r="D32" s="16"/>
      <c r="E32" s="16"/>
      <c r="F32" s="16"/>
      <c r="G32" s="16"/>
    </row>
    <row r="33" spans="1:7" s="16" customFormat="1" x14ac:dyDescent="0.25">
      <c r="A33" s="16" t="s">
        <v>52</v>
      </c>
      <c r="C33" s="16">
        <f>'ProForma Statements'!C33</f>
        <v>0.32</v>
      </c>
      <c r="D33" s="16">
        <f>'ProForma Statements'!D33</f>
        <v>0.31</v>
      </c>
      <c r="E33" s="16">
        <f>'ProForma Statements'!E33</f>
        <v>0.3</v>
      </c>
      <c r="F33" s="16">
        <f>'ProForma Statements'!F33</f>
        <v>0.28999999999999998</v>
      </c>
      <c r="G33" s="16">
        <f>'ProForma Statements'!G33</f>
        <v>0.27999999999999997</v>
      </c>
    </row>
    <row r="34" spans="1:7" x14ac:dyDescent="0.25">
      <c r="A34" s="22" t="s">
        <v>39</v>
      </c>
      <c r="B34" s="16"/>
      <c r="C34" s="19">
        <f>'ProForma Statements'!C34</f>
        <v>0.41499999999999998</v>
      </c>
      <c r="D34" s="16"/>
      <c r="E34" s="16"/>
      <c r="F34" s="16"/>
      <c r="G34" s="16"/>
    </row>
    <row r="35" spans="1:7" x14ac:dyDescent="0.25">
      <c r="A35" s="22"/>
      <c r="C35" s="23"/>
    </row>
    <row r="36" spans="1:7" x14ac:dyDescent="0.25">
      <c r="A36" s="22"/>
      <c r="C36" s="23"/>
    </row>
    <row r="37" spans="1:7" x14ac:dyDescent="0.25">
      <c r="A37" s="24" t="s">
        <v>20</v>
      </c>
    </row>
    <row r="38" spans="1:7" x14ac:dyDescent="0.25">
      <c r="A38" s="24" t="s">
        <v>24</v>
      </c>
      <c r="B38" s="22">
        <f>'ProForma Statements'!B38</f>
        <v>18977564</v>
      </c>
      <c r="C38" s="36">
        <v>28048500</v>
      </c>
      <c r="D38" s="36">
        <v>42021000</v>
      </c>
      <c r="E38" s="36">
        <v>55993500</v>
      </c>
      <c r="F38" s="36">
        <v>69966000</v>
      </c>
      <c r="G38" s="36">
        <v>93938500</v>
      </c>
    </row>
    <row r="39" spans="1:7" x14ac:dyDescent="0.25">
      <c r="A39" s="24"/>
      <c r="C39" s="13"/>
      <c r="D39" s="13"/>
      <c r="E39" s="13"/>
      <c r="F39" s="13"/>
      <c r="G39" s="13"/>
    </row>
    <row r="40" spans="1:7" x14ac:dyDescent="0.25">
      <c r="A40" s="24" t="s">
        <v>25</v>
      </c>
      <c r="C40" s="13"/>
      <c r="D40" s="13"/>
      <c r="E40" s="13"/>
      <c r="F40" s="13"/>
      <c r="G40" s="13"/>
    </row>
    <row r="41" spans="1:7" x14ac:dyDescent="0.25">
      <c r="A41" s="22" t="s">
        <v>47</v>
      </c>
      <c r="B41" s="25">
        <v>-7839481</v>
      </c>
      <c r="C41" s="34">
        <f>-$C$32*C38</f>
        <v>-11219400</v>
      </c>
      <c r="D41" s="34">
        <f t="shared" ref="D41:G41" si="0">-$C$32*D38</f>
        <v>-16808400</v>
      </c>
      <c r="E41" s="34">
        <f t="shared" si="0"/>
        <v>-22397400</v>
      </c>
      <c r="F41" s="34">
        <f t="shared" si="0"/>
        <v>-27986400</v>
      </c>
      <c r="G41" s="34">
        <f t="shared" si="0"/>
        <v>-37575400</v>
      </c>
    </row>
    <row r="42" spans="1:7" x14ac:dyDescent="0.25">
      <c r="A42" s="22" t="s">
        <v>27</v>
      </c>
      <c r="B42" s="25">
        <v>-1303085</v>
      </c>
      <c r="C42" s="34">
        <f>-$C$24*AVERAGE(B59:C59)</f>
        <v>-1563118.915</v>
      </c>
      <c r="D42" s="34">
        <f t="shared" ref="D42:G42" si="1">-$C$24*AVERAGE(C59:D59)</f>
        <v>-2130185.25</v>
      </c>
      <c r="E42" s="34">
        <f t="shared" si="1"/>
        <v>-2646443.25</v>
      </c>
      <c r="F42" s="34">
        <f t="shared" si="1"/>
        <v>-3176984.25</v>
      </c>
      <c r="G42" s="34">
        <f t="shared" si="1"/>
        <v>-4332458.75</v>
      </c>
    </row>
    <row r="43" spans="1:7" x14ac:dyDescent="0.25">
      <c r="A43" s="22" t="s">
        <v>28</v>
      </c>
      <c r="B43" s="25">
        <v>-6045369</v>
      </c>
      <c r="C43" s="33">
        <f>-C33*C38</f>
        <v>-8975520</v>
      </c>
      <c r="D43" s="33">
        <f t="shared" ref="D43:G43" si="2">-D33*D38</f>
        <v>-13026510</v>
      </c>
      <c r="E43" s="33">
        <f t="shared" si="2"/>
        <v>-16798050</v>
      </c>
      <c r="F43" s="33">
        <f t="shared" si="2"/>
        <v>-20290140</v>
      </c>
      <c r="G43" s="33">
        <f t="shared" si="2"/>
        <v>-26302779.999999996</v>
      </c>
    </row>
    <row r="44" spans="1:7" x14ac:dyDescent="0.25">
      <c r="A44" s="22" t="s">
        <v>29</v>
      </c>
      <c r="B44" s="25">
        <v>-84606</v>
      </c>
      <c r="C44" s="33">
        <f ca="1">-$C$30*(B72+C72)/2</f>
        <v>-1288093.2280665874</v>
      </c>
      <c r="D44" s="33">
        <f t="shared" ref="D44:G44" ca="1" si="3">-$C$30*(C72+D72)/2</f>
        <v>-1595609.0675431201</v>
      </c>
      <c r="E44" s="33">
        <f t="shared" ca="1" si="3"/>
        <v>-1280455.3222419417</v>
      </c>
      <c r="F44" s="33">
        <f t="shared" ca="1" si="3"/>
        <v>-577101.83389279805</v>
      </c>
      <c r="G44" s="33">
        <f t="shared" ca="1" si="3"/>
        <v>-327162.1530304639</v>
      </c>
    </row>
    <row r="45" spans="1:7" x14ac:dyDescent="0.25">
      <c r="A45" s="22" t="s">
        <v>30</v>
      </c>
      <c r="B45" s="40">
        <v>171362</v>
      </c>
      <c r="C45" s="33">
        <f>$C$31*(B52+C52)/2</f>
        <v>259010.66999999998</v>
      </c>
      <c r="D45" s="33">
        <f t="shared" ref="D45:G45" si="4">$C$31*(C52+D52)/2</f>
        <v>357385.5</v>
      </c>
      <c r="E45" s="33">
        <f t="shared" si="4"/>
        <v>357075</v>
      </c>
      <c r="F45" s="33">
        <f t="shared" si="4"/>
        <v>377878.5</v>
      </c>
      <c r="G45" s="33">
        <f t="shared" si="4"/>
        <v>491713.5</v>
      </c>
    </row>
    <row r="46" spans="1:7" x14ac:dyDescent="0.25">
      <c r="A46" s="22" t="s">
        <v>31</v>
      </c>
      <c r="B46" s="25">
        <f>SUM(B38:B45)</f>
        <v>3876385</v>
      </c>
      <c r="C46" s="33">
        <f ca="1">C38+SUM(C41:C45)</f>
        <v>5261378.5269334167</v>
      </c>
      <c r="D46" s="33">
        <f t="shared" ref="D46:G46" ca="1" si="5">D38+SUM(D41:D45)</f>
        <v>8817681.1824568808</v>
      </c>
      <c r="E46" s="33">
        <f t="shared" ca="1" si="5"/>
        <v>13228226.42775806</v>
      </c>
      <c r="F46" s="33">
        <f t="shared" ca="1" si="5"/>
        <v>18313252.4161072</v>
      </c>
      <c r="G46" s="33">
        <f t="shared" ca="1" si="5"/>
        <v>25892412.59696953</v>
      </c>
    </row>
    <row r="47" spans="1:7" x14ac:dyDescent="0.25">
      <c r="A47" s="22" t="s">
        <v>32</v>
      </c>
      <c r="B47" s="40">
        <f>IF(B46&lt;0,0,-B46*C34)</f>
        <v>-1608699.7749999999</v>
      </c>
      <c r="C47" s="33">
        <f ca="1">-$C$34*C46</f>
        <v>-2183472.0886773677</v>
      </c>
      <c r="D47" s="33">
        <f t="shared" ref="D47:G47" ca="1" si="6">-$C$34*D46</f>
        <v>-3659337.6907196054</v>
      </c>
      <c r="E47" s="33">
        <f t="shared" ca="1" si="6"/>
        <v>-5489713.9675195944</v>
      </c>
      <c r="F47" s="33">
        <f t="shared" ca="1" si="6"/>
        <v>-7599999.752684488</v>
      </c>
      <c r="G47" s="33">
        <f t="shared" ca="1" si="6"/>
        <v>-10745351.227742355</v>
      </c>
    </row>
    <row r="48" spans="1:7" s="15" customFormat="1" x14ac:dyDescent="0.25">
      <c r="A48" s="24" t="s">
        <v>33</v>
      </c>
      <c r="B48" s="39">
        <f>SUM(B46:B47)</f>
        <v>2267685.2250000001</v>
      </c>
      <c r="C48" s="35">
        <f ca="1">C46+C47</f>
        <v>3077906.4382560491</v>
      </c>
      <c r="D48" s="35">
        <f t="shared" ref="D48:G48" ca="1" si="7">D46+D47</f>
        <v>5158343.4917372754</v>
      </c>
      <c r="E48" s="35">
        <f t="shared" ca="1" si="7"/>
        <v>7738512.460238466</v>
      </c>
      <c r="F48" s="35">
        <f t="shared" ca="1" si="7"/>
        <v>10713252.663422711</v>
      </c>
      <c r="G48" s="35">
        <f t="shared" ca="1" si="7"/>
        <v>15147061.369227175</v>
      </c>
    </row>
    <row r="49" spans="1:7" s="15" customFormat="1" x14ac:dyDescent="0.25">
      <c r="A49" s="24"/>
      <c r="C49" s="26"/>
      <c r="D49" s="26"/>
      <c r="E49" s="26"/>
      <c r="F49" s="26"/>
      <c r="G49" s="26"/>
    </row>
    <row r="50" spans="1:7" x14ac:dyDescent="0.25">
      <c r="A50" s="24" t="s">
        <v>48</v>
      </c>
      <c r="C50" s="13"/>
      <c r="D50" s="13"/>
      <c r="E50" s="13"/>
      <c r="F50" s="13"/>
      <c r="G50" s="13"/>
    </row>
    <row r="51" spans="1:7" x14ac:dyDescent="0.25">
      <c r="A51" s="24" t="s">
        <v>53</v>
      </c>
      <c r="C51" s="13"/>
      <c r="D51" s="13"/>
      <c r="E51" s="13"/>
      <c r="F51" s="13"/>
      <c r="G51" s="13"/>
    </row>
    <row r="52" spans="1:7" x14ac:dyDescent="0.25">
      <c r="A52" s="22" t="s">
        <v>2</v>
      </c>
      <c r="B52" s="22">
        <f>'ProForma Statements'!B52</f>
        <v>3023989</v>
      </c>
      <c r="C52" s="48">
        <f>C18*C38</f>
        <v>5609700</v>
      </c>
      <c r="D52" s="48">
        <f t="shared" ref="D52:G52" si="8">D18*D38</f>
        <v>6303150</v>
      </c>
      <c r="E52" s="48">
        <f t="shared" si="8"/>
        <v>5599350</v>
      </c>
      <c r="F52" s="48">
        <f t="shared" si="8"/>
        <v>6996600</v>
      </c>
      <c r="G52" s="48">
        <f t="shared" si="8"/>
        <v>9393850</v>
      </c>
    </row>
    <row r="53" spans="1:7" x14ac:dyDescent="0.25">
      <c r="A53" s="22" t="s">
        <v>3</v>
      </c>
      <c r="B53" s="22">
        <f>'ProForma Statements'!B53</f>
        <v>4194238</v>
      </c>
      <c r="C53" s="48">
        <f>$C$19*C38</f>
        <v>6170670</v>
      </c>
      <c r="D53" s="48">
        <f t="shared" ref="D53:G53" si="9">$C$19*D38</f>
        <v>9244620</v>
      </c>
      <c r="E53" s="48">
        <f t="shared" si="9"/>
        <v>12318570</v>
      </c>
      <c r="F53" s="48">
        <f t="shared" si="9"/>
        <v>15392520</v>
      </c>
      <c r="G53" s="48">
        <f t="shared" si="9"/>
        <v>20666470</v>
      </c>
    </row>
    <row r="54" spans="1:7" x14ac:dyDescent="0.25">
      <c r="A54" s="22" t="s">
        <v>4</v>
      </c>
      <c r="B54" s="22">
        <f>'ProForma Statements'!B54</f>
        <v>759104</v>
      </c>
      <c r="C54" s="48">
        <f>C20*C38</f>
        <v>1262182.5</v>
      </c>
      <c r="D54" s="48">
        <f t="shared" ref="D54:G54" si="10">D20*D38</f>
        <v>2101050</v>
      </c>
      <c r="E54" s="48">
        <f t="shared" si="10"/>
        <v>2799675</v>
      </c>
      <c r="F54" s="48">
        <f t="shared" si="10"/>
        <v>3498300</v>
      </c>
      <c r="G54" s="48">
        <f t="shared" si="10"/>
        <v>4696925</v>
      </c>
    </row>
    <row r="55" spans="1:7" x14ac:dyDescent="0.25">
      <c r="A55" s="22" t="s">
        <v>5</v>
      </c>
      <c r="B55" s="22">
        <f>'ProForma Statements'!B55</f>
        <v>1006169</v>
      </c>
      <c r="C55" s="48">
        <f>$C$21*C38</f>
        <v>1402425</v>
      </c>
      <c r="D55" s="48">
        <f t="shared" ref="D55:G55" si="11">$C$21*D38</f>
        <v>2101050</v>
      </c>
      <c r="E55" s="48">
        <f t="shared" si="11"/>
        <v>2799675</v>
      </c>
      <c r="F55" s="48">
        <f t="shared" si="11"/>
        <v>3498300</v>
      </c>
      <c r="G55" s="48">
        <f t="shared" si="11"/>
        <v>4696925</v>
      </c>
    </row>
    <row r="56" spans="1:7" x14ac:dyDescent="0.25">
      <c r="A56" s="24" t="s">
        <v>49</v>
      </c>
      <c r="B56" s="22">
        <f t="shared" ref="B56:C56" si="12">SUM(B52:B55)</f>
        <v>8983500</v>
      </c>
      <c r="C56" s="48">
        <f t="shared" si="12"/>
        <v>14444977.5</v>
      </c>
      <c r="D56" s="48">
        <f t="shared" ref="D56:G56" si="13">SUM(D52:D55)</f>
        <v>19749870</v>
      </c>
      <c r="E56" s="48">
        <f t="shared" si="13"/>
        <v>23517270</v>
      </c>
      <c r="F56" s="48">
        <f t="shared" si="13"/>
        <v>29385720</v>
      </c>
      <c r="G56" s="48">
        <f t="shared" si="13"/>
        <v>39454170</v>
      </c>
    </row>
    <row r="57" spans="1:7" x14ac:dyDescent="0.25">
      <c r="A57" s="22"/>
      <c r="C57" s="13"/>
      <c r="D57" s="13"/>
      <c r="E57" s="13"/>
      <c r="F57" s="13"/>
      <c r="G57" s="13"/>
    </row>
    <row r="58" spans="1:7" x14ac:dyDescent="0.25">
      <c r="A58" s="24" t="s">
        <v>6</v>
      </c>
      <c r="C58" s="13"/>
      <c r="D58" s="13"/>
      <c r="E58" s="13"/>
      <c r="F58" s="13"/>
      <c r="G58" s="13"/>
    </row>
    <row r="59" spans="1:7" x14ac:dyDescent="0.25">
      <c r="A59" s="22" t="s">
        <v>7</v>
      </c>
      <c r="B59" s="22">
        <f>'ProForma Statements'!B59</f>
        <v>13030853.299999999</v>
      </c>
      <c r="C59" s="33">
        <f>C23*C38</f>
        <v>18231525</v>
      </c>
      <c r="D59" s="33">
        <f t="shared" ref="D59:G59" si="14">D23*D38</f>
        <v>24372180</v>
      </c>
      <c r="E59" s="33">
        <f t="shared" si="14"/>
        <v>28556685</v>
      </c>
      <c r="F59" s="33">
        <f t="shared" si="14"/>
        <v>34983000</v>
      </c>
      <c r="G59" s="33">
        <f t="shared" si="14"/>
        <v>51666175.000000007</v>
      </c>
    </row>
    <row r="60" spans="1:7" x14ac:dyDescent="0.25">
      <c r="A60" s="22" t="s">
        <v>8</v>
      </c>
      <c r="B60" s="22">
        <f>'ProForma Statements'!B60</f>
        <v>-1703085.33</v>
      </c>
      <c r="C60" s="33">
        <f>B60+C42</f>
        <v>-3266204.2450000001</v>
      </c>
      <c r="D60" s="33">
        <f t="shared" ref="D60:G60" si="15">C60+D42</f>
        <v>-5396389.4950000001</v>
      </c>
      <c r="E60" s="33">
        <f t="shared" si="15"/>
        <v>-8042832.7450000001</v>
      </c>
      <c r="F60" s="33">
        <f t="shared" si="15"/>
        <v>-11219816.995000001</v>
      </c>
      <c r="G60" s="33">
        <f t="shared" si="15"/>
        <v>-15552275.745000001</v>
      </c>
    </row>
    <row r="61" spans="1:7" x14ac:dyDescent="0.25">
      <c r="A61" s="22" t="s">
        <v>9</v>
      </c>
      <c r="B61" s="22">
        <f>'ProForma Statements'!B61</f>
        <v>11327767.969999999</v>
      </c>
      <c r="C61" s="36">
        <f>C59+C60</f>
        <v>14965320.754999999</v>
      </c>
      <c r="D61" s="36">
        <f t="shared" ref="D61:G61" si="16">D59+D60</f>
        <v>18975790.504999999</v>
      </c>
      <c r="E61" s="36">
        <f t="shared" si="16"/>
        <v>20513852.254999999</v>
      </c>
      <c r="F61" s="36">
        <f t="shared" si="16"/>
        <v>23763183.004999999</v>
      </c>
      <c r="G61" s="36">
        <f t="shared" si="16"/>
        <v>36113899.25500001</v>
      </c>
    </row>
    <row r="62" spans="1:7" x14ac:dyDescent="0.25">
      <c r="A62" s="22"/>
      <c r="C62" s="13"/>
      <c r="D62" s="13"/>
      <c r="E62" s="13"/>
      <c r="F62" s="13"/>
      <c r="G62" s="13"/>
    </row>
    <row r="63" spans="1:7" x14ac:dyDescent="0.25">
      <c r="A63" s="24" t="s">
        <v>10</v>
      </c>
      <c r="B63" s="13">
        <f t="shared" ref="B63:C63" si="17">B56+B61</f>
        <v>20311267.969999999</v>
      </c>
      <c r="C63" s="33">
        <f t="shared" si="17"/>
        <v>29410298.254999999</v>
      </c>
      <c r="D63" s="33">
        <f t="shared" ref="D63:G63" si="18">D56+D61</f>
        <v>38725660.504999995</v>
      </c>
      <c r="E63" s="33">
        <f t="shared" si="18"/>
        <v>44031122.254999995</v>
      </c>
      <c r="F63" s="33">
        <f t="shared" si="18"/>
        <v>53148903.004999995</v>
      </c>
      <c r="G63" s="33">
        <f t="shared" si="18"/>
        <v>75568069.25500001</v>
      </c>
    </row>
    <row r="64" spans="1:7" x14ac:dyDescent="0.25">
      <c r="A64" s="22"/>
      <c r="C64" s="13"/>
      <c r="D64" s="13"/>
      <c r="E64" s="13"/>
      <c r="F64" s="13"/>
      <c r="G64" s="13"/>
    </row>
    <row r="65" spans="1:7" x14ac:dyDescent="0.25">
      <c r="A65" s="22"/>
      <c r="C65" s="13"/>
      <c r="D65" s="13"/>
      <c r="E65" s="13"/>
      <c r="F65" s="13"/>
      <c r="G65" s="13"/>
    </row>
    <row r="66" spans="1:7" x14ac:dyDescent="0.25">
      <c r="A66" s="24" t="s">
        <v>11</v>
      </c>
      <c r="C66" s="13"/>
      <c r="D66" s="13"/>
      <c r="E66" s="13"/>
      <c r="F66" s="13"/>
      <c r="G66" s="13"/>
    </row>
    <row r="67" spans="1:7" x14ac:dyDescent="0.25">
      <c r="A67" s="22" t="s">
        <v>12</v>
      </c>
      <c r="B67" s="22">
        <f>'ProForma Statements'!B67</f>
        <v>3271271</v>
      </c>
      <c r="C67" s="33">
        <f>C26*C38</f>
        <v>4768245</v>
      </c>
      <c r="D67" s="33">
        <f t="shared" ref="D67:G67" si="19">D26*D38</f>
        <v>7563780</v>
      </c>
      <c r="E67" s="33">
        <f t="shared" si="19"/>
        <v>10638765</v>
      </c>
      <c r="F67" s="33">
        <f t="shared" si="19"/>
        <v>13993200</v>
      </c>
      <c r="G67" s="33">
        <f t="shared" si="19"/>
        <v>18787700</v>
      </c>
    </row>
    <row r="68" spans="1:7" x14ac:dyDescent="0.25">
      <c r="A68" s="22" t="s">
        <v>13</v>
      </c>
      <c r="B68" s="22">
        <f ca="1">'ProForma Statements'!B68</f>
        <v>423485.80894877721</v>
      </c>
      <c r="C68" s="33">
        <f ca="1">-$C$27*C47</f>
        <v>545868.02216934192</v>
      </c>
      <c r="D68" s="33">
        <f t="shared" ref="D68:G68" ca="1" si="20">-$C$27*D47</f>
        <v>914834.42267990136</v>
      </c>
      <c r="E68" s="33">
        <f t="shared" ca="1" si="20"/>
        <v>1372428.4918798986</v>
      </c>
      <c r="F68" s="33">
        <f t="shared" ca="1" si="20"/>
        <v>1899999.938171122</v>
      </c>
      <c r="G68" s="33">
        <f t="shared" ca="1" si="20"/>
        <v>2686337.8069355888</v>
      </c>
    </row>
    <row r="69" spans="1:7" x14ac:dyDescent="0.25">
      <c r="A69" s="22" t="s">
        <v>14</v>
      </c>
      <c r="B69" s="22">
        <f>'ProForma Statements'!B69</f>
        <v>151189</v>
      </c>
      <c r="C69" s="33">
        <f>$C$28*C38</f>
        <v>280485</v>
      </c>
      <c r="D69" s="33">
        <f t="shared" ref="D69:G69" si="21">$C$28*D38</f>
        <v>420210</v>
      </c>
      <c r="E69" s="33">
        <f t="shared" si="21"/>
        <v>559935</v>
      </c>
      <c r="F69" s="33">
        <f t="shared" si="21"/>
        <v>699660</v>
      </c>
      <c r="G69" s="33">
        <f t="shared" si="21"/>
        <v>939385</v>
      </c>
    </row>
    <row r="70" spans="1:7" x14ac:dyDescent="0.25">
      <c r="A70" s="24" t="s">
        <v>50</v>
      </c>
      <c r="B70" s="22">
        <f t="shared" ref="B70:C70" ca="1" si="22">SUM(B67:B69)</f>
        <v>3845945.8089487772</v>
      </c>
      <c r="C70" s="33">
        <f t="shared" ca="1" si="22"/>
        <v>5594598.0221693423</v>
      </c>
      <c r="D70" s="33">
        <f t="shared" ref="D70:G70" ca="1" si="23">SUM(D67:D69)</f>
        <v>8898824.4226799011</v>
      </c>
      <c r="E70" s="33">
        <f t="shared" ca="1" si="23"/>
        <v>12571128.491879899</v>
      </c>
      <c r="F70" s="33">
        <f t="shared" ca="1" si="23"/>
        <v>16592859.938171122</v>
      </c>
      <c r="G70" s="33">
        <f t="shared" ca="1" si="23"/>
        <v>22413422.80693559</v>
      </c>
    </row>
    <row r="71" spans="1:7" x14ac:dyDescent="0.25">
      <c r="A71" s="22"/>
      <c r="C71" s="13"/>
      <c r="D71" s="13"/>
      <c r="E71" s="13"/>
      <c r="F71" s="13"/>
      <c r="G71" s="13"/>
    </row>
    <row r="72" spans="1:7" x14ac:dyDescent="0.25">
      <c r="A72" s="22" t="s">
        <v>15</v>
      </c>
      <c r="B72" s="22">
        <f ca="1">'ProForma Statements'!B72</f>
        <v>8597874.4171265345</v>
      </c>
      <c r="C72" s="38">
        <f ca="1">C63-C70-C75-C76</f>
        <v>12870346.050649922</v>
      </c>
      <c r="D72" s="38">
        <f t="shared" ref="D72:G72" ca="1" si="24">D63-D70-D75-D76</f>
        <v>13723138.408402082</v>
      </c>
      <c r="E72" s="38">
        <f t="shared" ca="1" si="24"/>
        <v>7617783.6289636157</v>
      </c>
      <c r="F72" s="38">
        <f t="shared" ca="1" si="24"/>
        <v>2000580.2692496851</v>
      </c>
      <c r="G72" s="38">
        <f t="shared" ca="1" si="24"/>
        <v>3452122.2812580466</v>
      </c>
    </row>
    <row r="73" spans="1:7" x14ac:dyDescent="0.25">
      <c r="A73" s="22"/>
      <c r="C73" s="13"/>
      <c r="D73" s="13"/>
      <c r="E73" s="13"/>
      <c r="F73" s="13"/>
      <c r="G73" s="13"/>
    </row>
    <row r="74" spans="1:7" x14ac:dyDescent="0.25">
      <c r="A74" s="24" t="s">
        <v>16</v>
      </c>
      <c r="C74" s="13"/>
      <c r="D74" s="13"/>
      <c r="E74" s="13"/>
      <c r="F74" s="13"/>
      <c r="G74" s="13"/>
    </row>
    <row r="75" spans="1:7" x14ac:dyDescent="0.25">
      <c r="A75" s="22" t="s">
        <v>17</v>
      </c>
      <c r="B75" s="22">
        <f>'ProForma Statements'!B75</f>
        <v>4610999</v>
      </c>
      <c r="C75" s="36">
        <f>$B$75</f>
        <v>4610999</v>
      </c>
      <c r="D75" s="36">
        <f t="shared" ref="D75:G75" si="25">$B$75</f>
        <v>4610999</v>
      </c>
      <c r="E75" s="36">
        <f t="shared" si="25"/>
        <v>4610999</v>
      </c>
      <c r="F75" s="36">
        <f t="shared" si="25"/>
        <v>4610999</v>
      </c>
      <c r="G75" s="36">
        <f t="shared" si="25"/>
        <v>4610999</v>
      </c>
    </row>
    <row r="76" spans="1:7" x14ac:dyDescent="0.25">
      <c r="A76" s="22" t="s">
        <v>18</v>
      </c>
      <c r="B76" s="22">
        <f ca="1">'ProForma Statements'!B76</f>
        <v>3256448.7439246867</v>
      </c>
      <c r="C76" s="33">
        <f ca="1">B76+C48</f>
        <v>6334355.1821807362</v>
      </c>
      <c r="D76" s="33">
        <f t="shared" ref="D76:G76" ca="1" si="26">C76+D48</f>
        <v>11492698.673918013</v>
      </c>
      <c r="E76" s="33">
        <f t="shared" ca="1" si="26"/>
        <v>19231211.13415648</v>
      </c>
      <c r="F76" s="33">
        <f t="shared" ca="1" si="26"/>
        <v>29944463.797579192</v>
      </c>
      <c r="G76" s="33">
        <f t="shared" ca="1" si="26"/>
        <v>45091525.16680637</v>
      </c>
    </row>
    <row r="77" spans="1:7" x14ac:dyDescent="0.25">
      <c r="A77" s="24" t="s">
        <v>19</v>
      </c>
      <c r="B77" s="13">
        <f t="shared" ref="B77:C77" ca="1" si="27">B70+B72+B75+B76</f>
        <v>20311267.969999999</v>
      </c>
      <c r="C77" s="33">
        <f t="shared" ca="1" si="27"/>
        <v>29410298.254999999</v>
      </c>
      <c r="D77" s="33">
        <f t="shared" ref="D77:G77" ca="1" si="28">D70+D72+D75+D76</f>
        <v>38725660.504999995</v>
      </c>
      <c r="E77" s="33">
        <f t="shared" ca="1" si="28"/>
        <v>44031122.254999995</v>
      </c>
      <c r="F77" s="33">
        <f t="shared" ca="1" si="28"/>
        <v>53148903.004999995</v>
      </c>
      <c r="G77" s="33">
        <f t="shared" ca="1" si="28"/>
        <v>75568069.25500001</v>
      </c>
    </row>
    <row r="78" spans="1:7" x14ac:dyDescent="0.25">
      <c r="A78" s="22"/>
      <c r="C78" s="13"/>
      <c r="D78" s="13"/>
      <c r="E78" s="13"/>
      <c r="F78" s="13"/>
      <c r="G78" s="13"/>
    </row>
    <row r="79" spans="1:7" x14ac:dyDescent="0.25">
      <c r="A79" s="22"/>
      <c r="C79" s="13"/>
      <c r="D79" s="13"/>
      <c r="E79" s="13"/>
      <c r="F79" s="13"/>
      <c r="G79" s="13"/>
    </row>
    <row r="80" spans="1:7" x14ac:dyDescent="0.25">
      <c r="A80" s="24" t="s">
        <v>81</v>
      </c>
      <c r="C80" s="28">
        <v>2016</v>
      </c>
      <c r="D80" s="28">
        <v>2017</v>
      </c>
      <c r="E80" s="28">
        <v>2018</v>
      </c>
      <c r="F80" s="28">
        <v>2019</v>
      </c>
      <c r="G80" s="28">
        <v>2020</v>
      </c>
    </row>
    <row r="81" spans="1:7" x14ac:dyDescent="0.25">
      <c r="A81" s="22" t="s">
        <v>54</v>
      </c>
      <c r="C81" s="33">
        <f ca="1">C48</f>
        <v>3077906.4382560491</v>
      </c>
      <c r="D81" s="33">
        <f ca="1">D48</f>
        <v>5158343.4917372754</v>
      </c>
      <c r="E81" s="33">
        <f ca="1">E48</f>
        <v>7738512.460238466</v>
      </c>
      <c r="F81" s="33">
        <f ca="1">F48</f>
        <v>10713252.663422711</v>
      </c>
      <c r="G81" s="33">
        <f ca="1">G48</f>
        <v>15147061.369227175</v>
      </c>
    </row>
    <row r="82" spans="1:7" x14ac:dyDescent="0.25">
      <c r="A82" s="22" t="s">
        <v>34</v>
      </c>
      <c r="C82" s="33">
        <f>-C42</f>
        <v>1563118.915</v>
      </c>
      <c r="D82" s="33">
        <f>-D42</f>
        <v>2130185.25</v>
      </c>
      <c r="E82" s="33">
        <f>-E42</f>
        <v>2646443.25</v>
      </c>
      <c r="F82" s="33">
        <f>-F42</f>
        <v>3176984.25</v>
      </c>
      <c r="G82" s="33">
        <f>-G42</f>
        <v>4332458.75</v>
      </c>
    </row>
    <row r="83" spans="1:7" x14ac:dyDescent="0.25">
      <c r="A83" s="22" t="s">
        <v>71</v>
      </c>
      <c r="C83" s="33">
        <f t="shared" ref="C83:G84" ca="1" si="29">-C44*(1-$C$34)</f>
        <v>753534.53841895354</v>
      </c>
      <c r="D83" s="33">
        <f t="shared" ca="1" si="29"/>
        <v>933431.30451272521</v>
      </c>
      <c r="E83" s="33">
        <f t="shared" ca="1" si="29"/>
        <v>749066.3635115358</v>
      </c>
      <c r="F83" s="33">
        <f t="shared" ca="1" si="29"/>
        <v>337604.57282728684</v>
      </c>
      <c r="G83" s="33">
        <f t="shared" ca="1" si="29"/>
        <v>191389.85952282138</v>
      </c>
    </row>
    <row r="84" spans="1:7" x14ac:dyDescent="0.25">
      <c r="A84" s="22" t="s">
        <v>72</v>
      </c>
      <c r="C84" s="33">
        <f t="shared" si="29"/>
        <v>-151521.24194999997</v>
      </c>
      <c r="D84" s="33">
        <f t="shared" si="29"/>
        <v>-209070.51749999999</v>
      </c>
      <c r="E84" s="33">
        <f t="shared" si="29"/>
        <v>-208888.875</v>
      </c>
      <c r="F84" s="33">
        <f t="shared" si="29"/>
        <v>-221058.92249999999</v>
      </c>
      <c r="G84" s="33">
        <f t="shared" si="29"/>
        <v>-287652.39749999996</v>
      </c>
    </row>
    <row r="85" spans="1:7" x14ac:dyDescent="0.25">
      <c r="A85" s="22" t="s">
        <v>68</v>
      </c>
      <c r="C85" s="33">
        <f>-SUM(C53:C55)+SUM(B53:B55)</f>
        <v>-2875766.5</v>
      </c>
      <c r="D85" s="33">
        <f>-SUM(D53:D55)+SUM(C53:C55)</f>
        <v>-4611442.5</v>
      </c>
      <c r="E85" s="33">
        <f>-SUM(E53:E55)+SUM(D53:D55)</f>
        <v>-4471200</v>
      </c>
      <c r="F85" s="33">
        <f>-SUM(F53:F55)+SUM(E53:E55)</f>
        <v>-4471200</v>
      </c>
      <c r="G85" s="33">
        <f>-SUM(G53:G55)+SUM(F53:F55)</f>
        <v>-7671200</v>
      </c>
    </row>
    <row r="86" spans="1:7" x14ac:dyDescent="0.25">
      <c r="A86" s="22" t="s">
        <v>66</v>
      </c>
      <c r="C86" s="33">
        <f ca="1">C70-B70</f>
        <v>1748652.2132205651</v>
      </c>
      <c r="D86" s="33">
        <f ca="1">D70-C70</f>
        <v>3304226.4005105589</v>
      </c>
      <c r="E86" s="33">
        <f ca="1">E70-D70</f>
        <v>3672304.0691999979</v>
      </c>
      <c r="F86" s="33">
        <f ca="1">F70-E70</f>
        <v>4021731.4462912232</v>
      </c>
      <c r="G86" s="33">
        <f ca="1">G70-F70</f>
        <v>5820562.8687644675</v>
      </c>
    </row>
    <row r="87" spans="1:7" x14ac:dyDescent="0.25">
      <c r="A87" s="22" t="s">
        <v>65</v>
      </c>
      <c r="C87" s="33">
        <f>-C59+B59</f>
        <v>-5200671.7000000011</v>
      </c>
      <c r="D87" s="33">
        <f>-D59+C59</f>
        <v>-6140655</v>
      </c>
      <c r="E87" s="33">
        <f>-E59+D59</f>
        <v>-4184505</v>
      </c>
      <c r="F87" s="33">
        <f>-F59+E59</f>
        <v>-6426315</v>
      </c>
      <c r="G87" s="33">
        <f>-G59+F59</f>
        <v>-16683175.000000007</v>
      </c>
    </row>
    <row r="88" spans="1:7" x14ac:dyDescent="0.25">
      <c r="A88" s="24" t="s">
        <v>37</v>
      </c>
      <c r="C88" s="33">
        <f ca="1">SUM(C81:C87)</f>
        <v>-1084747.3370544338</v>
      </c>
      <c r="D88" s="33">
        <f ca="1">SUM(D81:D87)</f>
        <v>565018.42926055938</v>
      </c>
      <c r="E88" s="33">
        <f ca="1">SUM(E81:E87)</f>
        <v>5941732.2679500002</v>
      </c>
      <c r="F88" s="33">
        <f ca="1">SUM(F81:F87)</f>
        <v>7130999.010041222</v>
      </c>
      <c r="G88" s="33">
        <f ca="1">SUM(G81:G87)</f>
        <v>849445.45001445711</v>
      </c>
    </row>
    <row r="89" spans="1:7" x14ac:dyDescent="0.25">
      <c r="A89" s="22"/>
      <c r="C89" s="13"/>
      <c r="D89" s="13"/>
      <c r="E89" s="13"/>
      <c r="F89" s="13"/>
      <c r="G89" s="13"/>
    </row>
    <row r="90" spans="1:7" x14ac:dyDescent="0.25">
      <c r="A90" s="22"/>
      <c r="C90" s="13"/>
      <c r="D90" s="13"/>
      <c r="E90" s="13"/>
      <c r="F90" s="13"/>
      <c r="G90" s="13"/>
    </row>
    <row r="91" spans="1:7" x14ac:dyDescent="0.25">
      <c r="A91" s="24" t="s">
        <v>55</v>
      </c>
      <c r="C91" s="13"/>
      <c r="D91" s="13"/>
      <c r="E91" s="13"/>
      <c r="F91" s="13"/>
      <c r="G91" s="13"/>
    </row>
    <row r="92" spans="1:7" x14ac:dyDescent="0.25">
      <c r="A92" s="22" t="s">
        <v>60</v>
      </c>
      <c r="B92" s="30">
        <v>0.20430000000000001</v>
      </c>
      <c r="C92" s="13"/>
      <c r="D92" s="13"/>
      <c r="E92" s="13"/>
      <c r="F92" s="13"/>
      <c r="G92" s="13"/>
    </row>
    <row r="93" spans="1:7" x14ac:dyDescent="0.25">
      <c r="A93" s="22" t="s">
        <v>82</v>
      </c>
      <c r="B93" s="30">
        <v>0.05</v>
      </c>
      <c r="C93" s="13"/>
      <c r="D93" s="13"/>
      <c r="E93" s="13"/>
      <c r="F93" s="13"/>
      <c r="G93" s="13"/>
    </row>
    <row r="94" spans="1:7" x14ac:dyDescent="0.25">
      <c r="A94" s="22"/>
      <c r="B94" s="30"/>
      <c r="C94" s="13"/>
      <c r="D94" s="13"/>
      <c r="E94" s="13"/>
      <c r="F94" s="13"/>
      <c r="G94" s="13"/>
    </row>
    <row r="95" spans="1:7" x14ac:dyDescent="0.25">
      <c r="A95" s="24" t="s">
        <v>57</v>
      </c>
      <c r="C95" s="28">
        <v>2016</v>
      </c>
      <c r="D95" s="28">
        <v>2017</v>
      </c>
      <c r="E95" s="28">
        <v>2018</v>
      </c>
      <c r="F95" s="28">
        <v>2019</v>
      </c>
      <c r="G95" s="28">
        <v>2020</v>
      </c>
    </row>
    <row r="96" spans="1:7" x14ac:dyDescent="0.25">
      <c r="A96" s="46" t="s">
        <v>84</v>
      </c>
      <c r="C96" s="13">
        <f ca="1">C88</f>
        <v>-1084747.3370544338</v>
      </c>
      <c r="D96" s="13">
        <f t="shared" ref="D96:G96" ca="1" si="30">D88</f>
        <v>565018.42926055938</v>
      </c>
      <c r="E96" s="13">
        <f t="shared" ca="1" si="30"/>
        <v>5941732.2679500002</v>
      </c>
      <c r="F96" s="13">
        <f t="shared" ca="1" si="30"/>
        <v>7130999.010041222</v>
      </c>
      <c r="G96" s="13">
        <f t="shared" ca="1" si="30"/>
        <v>849445.45001445711</v>
      </c>
    </row>
    <row r="97" spans="1:18" x14ac:dyDescent="0.25">
      <c r="A97" s="46" t="s">
        <v>85</v>
      </c>
      <c r="G97" s="13">
        <f ca="1">G96*(1+B93)/(B92-B93)</f>
        <v>5780412.9780633831</v>
      </c>
    </row>
    <row r="98" spans="1:18" x14ac:dyDescent="0.25">
      <c r="A98" s="46" t="s">
        <v>86</v>
      </c>
      <c r="C98" s="13">
        <f ca="1">C97+C96</f>
        <v>-1084747.3370544338</v>
      </c>
      <c r="D98" s="13">
        <f t="shared" ref="D98:G98" ca="1" si="31">D97+D96</f>
        <v>565018.42926055938</v>
      </c>
      <c r="E98" s="13">
        <f t="shared" ca="1" si="31"/>
        <v>5941732.2679500002</v>
      </c>
      <c r="F98" s="13">
        <f t="shared" ca="1" si="31"/>
        <v>7130999.010041222</v>
      </c>
      <c r="G98" s="13">
        <f t="shared" ca="1" si="31"/>
        <v>6629858.4280778402</v>
      </c>
    </row>
    <row r="99" spans="1:18" x14ac:dyDescent="0.25">
      <c r="A99" s="22" t="s">
        <v>56</v>
      </c>
      <c r="B99" s="41">
        <f ca="1">NPV(B92,C98:G98)*(1+B92)^0.5</f>
        <v>9764616.5868229493</v>
      </c>
      <c r="C99" s="31" t="str">
        <f ca="1">_xlfn.FORMULATEXT(B99)</f>
        <v>=NPV(B92,C98:G98)*(1+B92)^0.5</v>
      </c>
    </row>
    <row r="100" spans="1:18" x14ac:dyDescent="0.25">
      <c r="A100" s="22" t="s">
        <v>88</v>
      </c>
      <c r="B100" s="34">
        <f>B52</f>
        <v>3023989</v>
      </c>
      <c r="C100" s="31" t="str">
        <f t="shared" ref="C100:C102" ca="1" si="32">_xlfn.FORMULATEXT(B100)</f>
        <v>=B52</v>
      </c>
    </row>
    <row r="101" spans="1:18" x14ac:dyDescent="0.25">
      <c r="A101" s="9" t="s">
        <v>83</v>
      </c>
      <c r="B101" s="34">
        <f ca="1">B72</f>
        <v>8597874.4171265345</v>
      </c>
      <c r="C101" s="31" t="str">
        <f t="shared" ca="1" si="32"/>
        <v>=B72</v>
      </c>
      <c r="E101" s="41"/>
    </row>
    <row r="102" spans="1:18" x14ac:dyDescent="0.25">
      <c r="A102" s="9" t="s">
        <v>69</v>
      </c>
      <c r="B102" s="33">
        <f ca="1">B99+B100-B101</f>
        <v>4190731.1696964148</v>
      </c>
      <c r="C102" s="31" t="str">
        <f t="shared" ca="1" si="32"/>
        <v>=B99+B100-B101</v>
      </c>
    </row>
    <row r="103" spans="1:18" x14ac:dyDescent="0.25">
      <c r="B103" s="13"/>
    </row>
    <row r="104" spans="1:18" x14ac:dyDescent="0.25">
      <c r="A104" s="9" t="s">
        <v>58</v>
      </c>
      <c r="B104" s="13">
        <v>5000000</v>
      </c>
    </row>
    <row r="105" spans="1:18" x14ac:dyDescent="0.25">
      <c r="A105" s="9" t="s">
        <v>59</v>
      </c>
      <c r="B105" s="37">
        <f ca="1">B102/B104</f>
        <v>0.838146233939283</v>
      </c>
      <c r="C105" s="31" t="str">
        <f t="shared" ref="C105" ca="1" si="33">_xlfn.FORMULATEXT(B105)</f>
        <v>=B102/B104</v>
      </c>
    </row>
    <row r="106" spans="1:18" x14ac:dyDescent="0.25">
      <c r="B106" s="32"/>
    </row>
    <row r="107" spans="1:18" x14ac:dyDescent="0.25">
      <c r="E107" s="9" t="s">
        <v>89</v>
      </c>
    </row>
    <row r="108" spans="1:18" ht="12.5" x14ac:dyDescent="0.25">
      <c r="E108" s="43">
        <f ca="1">B105</f>
        <v>0.838146233939283</v>
      </c>
      <c r="O108"/>
      <c r="P108"/>
      <c r="Q108"/>
      <c r="R108"/>
    </row>
    <row r="109" spans="1:18" ht="12.5" x14ac:dyDescent="0.25">
      <c r="D109" s="32">
        <v>0.1</v>
      </c>
      <c r="E109" s="32">
        <f t="dataTable" ref="E109:E116" dt2D="0" dtr="0" r1="C32" ca="1"/>
        <v>17.552846475037935</v>
      </c>
      <c r="O109"/>
      <c r="P109"/>
      <c r="Q109"/>
      <c r="R109"/>
    </row>
    <row r="110" spans="1:18" ht="12.5" x14ac:dyDescent="0.25">
      <c r="D110" s="32">
        <v>0.15</v>
      </c>
      <c r="E110" s="32">
        <v>14.767063101528919</v>
      </c>
      <c r="O110"/>
      <c r="P110"/>
      <c r="Q110"/>
      <c r="R110"/>
    </row>
    <row r="111" spans="1:18" ht="12.5" x14ac:dyDescent="0.25">
      <c r="D111" s="32">
        <v>0.2</v>
      </c>
      <c r="E111" s="32">
        <v>11.981279728012169</v>
      </c>
      <c r="O111"/>
      <c r="P111"/>
      <c r="Q111"/>
      <c r="R111"/>
    </row>
    <row r="112" spans="1:18" ht="12.5" x14ac:dyDescent="0.25">
      <c r="C112" s="9" t="s">
        <v>78</v>
      </c>
      <c r="D112" s="32">
        <v>0.25</v>
      </c>
      <c r="E112" s="32">
        <v>9.195496354495404</v>
      </c>
      <c r="O112"/>
      <c r="P112"/>
      <c r="Q112"/>
      <c r="R112"/>
    </row>
    <row r="113" spans="3:18" ht="12.5" x14ac:dyDescent="0.25">
      <c r="C113" s="9" t="s">
        <v>79</v>
      </c>
      <c r="D113" s="32">
        <v>0.3</v>
      </c>
      <c r="E113" s="32">
        <v>6.4097129809786484</v>
      </c>
      <c r="O113"/>
      <c r="P113"/>
      <c r="Q113"/>
      <c r="R113"/>
    </row>
    <row r="114" spans="3:18" ht="12.5" x14ac:dyDescent="0.25">
      <c r="D114" s="32">
        <v>0.35</v>
      </c>
      <c r="E114" s="32">
        <v>3.6239296074618919</v>
      </c>
      <c r="O114"/>
      <c r="P114"/>
      <c r="Q114"/>
      <c r="R114"/>
    </row>
    <row r="115" spans="3:18" ht="12.5" x14ac:dyDescent="0.25">
      <c r="D115" s="32">
        <v>0.4</v>
      </c>
      <c r="E115" s="32">
        <v>0.83814623394512944</v>
      </c>
      <c r="O115"/>
      <c r="P115"/>
      <c r="Q115"/>
      <c r="R115"/>
    </row>
    <row r="116" spans="3:18" x14ac:dyDescent="0.25">
      <c r="D116" s="32">
        <v>0.45</v>
      </c>
      <c r="E116" s="32">
        <v>-1.9476371395716328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preptemplate</vt:lpstr>
      <vt:lpstr>Financial Statements</vt:lpstr>
      <vt:lpstr>ProForma Statements</vt:lpstr>
      <vt:lpstr>FCF and Valuation</vt:lpstr>
      <vt:lpstr>SalesDataTable</vt:lpstr>
      <vt:lpstr>ExpenseRatioDataTable</vt:lpstr>
      <vt:lpstr>'FCF and Valuation'!Print_Area</vt:lpstr>
      <vt:lpstr>'ProForma Statements'!Print_Area</vt:lpstr>
    </vt:vector>
  </TitlesOfParts>
  <Company>Hebrew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Benninga</dc:creator>
  <cp:lastModifiedBy>ruchi</cp:lastModifiedBy>
  <cp:lastPrinted>2016-08-25T16:25:23Z</cp:lastPrinted>
  <dcterms:created xsi:type="dcterms:W3CDTF">1996-06-27T18:13:49Z</dcterms:created>
  <dcterms:modified xsi:type="dcterms:W3CDTF">2022-11-22T16:17:20Z</dcterms:modified>
</cp:coreProperties>
</file>