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PERSONAL\USA\DU Docs\MY COURSES\FIN 3200\"/>
    </mc:Choice>
  </mc:AlternateContent>
  <xr:revisionPtr revIDLastSave="0" documentId="13_ncr:1_{D8E01B10-5DE9-4BF1-A521-400CA5B210A7}" xr6:coauthVersionLast="45" xr6:coauthVersionMax="45" xr10:uidLastSave="{00000000-0000-0000-0000-000000000000}"/>
  <bookViews>
    <workbookView xWindow="28680" yWindow="-120" windowWidth="29040" windowHeight="15840" activeTab="1" xr2:uid="{E0E09A9E-FCBA-4861-8327-573DAF4CD6AD}"/>
  </bookViews>
  <sheets>
    <sheet name="Scenario Summary" sheetId="2" r:id="rId1"/>
    <sheet name="Calculation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 l="1"/>
  <c r="F31" i="1" s="1"/>
  <c r="G5" i="1"/>
  <c r="G3" i="1"/>
  <c r="F15" i="1" s="1"/>
  <c r="G4" i="1" l="1"/>
  <c r="H5" i="1" l="1"/>
  <c r="I5" i="1" s="1"/>
  <c r="J5" i="1" s="1"/>
  <c r="K5" i="1" s="1"/>
  <c r="L5" i="1" s="1"/>
  <c r="M5" i="1" s="1"/>
  <c r="N5" i="1" s="1"/>
  <c r="O5" i="1" s="1"/>
  <c r="P5" i="1" s="1"/>
  <c r="Q5" i="1" s="1"/>
  <c r="R5" i="1" s="1"/>
  <c r="S5" i="1" s="1"/>
  <c r="T5" i="1" s="1"/>
  <c r="U5" i="1" l="1"/>
  <c r="V5" i="1" s="1"/>
  <c r="W5" i="1" s="1"/>
  <c r="X5" i="1" s="1"/>
  <c r="Y5" i="1" s="1"/>
  <c r="F9" i="1"/>
  <c r="F37" i="1"/>
  <c r="F8" i="1" s="1"/>
  <c r="E19" i="1"/>
  <c r="J48" i="1"/>
  <c r="J47" i="1"/>
  <c r="J49" i="1" s="1"/>
  <c r="N18" i="1" s="1"/>
  <c r="C10" i="1"/>
  <c r="F4" i="1"/>
  <c r="H3" i="1" l="1"/>
  <c r="H4" i="1" s="1"/>
  <c r="Q8" i="1"/>
  <c r="R8" i="1"/>
  <c r="S8" i="1"/>
  <c r="T8" i="1"/>
  <c r="U8" i="1"/>
  <c r="V8" i="1"/>
  <c r="W8" i="1"/>
  <c r="X8" i="1"/>
  <c r="Y8" i="1"/>
  <c r="F48" i="1"/>
  <c r="F46" i="1"/>
  <c r="F47" i="1" s="1"/>
  <c r="G31" i="1"/>
  <c r="H48" i="1"/>
  <c r="H46" i="1"/>
  <c r="H47" i="1" s="1"/>
  <c r="H49" i="1" s="1"/>
  <c r="I48" i="1"/>
  <c r="G9" i="1" l="1"/>
  <c r="F49" i="1"/>
  <c r="Y16" i="1" s="1"/>
  <c r="Y18" i="1"/>
  <c r="V31" i="1"/>
  <c r="V9" i="1" s="1"/>
  <c r="N31" i="1"/>
  <c r="S31" i="1"/>
  <c r="S9" i="1" s="1"/>
  <c r="K31" i="1"/>
  <c r="K9" i="1" s="1"/>
  <c r="U31" i="1"/>
  <c r="U9" i="1" s="1"/>
  <c r="M31" i="1"/>
  <c r="M9" i="1" s="1"/>
  <c r="T31" i="1"/>
  <c r="T9" i="1" s="1"/>
  <c r="L31" i="1"/>
  <c r="L9" i="1" s="1"/>
  <c r="R31" i="1"/>
  <c r="R9" i="1" s="1"/>
  <c r="J31" i="1"/>
  <c r="J9" i="1" s="1"/>
  <c r="Y31" i="1"/>
  <c r="Y9" i="1" s="1"/>
  <c r="Q31" i="1"/>
  <c r="Q9" i="1" s="1"/>
  <c r="I31" i="1"/>
  <c r="I9" i="1" s="1"/>
  <c r="X31" i="1"/>
  <c r="X9" i="1" s="1"/>
  <c r="P31" i="1"/>
  <c r="P9" i="1" s="1"/>
  <c r="H31" i="1"/>
  <c r="W31" i="1"/>
  <c r="W9" i="1" s="1"/>
  <c r="O31" i="1"/>
  <c r="O9" i="1" s="1"/>
  <c r="N7" i="1"/>
  <c r="O7" i="1"/>
  <c r="X7" i="1"/>
  <c r="Y7" i="1"/>
  <c r="N9" i="1" l="1"/>
  <c r="H9" i="1"/>
  <c r="G45" i="1"/>
  <c r="G46" i="1" s="1"/>
  <c r="G47" i="1" s="1"/>
  <c r="Y17" i="1" s="1"/>
  <c r="W34" i="1"/>
  <c r="W7" i="1" s="1"/>
  <c r="V34" i="1"/>
  <c r="V7" i="1" s="1"/>
  <c r="U34" i="1"/>
  <c r="U7" i="1" s="1"/>
  <c r="T34" i="1"/>
  <c r="T7" i="1" s="1"/>
  <c r="S34" i="1"/>
  <c r="S7" i="1" s="1"/>
  <c r="R34" i="1"/>
  <c r="R7" i="1" s="1"/>
  <c r="Q34" i="1"/>
  <c r="Q7" i="1" s="1"/>
  <c r="P34" i="1"/>
  <c r="P7" i="1" s="1"/>
  <c r="M34" i="1"/>
  <c r="M7" i="1" s="1"/>
  <c r="L34" i="1"/>
  <c r="L7" i="1" s="1"/>
  <c r="K34" i="1"/>
  <c r="K7" i="1" s="1"/>
  <c r="J34" i="1"/>
  <c r="J7" i="1" s="1"/>
  <c r="I34" i="1"/>
  <c r="I7" i="1" s="1"/>
  <c r="H34" i="1"/>
  <c r="H7" i="1" s="1"/>
  <c r="G34" i="1"/>
  <c r="F34" i="1"/>
  <c r="P37" i="1"/>
  <c r="P8" i="1" s="1"/>
  <c r="O37" i="1"/>
  <c r="O8" i="1" s="1"/>
  <c r="N37" i="1"/>
  <c r="N8" i="1" s="1"/>
  <c r="M37" i="1"/>
  <c r="M8" i="1" s="1"/>
  <c r="L37" i="1"/>
  <c r="L8" i="1" s="1"/>
  <c r="K37" i="1"/>
  <c r="K8" i="1" s="1"/>
  <c r="J37" i="1"/>
  <c r="J8" i="1" s="1"/>
  <c r="I37" i="1"/>
  <c r="I8" i="1" s="1"/>
  <c r="H37" i="1"/>
  <c r="H8" i="1" s="1"/>
  <c r="G37" i="1"/>
  <c r="G8" i="1" s="1"/>
  <c r="F40" i="1" l="1"/>
  <c r="F13" i="1" s="1"/>
  <c r="F7" i="1"/>
  <c r="F10" i="1" s="1"/>
  <c r="H40" i="1"/>
  <c r="H13" i="1" s="1"/>
  <c r="G7" i="1"/>
  <c r="G40" i="1"/>
  <c r="N40" i="1"/>
  <c r="I45" i="1"/>
  <c r="I46" i="1" s="1"/>
  <c r="I47" i="1" s="1"/>
  <c r="G13" i="1"/>
  <c r="I40" i="1"/>
  <c r="I13" i="1" s="1"/>
  <c r="J40" i="1"/>
  <c r="J13" i="1" s="1"/>
  <c r="K40" i="1"/>
  <c r="K13" i="1" s="1"/>
  <c r="L40" i="1"/>
  <c r="L13" i="1" s="1"/>
  <c r="M40" i="1"/>
  <c r="M13" i="1" s="1"/>
  <c r="N13" i="1"/>
  <c r="O40" i="1"/>
  <c r="O13" i="1" s="1"/>
  <c r="P40" i="1"/>
  <c r="P13" i="1" s="1"/>
  <c r="Q40" i="1"/>
  <c r="Q13" i="1" s="1"/>
  <c r="R40" i="1"/>
  <c r="R13" i="1" s="1"/>
  <c r="S40" i="1"/>
  <c r="S13" i="1" s="1"/>
  <c r="T40" i="1"/>
  <c r="T13" i="1" s="1"/>
  <c r="U40" i="1"/>
  <c r="U13" i="1" s="1"/>
  <c r="V40" i="1"/>
  <c r="V13" i="1" s="1"/>
  <c r="W40" i="1"/>
  <c r="W13" i="1" s="1"/>
  <c r="X40" i="1"/>
  <c r="X13" i="1" s="1"/>
  <c r="Y40" i="1"/>
  <c r="Y13" i="1" s="1"/>
  <c r="G15" i="1"/>
  <c r="E15" i="1"/>
  <c r="I49" i="1" l="1"/>
  <c r="Y19" i="1" s="1"/>
  <c r="F11" i="1"/>
  <c r="F12" i="1" s="1"/>
  <c r="F14" i="1" s="1"/>
  <c r="F20" i="1" s="1"/>
  <c r="G10" i="1"/>
  <c r="D10" i="1"/>
  <c r="E10" i="1"/>
  <c r="C11" i="1" l="1"/>
  <c r="C12" i="1" s="1"/>
  <c r="C14" i="1" s="1"/>
  <c r="C20" i="1" s="1"/>
  <c r="E11" i="1"/>
  <c r="E12" i="1" s="1"/>
  <c r="E14" i="1" s="1"/>
  <c r="E20" i="1" s="1"/>
  <c r="D11" i="1"/>
  <c r="D12" i="1" s="1"/>
  <c r="D14" i="1" s="1"/>
  <c r="D20" i="1" s="1"/>
  <c r="G11" i="1"/>
  <c r="G12" i="1" s="1"/>
  <c r="G14" i="1" s="1"/>
  <c r="G20" i="1" s="1"/>
  <c r="I3" i="1"/>
  <c r="I4" i="1" l="1"/>
  <c r="I10" i="1" s="1"/>
  <c r="I11" i="1" s="1"/>
  <c r="I12" i="1" s="1"/>
  <c r="I14" i="1" s="1"/>
  <c r="H15" i="1"/>
  <c r="H10" i="1"/>
  <c r="J3" i="1"/>
  <c r="K3" i="1" l="1"/>
  <c r="L3" i="1" s="1"/>
  <c r="J4" i="1"/>
  <c r="J10" i="1" s="1"/>
  <c r="I15" i="1"/>
  <c r="I20" i="1" s="1"/>
  <c r="H11" i="1"/>
  <c r="H12" i="1" s="1"/>
  <c r="H14" i="1" s="1"/>
  <c r="H20" i="1" s="1"/>
  <c r="K15" i="1" l="1"/>
  <c r="L4" i="1"/>
  <c r="K4" i="1"/>
  <c r="K10" i="1" s="1"/>
  <c r="K11" i="1" s="1"/>
  <c r="K12" i="1" s="1"/>
  <c r="K14" i="1" s="1"/>
  <c r="K20" i="1" s="1"/>
  <c r="J15" i="1"/>
  <c r="J11" i="1"/>
  <c r="J12" i="1" s="1"/>
  <c r="J14" i="1" s="1"/>
  <c r="J20" i="1" s="1"/>
  <c r="M3" i="1"/>
  <c r="L10" i="1"/>
  <c r="L15" i="1" l="1"/>
  <c r="M4" i="1"/>
  <c r="L11" i="1"/>
  <c r="L12" i="1" s="1"/>
  <c r="L14" i="1" s="1"/>
  <c r="L20" i="1" s="1"/>
  <c r="N3" i="1"/>
  <c r="M10" i="1"/>
  <c r="M15" i="1" l="1"/>
  <c r="N4" i="1"/>
  <c r="N10" i="1" s="1"/>
  <c r="M11" i="1"/>
  <c r="M12" i="1" s="1"/>
  <c r="M14" i="1" s="1"/>
  <c r="M20" i="1" s="1"/>
  <c r="O3" i="1"/>
  <c r="N15" i="1" l="1"/>
  <c r="O4" i="1"/>
  <c r="O10" i="1" s="1"/>
  <c r="N11" i="1"/>
  <c r="N12" i="1" s="1"/>
  <c r="N14" i="1" s="1"/>
  <c r="N20" i="1" s="1"/>
  <c r="P3" i="1"/>
  <c r="P4" i="1" l="1"/>
  <c r="P10" i="1" s="1"/>
  <c r="O15" i="1"/>
  <c r="O11" i="1"/>
  <c r="O12" i="1" s="1"/>
  <c r="O14" i="1" s="1"/>
  <c r="O20" i="1" s="1"/>
  <c r="Q3" i="1"/>
  <c r="Q4" i="1" l="1"/>
  <c r="Q10" i="1" s="1"/>
  <c r="P15" i="1"/>
  <c r="P11" i="1"/>
  <c r="P12" i="1" s="1"/>
  <c r="P14" i="1" s="1"/>
  <c r="P20" i="1" s="1"/>
  <c r="R3" i="1"/>
  <c r="R4" i="1" l="1"/>
  <c r="R10" i="1" s="1"/>
  <c r="Q15" i="1"/>
  <c r="Q11" i="1"/>
  <c r="Q12" i="1" s="1"/>
  <c r="Q14" i="1" s="1"/>
  <c r="Q20" i="1" s="1"/>
  <c r="S3" i="1"/>
  <c r="S4" i="1" l="1"/>
  <c r="R15" i="1"/>
  <c r="R11" i="1"/>
  <c r="R12" i="1" s="1"/>
  <c r="R14" i="1" s="1"/>
  <c r="R20" i="1" s="1"/>
  <c r="T3" i="1"/>
  <c r="S10" i="1"/>
  <c r="S15" i="1" l="1"/>
  <c r="T4" i="1"/>
  <c r="T10" i="1" s="1"/>
  <c r="S11" i="1"/>
  <c r="S12" i="1" s="1"/>
  <c r="S14" i="1" s="1"/>
  <c r="S20" i="1" s="1"/>
  <c r="U3" i="1"/>
  <c r="T15" i="1" l="1"/>
  <c r="U4" i="1"/>
  <c r="U10" i="1" s="1"/>
  <c r="T11" i="1"/>
  <c r="T12" i="1" s="1"/>
  <c r="T14" i="1" s="1"/>
  <c r="T20" i="1" s="1"/>
  <c r="V3" i="1"/>
  <c r="U15" i="1" l="1"/>
  <c r="V4" i="1"/>
  <c r="U11" i="1"/>
  <c r="U12" i="1" s="1"/>
  <c r="U14" i="1" s="1"/>
  <c r="U20" i="1" s="1"/>
  <c r="V10" i="1"/>
  <c r="W3" i="1"/>
  <c r="V15" i="1" l="1"/>
  <c r="W4" i="1"/>
  <c r="W10" i="1" s="1"/>
  <c r="V11" i="1"/>
  <c r="V12" i="1" s="1"/>
  <c r="V14" i="1" s="1"/>
  <c r="X3" i="1"/>
  <c r="V20" i="1" l="1"/>
  <c r="Y3" i="1"/>
  <c r="X15" i="1" s="1"/>
  <c r="Y15" i="1" s="1"/>
  <c r="X4" i="1"/>
  <c r="X10" i="1" s="1"/>
  <c r="W15" i="1"/>
  <c r="W11" i="1"/>
  <c r="W12" i="1" s="1"/>
  <c r="W14" i="1" s="1"/>
  <c r="W20" i="1" l="1"/>
  <c r="Y4" i="1"/>
  <c r="X11" i="1"/>
  <c r="X12" i="1" s="1"/>
  <c r="X14" i="1" s="1"/>
  <c r="X20" i="1" s="1"/>
  <c r="Y10" i="1" l="1"/>
  <c r="Y11" i="1" s="1"/>
  <c r="Y12" i="1" l="1"/>
  <c r="Y14" i="1" s="1"/>
  <c r="Y20" i="1" s="1"/>
  <c r="C26" i="1" l="1"/>
  <c r="C27" i="1"/>
  <c r="C24" i="1"/>
  <c r="C25" i="1"/>
</calcChain>
</file>

<file path=xl/sharedStrings.xml><?xml version="1.0" encoding="utf-8"?>
<sst xmlns="http://schemas.openxmlformats.org/spreadsheetml/2006/main" count="81" uniqueCount="71">
  <si>
    <t>Revenues</t>
  </si>
  <si>
    <t>Crusher</t>
  </si>
  <si>
    <t>Grinder</t>
  </si>
  <si>
    <t>Building</t>
  </si>
  <si>
    <t>Taxes</t>
  </si>
  <si>
    <t>Assumptions</t>
  </si>
  <si>
    <t>Tax rate</t>
  </si>
  <si>
    <t>WACC</t>
  </si>
  <si>
    <t>Fixed cost growth rate</t>
  </si>
  <si>
    <t xml:space="preserve">Sales growth rate of </t>
  </si>
  <si>
    <t>Depreciation</t>
  </si>
  <si>
    <t>After tax salvage</t>
  </si>
  <si>
    <t>Land</t>
  </si>
  <si>
    <t>Sale Price</t>
  </si>
  <si>
    <t>NWC (of next year's sales)</t>
  </si>
  <si>
    <t>Depreciable amount</t>
  </si>
  <si>
    <t>TOTAL DEPRECIATION</t>
  </si>
  <si>
    <t>Original Cost</t>
  </si>
  <si>
    <t>Accumulated Depreciation</t>
  </si>
  <si>
    <t>Book value</t>
  </si>
  <si>
    <t>Operating cost Variable</t>
  </si>
  <si>
    <t>Operating cost Fixed</t>
  </si>
  <si>
    <t>Crushers</t>
  </si>
  <si>
    <t>Earnings Before Interest &amp; Taxes</t>
  </si>
  <si>
    <t>Net Operating Profit After Tax</t>
  </si>
  <si>
    <t>Operating Cash Flows</t>
  </si>
  <si>
    <t>Net Working Capital</t>
  </si>
  <si>
    <t>Capital Expenditure Land</t>
  </si>
  <si>
    <t>Capital Expenditure Building</t>
  </si>
  <si>
    <t>Capital Expenditure Crushers</t>
  </si>
  <si>
    <t>Capital Expenditure Grinder</t>
  </si>
  <si>
    <t>Free Cash Flow</t>
  </si>
  <si>
    <t>Variable Cost ratio</t>
  </si>
  <si>
    <t>1st year of operations</t>
  </si>
  <si>
    <t>Crusher (first-sale)</t>
  </si>
  <si>
    <t>Crusher (second-sale)</t>
  </si>
  <si>
    <t>Taxable amount</t>
  </si>
  <si>
    <t>Terminal cash flow</t>
  </si>
  <si>
    <t>NET PRESENT VALUE</t>
  </si>
  <si>
    <t>INTERNAL RATE OF RETURN</t>
  </si>
  <si>
    <t>MODIFIED INTERNAL RATE OF RETURN</t>
  </si>
  <si>
    <t>PROFITABILITY INDEX</t>
  </si>
  <si>
    <t>$C$32</t>
  </si>
  <si>
    <t>$C$34</t>
  </si>
  <si>
    <t>$C$35</t>
  </si>
  <si>
    <t>$C$24</t>
  </si>
  <si>
    <t>$C$25</t>
  </si>
  <si>
    <t>$C$26</t>
  </si>
  <si>
    <t>$C$27</t>
  </si>
  <si>
    <t>Created by ruchi on 6/1/2021
Modified by ruchi on 6/2/2021</t>
  </si>
  <si>
    <t>Best</t>
  </si>
  <si>
    <t>Worst 1</t>
  </si>
  <si>
    <t>Worst 2</t>
  </si>
  <si>
    <t>Created by ruchi on 6/1/2021
Modified by ruchi on 6/1/2021
Modified by ruchi on 6/2/2021</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</si>
  <si>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</si>
  <si>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</si>
  <si>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</si>
  <si>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</si>
  <si>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</si>
  <si>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</si>
  <si>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</si>
  <si>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Internal Rate of Return</t>
  </si>
  <si>
    <t>Modified Internal Rate of Return</t>
  </si>
  <si>
    <t>Profitability Index</t>
  </si>
  <si>
    <t>Net Present Value</t>
  </si>
  <si>
    <t>Base</t>
  </si>
  <si>
    <t>Result</t>
  </si>
  <si>
    <t>The scenario best for the company, under which they can accept the project is the best-case scenario. With low costs and base tax rate, there is a positive Net Present Value. Even though the IRR and MIRR are less than the WACC, this project is acceptable based on NPV and Profitability index.</t>
  </si>
  <si>
    <t>The two worst case scenarios show us that with high costs or higher tax rate, the company will not benefit from the project. With increases in these measures, the NPV, IRR, MIRR, Profitability Index are all showing poor numbers causing the rejection of the project in these circumstances.</t>
  </si>
  <si>
    <t>With current values entered which is the base case scenario, there is a negative Net Present Value. The returns from the project are less than the initial outlay, giving us a negative NPV, this is why the project should not be accepted. Under the base case, the IRR &amp; MIRR are less than the WACC. The profitability index is also less than 1.</t>
  </si>
  <si>
    <t>Add depreciation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</si>
</sst>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20">
    <border>
      <left/>
      <right/>
      <top/>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66">
    <xf numFmtId="0" fontId="0" fillId="0" borderId="0" xfId="0"/>
    <xf numFmtId="0" fontId="0" fillId="0" borderId="0" xfId="0" applyAlignment="1">
      <alignment horizontal="left" indent="1"/>
    </xf>
    <xf numFmtId="0" fontId="0" fillId="0" borderId="0" xfId="0" applyFill="1" applyBorder="1" applyAlignment="1">
      <alignment horizontal="left" indent="1"/>
    </xf>
    <xf numFmtId="0" fontId="1" fillId="0" borderId="0" xfId="0" applyFont="1"/>
    <xf numFmtId="0" fontId="1" fillId="0" borderId="0" xfId="0" applyFont="1" applyAlignment="1">
      <alignment horizontal="left"/>
    </xf>
    <xf numFmtId="0" fontId="1" fillId="0" borderId="0" xfId="0" applyFont="1" applyFill="1" applyBorder="1" applyAlignment="1">
      <alignment horizontal="left"/>
    </xf>
    <xf numFmtId="42" fontId="0" fillId="0" borderId="1" xfId="0" applyNumberFormat="1" applyBorder="1"/>
    <xf numFmtId="42" fontId="0" fillId="0" borderId="0" xfId="0" applyNumberFormat="1"/>
    <xf numFmtId="42" fontId="1" fillId="0" borderId="0" xfId="0" applyNumberFormat="1" applyFont="1" applyBorder="1"/>
    <xf numFmtId="42" fontId="0" fillId="0" borderId="0" xfId="0" applyNumberFormat="1" applyBorder="1"/>
    <xf numFmtId="0" fontId="3" fillId="0" borderId="0" xfId="0" applyFont="1"/>
    <xf numFmtId="2" fontId="3" fillId="0" borderId="0" xfId="0" applyNumberFormat="1" applyFont="1"/>
    <xf numFmtId="0" fontId="0" fillId="0" borderId="0" xfId="0" applyAlignment="1">
      <alignment horizontal="left"/>
    </xf>
    <xf numFmtId="42" fontId="0" fillId="0" borderId="0" xfId="0" applyNumberFormat="1" applyFill="1" applyBorder="1"/>
    <xf numFmtId="10" fontId="3" fillId="0" borderId="0" xfId="0" applyNumberFormat="1" applyFont="1"/>
    <xf numFmtId="8" fontId="3" fillId="0" borderId="0" xfId="0" applyNumberFormat="1" applyFont="1"/>
    <xf numFmtId="165" fontId="0" fillId="0" borderId="0" xfId="2" applyNumberFormat="1" applyFont="1"/>
    <xf numFmtId="42" fontId="0" fillId="0" borderId="0" xfId="0" applyNumberFormat="1" applyFill="1"/>
    <xf numFmtId="0" fontId="0" fillId="0" borderId="3" xfId="0" applyBorder="1"/>
    <xf numFmtId="0" fontId="0" fillId="0" borderId="4" xfId="0" applyBorder="1"/>
    <xf numFmtId="0" fontId="0" fillId="0" borderId="5" xfId="0" applyBorder="1"/>
    <xf numFmtId="9" fontId="0" fillId="0" borderId="6" xfId="0" applyNumberFormat="1" applyBorder="1"/>
    <xf numFmtId="0" fontId="0" fillId="0" borderId="6" xfId="0" applyBorder="1"/>
    <xf numFmtId="0" fontId="0" fillId="0" borderId="7" xfId="0" applyBorder="1"/>
    <xf numFmtId="9" fontId="0" fillId="0" borderId="8"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42" fontId="0" fillId="0" borderId="6" xfId="0" applyNumberFormat="1" applyBorder="1"/>
    <xf numFmtId="0" fontId="0" fillId="0" borderId="13" xfId="0" applyBorder="1"/>
    <xf numFmtId="0" fontId="0" fillId="0" borderId="0" xfId="0" applyBorder="1"/>
    <xf numFmtId="164" fontId="0" fillId="0" borderId="13" xfId="1" applyNumberFormat="1" applyFont="1" applyBorder="1"/>
    <xf numFmtId="164" fontId="0" fillId="0" borderId="0" xfId="1" applyNumberFormat="1" applyFont="1" applyBorder="1"/>
    <xf numFmtId="164" fontId="0" fillId="0" borderId="0" xfId="0" applyNumberFormat="1" applyBorder="1"/>
    <xf numFmtId="0" fontId="1" fillId="0" borderId="14" xfId="0" applyFont="1" applyBorder="1"/>
    <xf numFmtId="42" fontId="1" fillId="0" borderId="15" xfId="0" applyNumberFormat="1" applyFont="1" applyBorder="1"/>
    <xf numFmtId="42" fontId="1" fillId="0" borderId="8" xfId="0" applyNumberFormat="1" applyFont="1" applyBorder="1"/>
    <xf numFmtId="0" fontId="0" fillId="0" borderId="16" xfId="0" applyBorder="1"/>
    <xf numFmtId="0" fontId="0" fillId="0" borderId="17" xfId="0" applyBorder="1"/>
    <xf numFmtId="0" fontId="0" fillId="0" borderId="11" xfId="0" applyFill="1" applyBorder="1"/>
    <xf numFmtId="42" fontId="0" fillId="0" borderId="6" xfId="0" applyNumberFormat="1" applyFill="1" applyBorder="1"/>
    <xf numFmtId="164" fontId="0" fillId="0" borderId="6" xfId="1" applyNumberFormat="1" applyFont="1" applyFill="1" applyBorder="1"/>
    <xf numFmtId="0" fontId="0" fillId="0" borderId="13" xfId="0" applyFill="1" applyBorder="1"/>
    <xf numFmtId="9" fontId="0" fillId="0" borderId="0" xfId="0" applyNumberFormat="1" applyBorder="1"/>
    <xf numFmtId="0" fontId="0" fillId="0" borderId="14" xfId="0" applyFill="1" applyBorder="1"/>
    <xf numFmtId="42" fontId="0" fillId="0" borderId="15" xfId="0" applyNumberFormat="1" applyBorder="1"/>
    <xf numFmtId="42" fontId="0" fillId="0" borderId="8" xfId="0" applyNumberFormat="1" applyBorder="1"/>
    <xf numFmtId="0" fontId="1" fillId="2" borderId="0" xfId="0" applyFont="1" applyFill="1" applyBorder="1" applyAlignment="1">
      <alignment horizontal="left"/>
    </xf>
    <xf numFmtId="42" fontId="1" fillId="2" borderId="0" xfId="0" applyNumberFormat="1" applyFont="1" applyFill="1" applyBorder="1"/>
    <xf numFmtId="0" fontId="0" fillId="0" borderId="0" xfId="0" applyFill="1" applyBorder="1" applyAlignment="1"/>
    <xf numFmtId="9" fontId="0" fillId="0" borderId="0" xfId="0" applyNumberFormat="1" applyFill="1" applyBorder="1" applyAlignment="1"/>
    <xf numFmtId="8" fontId="0" fillId="0" borderId="0" xfId="0" applyNumberFormat="1" applyFill="1" applyBorder="1" applyAlignment="1"/>
    <xf numFmtId="10" fontId="0" fillId="0" borderId="0" xfId="0" applyNumberFormat="1" applyFill="1" applyBorder="1" applyAlignment="1"/>
    <xf numFmtId="2" fontId="0" fillId="0" borderId="15" xfId="0" applyNumberFormat="1" applyFill="1" applyBorder="1" applyAlignment="1"/>
    <xf numFmtId="0" fontId="4" fillId="3" borderId="2" xfId="0" applyFont="1" applyFill="1" applyBorder="1" applyAlignment="1">
      <alignment horizontal="left"/>
    </xf>
    <xf numFmtId="0" fontId="4" fillId="3" borderId="18" xfId="0" applyFont="1" applyFill="1" applyBorder="1" applyAlignment="1">
      <alignment horizontal="left"/>
    </xf>
    <xf numFmtId="0" fontId="0" fillId="0" borderId="19" xfId="0" applyFill="1" applyBorder="1" applyAlignment="1"/>
    <xf numFmtId="0" fontId="5" fillId="4" borderId="0" xfId="0" applyFont="1" applyFill="1" applyBorder="1" applyAlignment="1">
      <alignment horizontal="left"/>
    </xf>
    <xf numFmtId="0" fontId="6" fillId="4" borderId="19" xfId="0" applyFont="1" applyFill="1" applyBorder="1" applyAlignment="1">
      <alignment horizontal="left"/>
    </xf>
    <xf numFmtId="0" fontId="5" fillId="4" borderId="15" xfId="0" applyFont="1" applyFill="1" applyBorder="1" applyAlignment="1">
      <alignment horizontal="left"/>
    </xf>
    <xf numFmtId="0" fontId="7" fillId="3" borderId="18" xfId="0" applyFont="1" applyFill="1" applyBorder="1" applyAlignment="1">
      <alignment horizontal="right"/>
    </xf>
    <xf numFmtId="0" fontId="7" fillId="3" borderId="2" xfId="0" applyFont="1" applyFill="1" applyBorder="1" applyAlignment="1">
      <alignment horizontal="right"/>
    </xf>
    <xf numFmtId="9" fontId="0" fillId="5" borderId="0" xfId="0" applyNumberFormat="1" applyFill="1" applyBorder="1" applyAlignment="1"/>
    <xf numFmtId="0" fontId="8" fillId="0" borderId="0" xfId="0" applyFont="1" applyFill="1" applyBorder="1" applyAlignment="1">
      <alignment vertical="top" wrapText="1"/>
    </xf>
    <xf numFmtId="0" fontId="0" fillId="0" borderId="0" xfId="0" applyAlignment="1">
      <alignment horizontal="center" wrapTex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694E8-9849-4B36-833F-B6393DF73775}">
  <sheetPr>
    <outlinePr summaryBelow="0"/>
  </sheetPr>
  <dimension ref="B1:I31"/>
  <sheetViews>
    <sheetView showGridLines="0" workbookViewId="0">
      <selection activeCell="O18" sqref="O18"/>
    </sheetView>
  </sheetViews>
  <sheetFormatPr defaultRowHeight="14.5" outlineLevelRow="1" outlineLevelCol="1" x14ac:dyDescent="0.35"/>
  <cols>
    <col min="2" max="2" width="31.54296875" customWidth="1"/>
    <col min="3" max="3" width="7.1796875" customWidth="1"/>
    <col min="4" max="8" width="15.6328125" bestFit="1" customWidth="1" outlineLevel="1"/>
  </cols>
  <sheetData>
    <row r="1" spans="2:8" ht="15" thickBot="1" x14ac:dyDescent="0.4"/>
    <row r="2" spans="2:8" ht="15.5" x14ac:dyDescent="0.35">
      <c r="B2" s="56" t="s">
        <v>54</v>
      </c>
      <c r="C2" s="56"/>
      <c r="D2" s="61"/>
      <c r="E2" s="61"/>
      <c r="F2" s="61"/>
      <c r="G2" s="61"/>
      <c r="H2" s="61"/>
    </row>
    <row r="3" spans="2:8" ht="15.5" collapsed="1" x14ac:dyDescent="0.35">
      <c r="B3" s="55"/>
      <c r="C3" s="55"/>
      <c r="D3" s="62" t="s">
        <v>56</v>
      </c>
      <c r="E3" s="62" t="s">
        <v>65</v>
      </c>
      <c r="F3" s="62" t="s">
        <v>50</v>
      </c>
      <c r="G3" s="62" t="s">
        <v>51</v>
      </c>
      <c r="H3" s="62" t="s">
        <v>52</v>
      </c>
    </row>
    <row r="4" spans="2:8" ht="63" hidden="1" outlineLevel="1" x14ac:dyDescent="0.35">
      <c r="B4" s="58"/>
      <c r="C4" s="58"/>
      <c r="D4" s="50"/>
      <c r="E4" s="64" t="s">
        <v>49</v>
      </c>
      <c r="F4" s="64" t="s">
        <v>49</v>
      </c>
      <c r="G4" s="64" t="s">
        <v>49</v>
      </c>
      <c r="H4" s="64" t="s">
        <v>53</v>
      </c>
    </row>
    <row r="5" spans="2:8" x14ac:dyDescent="0.35">
      <c r="B5" s="59" t="s">
        <v>55</v>
      </c>
      <c r="C5" s="59"/>
      <c r="D5" s="57"/>
      <c r="E5" s="57"/>
      <c r="F5" s="57"/>
      <c r="G5" s="57"/>
      <c r="H5" s="57"/>
    </row>
    <row r="6" spans="2:8" outlineLevel="1" x14ac:dyDescent="0.35">
      <c r="B6" s="58"/>
      <c r="C6" s="58" t="s">
        <v>42</v>
      </c>
      <c r="D6" s="51">
        <v>0.3</v>
      </c>
      <c r="E6" s="63">
        <v>0.3</v>
      </c>
      <c r="F6" s="63">
        <v>0.25</v>
      </c>
      <c r="G6" s="63">
        <v>0.45</v>
      </c>
      <c r="H6" s="63">
        <v>0.3</v>
      </c>
    </row>
    <row r="7" spans="2:8" outlineLevel="1" x14ac:dyDescent="0.35">
      <c r="B7" s="58"/>
      <c r="C7" s="58" t="s">
        <v>43</v>
      </c>
      <c r="D7" s="51">
        <v>0.06</v>
      </c>
      <c r="E7" s="63">
        <v>0.06</v>
      </c>
      <c r="F7" s="63">
        <v>0.05</v>
      </c>
      <c r="G7" s="63">
        <v>0.09</v>
      </c>
      <c r="H7" s="63">
        <v>0.06</v>
      </c>
    </row>
    <row r="8" spans="2:8" outlineLevel="1" x14ac:dyDescent="0.35">
      <c r="B8" s="58"/>
      <c r="C8" s="58" t="s">
        <v>44</v>
      </c>
      <c r="D8" s="51">
        <v>0.25</v>
      </c>
      <c r="E8" s="63">
        <v>0.25</v>
      </c>
      <c r="F8" s="63">
        <v>0.25</v>
      </c>
      <c r="G8" s="63">
        <v>0.25</v>
      </c>
      <c r="H8" s="63">
        <v>0.45</v>
      </c>
    </row>
    <row r="9" spans="2:8" x14ac:dyDescent="0.35">
      <c r="B9" s="59" t="s">
        <v>57</v>
      </c>
      <c r="C9" s="59"/>
      <c r="D9" s="57"/>
      <c r="E9" s="57"/>
      <c r="F9" s="57"/>
      <c r="G9" s="57"/>
      <c r="H9" s="57"/>
    </row>
    <row r="10" spans="2:8" outlineLevel="1" x14ac:dyDescent="0.35">
      <c r="B10" s="58" t="s">
        <v>64</v>
      </c>
      <c r="C10" s="58" t="s">
        <v>45</v>
      </c>
      <c r="D10" s="52">
        <v>-39046362.730218202</v>
      </c>
      <c r="E10" s="52">
        <v>-39046362.730218202</v>
      </c>
      <c r="F10" s="52">
        <v>14597769.7075215</v>
      </c>
      <c r="G10" s="52">
        <v>-211995901.16164601</v>
      </c>
      <c r="H10" s="52">
        <v>-100924245.000912</v>
      </c>
    </row>
    <row r="11" spans="2:8" outlineLevel="1" x14ac:dyDescent="0.35">
      <c r="B11" s="58" t="s">
        <v>61</v>
      </c>
      <c r="C11" s="58" t="s">
        <v>46</v>
      </c>
      <c r="D11" s="53">
        <v>9.6821701303740904E-2</v>
      </c>
      <c r="E11" s="53">
        <v>9.6821701303740904E-2</v>
      </c>
      <c r="F11" s="53">
        <v>0.11519351835906699</v>
      </c>
      <c r="G11" s="53">
        <v>1.6743259166222001E-2</v>
      </c>
      <c r="H11" s="53">
        <v>7.25612958914061E-2</v>
      </c>
    </row>
    <row r="12" spans="2:8" outlineLevel="1" x14ac:dyDescent="0.35">
      <c r="B12" s="58" t="s">
        <v>62</v>
      </c>
      <c r="C12" s="58" t="s">
        <v>47</v>
      </c>
      <c r="D12" s="53">
        <v>0.105495641115624</v>
      </c>
      <c r="E12" s="53">
        <v>0.105495641115624</v>
      </c>
      <c r="F12" s="53">
        <v>0.117163571757541</v>
      </c>
      <c r="G12" s="53">
        <v>3.4836680970031599E-2</v>
      </c>
      <c r="H12" s="53">
        <v>8.7737211253870795E-2</v>
      </c>
    </row>
    <row r="13" spans="2:8" ht="15" outlineLevel="1" thickBot="1" x14ac:dyDescent="0.4">
      <c r="B13" s="60" t="s">
        <v>63</v>
      </c>
      <c r="C13" s="60" t="s">
        <v>48</v>
      </c>
      <c r="D13" s="54">
        <v>0.84095167930664705</v>
      </c>
      <c r="E13" s="54">
        <v>0.84095167930664705</v>
      </c>
      <c r="F13" s="54">
        <v>1.0594613837373601</v>
      </c>
      <c r="G13" s="54">
        <v>0.13647290769187101</v>
      </c>
      <c r="H13" s="54">
        <v>0.588903279018687</v>
      </c>
    </row>
    <row r="14" spans="2:8" x14ac:dyDescent="0.35">
      <c r="B14" t="s">
        <v>58</v>
      </c>
    </row>
    <row r="15" spans="2:8" x14ac:dyDescent="0.35">
      <c r="B15" t="s">
        <v>59</v>
      </c>
    </row>
    <row r="16" spans="2:8" x14ac:dyDescent="0.35">
      <c r="B16" t="s">
        <v>60</v>
      </c>
    </row>
    <row r="20" spans="2:9" ht="15.5" x14ac:dyDescent="0.35">
      <c r="B20" s="10" t="s">
        <v>66</v>
      </c>
    </row>
    <row r="21" spans="2:9" x14ac:dyDescent="0.35">
      <c r="B21" s="65" t="s">
        <v>69</v>
      </c>
      <c r="C21" s="65"/>
      <c r="D21" s="65"/>
      <c r="E21" s="65"/>
      <c r="F21" s="65"/>
      <c r="G21" s="65"/>
      <c r="H21" s="65"/>
      <c r="I21" s="65"/>
    </row>
    <row r="22" spans="2:9" x14ac:dyDescent="0.35">
      <c r="B22" s="65"/>
      <c r="C22" s="65"/>
      <c r="D22" s="65"/>
      <c r="E22" s="65"/>
      <c r="F22" s="65"/>
      <c r="G22" s="65"/>
      <c r="H22" s="65"/>
      <c r="I22" s="65"/>
    </row>
    <row r="23" spans="2:9" x14ac:dyDescent="0.35">
      <c r="B23" s="65"/>
      <c r="C23" s="65"/>
      <c r="D23" s="65"/>
      <c r="E23" s="65"/>
      <c r="F23" s="65"/>
      <c r="G23" s="65"/>
      <c r="H23" s="65"/>
      <c r="I23" s="65"/>
    </row>
    <row r="24" spans="2:9" x14ac:dyDescent="0.35">
      <c r="B24" s="65"/>
      <c r="C24" s="65"/>
      <c r="D24" s="65"/>
      <c r="E24" s="65"/>
      <c r="F24" s="65"/>
      <c r="G24" s="65"/>
      <c r="H24" s="65"/>
      <c r="I24" s="65"/>
    </row>
    <row r="25" spans="2:9" x14ac:dyDescent="0.35">
      <c r="B25" s="65" t="s">
        <v>67</v>
      </c>
      <c r="C25" s="65"/>
      <c r="D25" s="65"/>
      <c r="E25" s="65"/>
      <c r="F25" s="65"/>
      <c r="G25" s="65"/>
      <c r="H25" s="65"/>
      <c r="I25" s="65"/>
    </row>
    <row r="26" spans="2:9" x14ac:dyDescent="0.35">
      <c r="B26" s="65"/>
      <c r="C26" s="65"/>
      <c r="D26" s="65"/>
      <c r="E26" s="65"/>
      <c r="F26" s="65"/>
      <c r="G26" s="65"/>
      <c r="H26" s="65"/>
      <c r="I26" s="65"/>
    </row>
    <row r="27" spans="2:9" x14ac:dyDescent="0.35">
      <c r="B27" s="65"/>
      <c r="C27" s="65"/>
      <c r="D27" s="65"/>
      <c r="E27" s="65"/>
      <c r="F27" s="65"/>
      <c r="G27" s="65"/>
      <c r="H27" s="65"/>
      <c r="I27" s="65"/>
    </row>
    <row r="29" spans="2:9" x14ac:dyDescent="0.35">
      <c r="B29" s="65" t="s">
        <v>68</v>
      </c>
      <c r="C29" s="65"/>
      <c r="D29" s="65"/>
      <c r="E29" s="65"/>
      <c r="F29" s="65"/>
      <c r="G29" s="65"/>
      <c r="H29" s="65"/>
      <c r="I29" s="65"/>
    </row>
    <row r="30" spans="2:9" x14ac:dyDescent="0.35">
      <c r="B30" s="65"/>
      <c r="C30" s="65"/>
      <c r="D30" s="65"/>
      <c r="E30" s="65"/>
      <c r="F30" s="65"/>
      <c r="G30" s="65"/>
      <c r="H30" s="65"/>
      <c r="I30" s="65"/>
    </row>
    <row r="31" spans="2:9" x14ac:dyDescent="0.35">
      <c r="B31" s="65"/>
      <c r="C31" s="65"/>
      <c r="D31" s="65"/>
      <c r="E31" s="65"/>
      <c r="F31" s="65"/>
      <c r="G31" s="65"/>
      <c r="H31" s="65"/>
      <c r="I31" s="65"/>
    </row>
  </sheetData>
  <mergeCells count="3">
    <mergeCell ref="B21:I24"/>
    <mergeCell ref="B25:I27"/>
    <mergeCell ref="B29:I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BAC1-F166-4A5C-85FF-7710A026B63F}">
  <dimension ref="B1:Z59"/>
  <sheetViews>
    <sheetView tabSelected="1" zoomScaleNormal="100" workbookViewId="0">
      <pane xSplit="2" ySplit="2" topLeftCell="C21" activePane="bottomRight" state="frozen"/>
      <selection pane="topRight" activeCell="C1" sqref="C1"/>
      <selection pane="bottomLeft" activeCell="A3" sqref="A3"/>
      <selection pane="bottomRight" activeCell="B14" sqref="B14"/>
    </sheetView>
  </sheetViews>
  <sheetFormatPr defaultRowHeight="14.5" x14ac:dyDescent="0.35"/>
  <cols>
    <col min="1" max="1" width="4" customWidth="1"/>
    <col min="2" max="2" width="28.90625" customWidth="1"/>
    <col min="3" max="3" width="20.453125" customWidth="1"/>
    <col min="4" max="4" width="19.6328125" customWidth="1"/>
    <col min="5" max="5" width="20.6328125" customWidth="1"/>
    <col min="6" max="26" width="15.6328125" customWidth="1"/>
  </cols>
  <sheetData>
    <row r="1" spans="2:25" x14ac:dyDescent="0.35">
      <c r="F1" t="s">
        <v>33</v>
      </c>
    </row>
    <row r="2" spans="2:25" x14ac:dyDescent="0.35">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row>
    <row r="3" spans="2:25" x14ac:dyDescent="0.35">
      <c r="B3" t="s">
        <v>0</v>
      </c>
      <c r="C3" s="6"/>
      <c r="D3" s="6"/>
      <c r="E3" s="6"/>
      <c r="F3" s="6">
        <v>75000000</v>
      </c>
      <c r="G3" s="6">
        <f t="shared" ref="G3:Y3" si="0">F3*(1+$C$31)</f>
        <v>81000000</v>
      </c>
      <c r="H3" s="6">
        <f t="shared" si="0"/>
        <v>87480000</v>
      </c>
      <c r="I3" s="6">
        <f t="shared" si="0"/>
        <v>94478400</v>
      </c>
      <c r="J3" s="6">
        <f t="shared" si="0"/>
        <v>102036672</v>
      </c>
      <c r="K3" s="6">
        <f t="shared" si="0"/>
        <v>110199605.76000001</v>
      </c>
      <c r="L3" s="6">
        <f t="shared" si="0"/>
        <v>119015574.22080001</v>
      </c>
      <c r="M3" s="6">
        <f t="shared" si="0"/>
        <v>128536820.15846401</v>
      </c>
      <c r="N3" s="6">
        <f t="shared" si="0"/>
        <v>138819765.77114114</v>
      </c>
      <c r="O3" s="6">
        <f t="shared" si="0"/>
        <v>149925347.03283244</v>
      </c>
      <c r="P3" s="6">
        <f t="shared" si="0"/>
        <v>161919374.79545906</v>
      </c>
      <c r="Q3" s="6">
        <f t="shared" si="0"/>
        <v>174872924.7790958</v>
      </c>
      <c r="R3" s="6">
        <f t="shared" si="0"/>
        <v>188862758.76142347</v>
      </c>
      <c r="S3" s="6">
        <f t="shared" si="0"/>
        <v>203971779.46233734</v>
      </c>
      <c r="T3" s="6">
        <f t="shared" si="0"/>
        <v>220289521.81932434</v>
      </c>
      <c r="U3" s="6">
        <f t="shared" si="0"/>
        <v>237912683.5648703</v>
      </c>
      <c r="V3" s="6">
        <f t="shared" si="0"/>
        <v>256945698.25005993</v>
      </c>
      <c r="W3" s="6">
        <f t="shared" si="0"/>
        <v>277501354.11006474</v>
      </c>
      <c r="X3" s="6">
        <f t="shared" si="0"/>
        <v>299701462.43886995</v>
      </c>
      <c r="Y3" s="6">
        <f t="shared" si="0"/>
        <v>323677579.43397957</v>
      </c>
    </row>
    <row r="4" spans="2:25" x14ac:dyDescent="0.35">
      <c r="B4" s="12" t="s">
        <v>20</v>
      </c>
      <c r="C4" s="9"/>
      <c r="D4" s="7"/>
      <c r="E4" s="7"/>
      <c r="F4" s="7">
        <f t="shared" ref="F4:Y4" si="1">$C$32*F3</f>
        <v>22500000</v>
      </c>
      <c r="G4" s="7">
        <f t="shared" si="1"/>
        <v>24300000</v>
      </c>
      <c r="H4" s="7">
        <f t="shared" si="1"/>
        <v>26244000</v>
      </c>
      <c r="I4" s="7">
        <f t="shared" si="1"/>
        <v>28343520</v>
      </c>
      <c r="J4" s="7">
        <f t="shared" si="1"/>
        <v>30611001.599999998</v>
      </c>
      <c r="K4" s="7">
        <f t="shared" si="1"/>
        <v>33059881.728</v>
      </c>
      <c r="L4" s="7">
        <f t="shared" si="1"/>
        <v>35704672.266240001</v>
      </c>
      <c r="M4" s="7">
        <f t="shared" si="1"/>
        <v>38561046.047539204</v>
      </c>
      <c r="N4" s="7">
        <f t="shared" si="1"/>
        <v>41645929.731342338</v>
      </c>
      <c r="O4" s="7">
        <f t="shared" si="1"/>
        <v>44977604.109849729</v>
      </c>
      <c r="P4" s="7">
        <f t="shared" si="1"/>
        <v>48575812.438637719</v>
      </c>
      <c r="Q4" s="7">
        <f t="shared" si="1"/>
        <v>52461877.43372874</v>
      </c>
      <c r="R4" s="7">
        <f t="shared" si="1"/>
        <v>56658827.628427036</v>
      </c>
      <c r="S4" s="7">
        <f t="shared" si="1"/>
        <v>61191533.838701203</v>
      </c>
      <c r="T4" s="7">
        <f t="shared" si="1"/>
        <v>66086856.545797303</v>
      </c>
      <c r="U4" s="7">
        <f t="shared" si="1"/>
        <v>71373805.069461092</v>
      </c>
      <c r="V4" s="7">
        <f t="shared" si="1"/>
        <v>77083709.47501798</v>
      </c>
      <c r="W4" s="7">
        <f t="shared" si="1"/>
        <v>83250406.233019426</v>
      </c>
      <c r="X4" s="7">
        <f t="shared" si="1"/>
        <v>89910438.731660977</v>
      </c>
      <c r="Y4" s="7">
        <f t="shared" si="1"/>
        <v>97103273.830193862</v>
      </c>
    </row>
    <row r="5" spans="2:25" x14ac:dyDescent="0.35">
      <c r="B5" s="12" t="s">
        <v>21</v>
      </c>
      <c r="C5" s="9"/>
      <c r="D5" s="7"/>
      <c r="E5" s="7"/>
      <c r="F5" s="7">
        <v>30000000</v>
      </c>
      <c r="G5" s="7">
        <f t="shared" ref="G5:Y5" si="2">F5*(1+$C$34)</f>
        <v>31800000</v>
      </c>
      <c r="H5" s="7">
        <f t="shared" si="2"/>
        <v>33708000</v>
      </c>
      <c r="I5" s="7">
        <f t="shared" si="2"/>
        <v>35730480</v>
      </c>
      <c r="J5" s="7">
        <f t="shared" si="2"/>
        <v>37874308.800000004</v>
      </c>
      <c r="K5" s="7">
        <f t="shared" si="2"/>
        <v>40146767.328000009</v>
      </c>
      <c r="L5" s="7">
        <f t="shared" si="2"/>
        <v>42555573.367680013</v>
      </c>
      <c r="M5" s="7">
        <f t="shared" si="2"/>
        <v>45108907.76974082</v>
      </c>
      <c r="N5" s="7">
        <f t="shared" si="2"/>
        <v>47815442.235925272</v>
      </c>
      <c r="O5" s="7">
        <f t="shared" si="2"/>
        <v>50684368.77008079</v>
      </c>
      <c r="P5" s="7">
        <f t="shared" si="2"/>
        <v>53725430.896285638</v>
      </c>
      <c r="Q5" s="7">
        <f t="shared" si="2"/>
        <v>56948956.750062779</v>
      </c>
      <c r="R5" s="7">
        <f t="shared" si="2"/>
        <v>60365894.15506655</v>
      </c>
      <c r="S5" s="7">
        <f t="shared" si="2"/>
        <v>63987847.804370545</v>
      </c>
      <c r="T5" s="7">
        <f t="shared" si="2"/>
        <v>67827118.672632784</v>
      </c>
      <c r="U5" s="7">
        <f t="shared" si="2"/>
        <v>71896745.792990759</v>
      </c>
      <c r="V5" s="7">
        <f t="shared" si="2"/>
        <v>76210550.540570214</v>
      </c>
      <c r="W5" s="7">
        <f t="shared" si="2"/>
        <v>80783183.573004425</v>
      </c>
      <c r="X5" s="7">
        <f t="shared" si="2"/>
        <v>85630174.587384701</v>
      </c>
      <c r="Y5" s="7">
        <f t="shared" si="2"/>
        <v>90767985.062627792</v>
      </c>
    </row>
    <row r="6" spans="2:25" x14ac:dyDescent="0.35">
      <c r="B6" t="s">
        <v>10</v>
      </c>
      <c r="C6" s="9"/>
      <c r="D6" s="7"/>
      <c r="E6" s="7"/>
      <c r="F6" s="7"/>
      <c r="G6" s="7"/>
      <c r="H6" s="7"/>
      <c r="I6" s="7"/>
      <c r="J6" s="7"/>
      <c r="K6" s="7"/>
      <c r="L6" s="7"/>
      <c r="M6" s="7"/>
      <c r="N6" s="7"/>
      <c r="O6" s="7"/>
      <c r="P6" s="7"/>
      <c r="Q6" s="7"/>
      <c r="R6" s="7"/>
      <c r="S6" s="7"/>
      <c r="T6" s="7"/>
      <c r="U6" s="7"/>
      <c r="V6" s="7"/>
      <c r="W6" s="7"/>
      <c r="X6" s="7"/>
      <c r="Y6" s="7"/>
    </row>
    <row r="7" spans="2:25" x14ac:dyDescent="0.35">
      <c r="B7" s="1" t="s">
        <v>22</v>
      </c>
      <c r="C7" s="9"/>
      <c r="D7" s="7"/>
      <c r="E7" s="7"/>
      <c r="F7" s="7">
        <f t="shared" ref="F7:Y7" si="3">F34</f>
        <v>1857700</v>
      </c>
      <c r="G7" s="7">
        <f t="shared" si="3"/>
        <v>3183699.9999999995</v>
      </c>
      <c r="H7" s="7">
        <f t="shared" si="3"/>
        <v>2273699.9999999995</v>
      </c>
      <c r="I7" s="7">
        <f t="shared" si="3"/>
        <v>1623700</v>
      </c>
      <c r="J7" s="7">
        <f t="shared" si="3"/>
        <v>1160899.9999999998</v>
      </c>
      <c r="K7" s="7">
        <f t="shared" si="3"/>
        <v>1159600</v>
      </c>
      <c r="L7" s="7">
        <f t="shared" si="3"/>
        <v>1160899.9999999998</v>
      </c>
      <c r="M7" s="7">
        <f t="shared" si="3"/>
        <v>579800</v>
      </c>
      <c r="N7" s="7">
        <f t="shared" si="3"/>
        <v>0</v>
      </c>
      <c r="O7" s="7">
        <f t="shared" si="3"/>
        <v>0</v>
      </c>
      <c r="P7" s="7">
        <f t="shared" si="3"/>
        <v>2214950</v>
      </c>
      <c r="Q7" s="7">
        <f t="shared" si="3"/>
        <v>3795949.9999999995</v>
      </c>
      <c r="R7" s="7">
        <f t="shared" si="3"/>
        <v>2710949.9999999995</v>
      </c>
      <c r="S7" s="7">
        <f t="shared" si="3"/>
        <v>1935950</v>
      </c>
      <c r="T7" s="7">
        <f t="shared" si="3"/>
        <v>1384149.9999999998</v>
      </c>
      <c r="U7" s="7">
        <f t="shared" si="3"/>
        <v>1382600</v>
      </c>
      <c r="V7" s="7">
        <f t="shared" si="3"/>
        <v>1384149.9999999998</v>
      </c>
      <c r="W7" s="7">
        <f t="shared" si="3"/>
        <v>691300</v>
      </c>
      <c r="X7" s="7">
        <f t="shared" si="3"/>
        <v>0</v>
      </c>
      <c r="Y7" s="7">
        <f t="shared" si="3"/>
        <v>0</v>
      </c>
    </row>
    <row r="8" spans="2:25" x14ac:dyDescent="0.35">
      <c r="B8" s="1" t="s">
        <v>2</v>
      </c>
      <c r="C8" s="9"/>
      <c r="D8" s="7"/>
      <c r="E8" s="7"/>
      <c r="F8" s="7">
        <f t="shared" ref="F8:Y8" si="4">F37</f>
        <v>2500000</v>
      </c>
      <c r="G8" s="7">
        <f t="shared" si="4"/>
        <v>4500000</v>
      </c>
      <c r="H8" s="7">
        <f t="shared" si="4"/>
        <v>3600000.0000000005</v>
      </c>
      <c r="I8" s="7">
        <f t="shared" si="4"/>
        <v>2880000</v>
      </c>
      <c r="J8" s="7">
        <f t="shared" si="4"/>
        <v>2305000</v>
      </c>
      <c r="K8" s="7">
        <f t="shared" si="4"/>
        <v>1842500</v>
      </c>
      <c r="L8" s="7">
        <f t="shared" si="4"/>
        <v>1637500</v>
      </c>
      <c r="M8" s="7">
        <f t="shared" si="4"/>
        <v>1637500</v>
      </c>
      <c r="N8" s="7">
        <f t="shared" si="4"/>
        <v>1639999.9999999998</v>
      </c>
      <c r="O8" s="7">
        <f t="shared" si="4"/>
        <v>1637500</v>
      </c>
      <c r="P8" s="7">
        <f t="shared" si="4"/>
        <v>819999.99999999988</v>
      </c>
      <c r="Q8" s="7">
        <f t="shared" si="4"/>
        <v>0</v>
      </c>
      <c r="R8" s="7">
        <f t="shared" si="4"/>
        <v>0</v>
      </c>
      <c r="S8" s="7">
        <f t="shared" si="4"/>
        <v>0</v>
      </c>
      <c r="T8" s="7">
        <f t="shared" si="4"/>
        <v>0</v>
      </c>
      <c r="U8" s="7">
        <f t="shared" si="4"/>
        <v>0</v>
      </c>
      <c r="V8" s="7">
        <f t="shared" si="4"/>
        <v>0</v>
      </c>
      <c r="W8" s="7">
        <f t="shared" si="4"/>
        <v>0</v>
      </c>
      <c r="X8" s="7">
        <f t="shared" si="4"/>
        <v>0</v>
      </c>
      <c r="Y8" s="7">
        <f t="shared" si="4"/>
        <v>0</v>
      </c>
    </row>
    <row r="9" spans="2:25" x14ac:dyDescent="0.35">
      <c r="B9" s="1" t="s">
        <v>3</v>
      </c>
      <c r="C9" s="9"/>
      <c r="D9" s="7"/>
      <c r="E9" s="7"/>
      <c r="F9" s="7">
        <f>F31</f>
        <v>2307692.3076923075</v>
      </c>
      <c r="G9" s="7">
        <f t="shared" ref="G9:Y9" si="5">G31</f>
        <v>2307692.3076923075</v>
      </c>
      <c r="H9" s="7">
        <f t="shared" si="5"/>
        <v>2307692.3076923075</v>
      </c>
      <c r="I9" s="7">
        <f t="shared" si="5"/>
        <v>2307692.3076923075</v>
      </c>
      <c r="J9" s="7">
        <f t="shared" si="5"/>
        <v>2307692.3076923075</v>
      </c>
      <c r="K9" s="7">
        <f t="shared" si="5"/>
        <v>2307692.3076923075</v>
      </c>
      <c r="L9" s="7">
        <f t="shared" si="5"/>
        <v>2307692.3076923075</v>
      </c>
      <c r="M9" s="7">
        <f t="shared" si="5"/>
        <v>2307692.3076923075</v>
      </c>
      <c r="N9" s="7">
        <f t="shared" si="5"/>
        <v>2307692.3076923075</v>
      </c>
      <c r="O9" s="7">
        <f t="shared" si="5"/>
        <v>2307692.3076923075</v>
      </c>
      <c r="P9" s="7">
        <f t="shared" si="5"/>
        <v>2307692.3076923075</v>
      </c>
      <c r="Q9" s="7">
        <f t="shared" si="5"/>
        <v>2307692.3076923075</v>
      </c>
      <c r="R9" s="7">
        <f t="shared" si="5"/>
        <v>2307692.3076923075</v>
      </c>
      <c r="S9" s="7">
        <f t="shared" si="5"/>
        <v>2307692.3076923075</v>
      </c>
      <c r="T9" s="7">
        <f t="shared" si="5"/>
        <v>2307692.3076923075</v>
      </c>
      <c r="U9" s="7">
        <f t="shared" si="5"/>
        <v>2307692.3076923075</v>
      </c>
      <c r="V9" s="7">
        <f t="shared" si="5"/>
        <v>2307692.3076923075</v>
      </c>
      <c r="W9" s="7">
        <f t="shared" si="5"/>
        <v>2307692.3076923075</v>
      </c>
      <c r="X9" s="7">
        <f t="shared" si="5"/>
        <v>2307692.3076923075</v>
      </c>
      <c r="Y9" s="7">
        <f t="shared" si="5"/>
        <v>2307692.3076923075</v>
      </c>
    </row>
    <row r="10" spans="2:25" s="3" customFormat="1" x14ac:dyDescent="0.35">
      <c r="B10" s="4" t="s">
        <v>23</v>
      </c>
      <c r="C10" s="8">
        <f>C3-C4-C5-C7-C8-C9</f>
        <v>0</v>
      </c>
      <c r="D10" s="8">
        <f t="shared" ref="D10:X10" si="6">D3-D4-D5-D7-D8-D9</f>
        <v>0</v>
      </c>
      <c r="E10" s="8">
        <f t="shared" si="6"/>
        <v>0</v>
      </c>
      <c r="F10" s="8">
        <f>F3-F4-F5-F7-F8-F9</f>
        <v>15834607.692307692</v>
      </c>
      <c r="G10" s="8">
        <f t="shared" si="6"/>
        <v>14908607.692307692</v>
      </c>
      <c r="H10" s="8">
        <f t="shared" si="6"/>
        <v>19346607.692307692</v>
      </c>
      <c r="I10" s="8">
        <f t="shared" si="6"/>
        <v>23593007.692307692</v>
      </c>
      <c r="J10" s="8">
        <f t="shared" si="6"/>
        <v>27777769.292307694</v>
      </c>
      <c r="K10" s="8">
        <f t="shared" si="6"/>
        <v>31683164.396307688</v>
      </c>
      <c r="L10" s="8">
        <f t="shared" si="6"/>
        <v>35649236.279187694</v>
      </c>
      <c r="M10" s="8">
        <f t="shared" si="6"/>
        <v>40341874.033491686</v>
      </c>
      <c r="N10" s="8">
        <f t="shared" si="6"/>
        <v>45410701.49618122</v>
      </c>
      <c r="O10" s="8">
        <f t="shared" si="6"/>
        <v>50318181.845209628</v>
      </c>
      <c r="P10" s="8">
        <f t="shared" si="6"/>
        <v>54275489.152843401</v>
      </c>
      <c r="Q10" s="8">
        <f t="shared" si="6"/>
        <v>59358448.287611976</v>
      </c>
      <c r="R10" s="8">
        <f t="shared" si="6"/>
        <v>66819394.670237586</v>
      </c>
      <c r="S10" s="8">
        <f t="shared" si="6"/>
        <v>74548755.51157327</v>
      </c>
      <c r="T10" s="8">
        <f t="shared" si="6"/>
        <v>82683704.293201938</v>
      </c>
      <c r="U10" s="8">
        <f t="shared" si="6"/>
        <v>90951840.394726127</v>
      </c>
      <c r="V10" s="8">
        <f t="shared" si="6"/>
        <v>99959595.926779419</v>
      </c>
      <c r="W10" s="8">
        <f t="shared" si="6"/>
        <v>110468771.9963486</v>
      </c>
      <c r="X10" s="8">
        <f t="shared" si="6"/>
        <v>121853156.81213199</v>
      </c>
      <c r="Y10" s="8">
        <f>Y3-Y4-Y5-Y7-Y8-Y9</f>
        <v>133498628.2334656</v>
      </c>
    </row>
    <row r="11" spans="2:25" x14ac:dyDescent="0.35">
      <c r="B11" s="1" t="s">
        <v>4</v>
      </c>
      <c r="C11" s="9">
        <f t="shared" ref="C11:Y11" si="7">C10*$C$35</f>
        <v>0</v>
      </c>
      <c r="D11" s="9">
        <f t="shared" si="7"/>
        <v>0</v>
      </c>
      <c r="E11" s="9">
        <f t="shared" si="7"/>
        <v>0</v>
      </c>
      <c r="F11" s="9">
        <f t="shared" si="7"/>
        <v>3958651.923076923</v>
      </c>
      <c r="G11" s="9">
        <f t="shared" si="7"/>
        <v>3727151.923076923</v>
      </c>
      <c r="H11" s="9">
        <f t="shared" si="7"/>
        <v>4836651.923076923</v>
      </c>
      <c r="I11" s="9">
        <f t="shared" si="7"/>
        <v>5898251.923076923</v>
      </c>
      <c r="J11" s="9">
        <f t="shared" si="7"/>
        <v>6944442.3230769234</v>
      </c>
      <c r="K11" s="9">
        <f t="shared" si="7"/>
        <v>7920791.0990769221</v>
      </c>
      <c r="L11" s="9">
        <f t="shared" si="7"/>
        <v>8912309.0697969235</v>
      </c>
      <c r="M11" s="9">
        <f t="shared" si="7"/>
        <v>10085468.508372921</v>
      </c>
      <c r="N11" s="9">
        <f t="shared" si="7"/>
        <v>11352675.374045305</v>
      </c>
      <c r="O11" s="9">
        <f t="shared" si="7"/>
        <v>12579545.461302407</v>
      </c>
      <c r="P11" s="9">
        <f t="shared" si="7"/>
        <v>13568872.28821085</v>
      </c>
      <c r="Q11" s="9">
        <f t="shared" si="7"/>
        <v>14839612.071902994</v>
      </c>
      <c r="R11" s="9">
        <f t="shared" si="7"/>
        <v>16704848.667559396</v>
      </c>
      <c r="S11" s="9">
        <f t="shared" si="7"/>
        <v>18637188.877893317</v>
      </c>
      <c r="T11" s="9">
        <f t="shared" si="7"/>
        <v>20670926.073300485</v>
      </c>
      <c r="U11" s="9">
        <f t="shared" si="7"/>
        <v>22737960.098681532</v>
      </c>
      <c r="V11" s="9">
        <f t="shared" si="7"/>
        <v>24989898.981694855</v>
      </c>
      <c r="W11" s="9">
        <f t="shared" si="7"/>
        <v>27617192.999087151</v>
      </c>
      <c r="X11" s="9">
        <f t="shared" si="7"/>
        <v>30463289.203032997</v>
      </c>
      <c r="Y11" s="9">
        <f t="shared" si="7"/>
        <v>33374657.058366399</v>
      </c>
    </row>
    <row r="12" spans="2:25" s="3" customFormat="1" x14ac:dyDescent="0.35">
      <c r="B12" s="5" t="s">
        <v>24</v>
      </c>
      <c r="C12" s="8">
        <f>C10-C11</f>
        <v>0</v>
      </c>
      <c r="D12" s="8">
        <f t="shared" ref="D12:Y12" si="8">D10-D11</f>
        <v>0</v>
      </c>
      <c r="E12" s="8">
        <f t="shared" si="8"/>
        <v>0</v>
      </c>
      <c r="F12" s="8">
        <f>F10-F11</f>
        <v>11875955.769230768</v>
      </c>
      <c r="G12" s="8">
        <f t="shared" si="8"/>
        <v>11181455.769230768</v>
      </c>
      <c r="H12" s="8">
        <f t="shared" si="8"/>
        <v>14509955.769230768</v>
      </c>
      <c r="I12" s="8">
        <f t="shared" si="8"/>
        <v>17694755.769230768</v>
      </c>
      <c r="J12" s="8">
        <f t="shared" si="8"/>
        <v>20833326.969230771</v>
      </c>
      <c r="K12" s="8">
        <f t="shared" si="8"/>
        <v>23762373.297230765</v>
      </c>
      <c r="L12" s="8">
        <f t="shared" si="8"/>
        <v>26736927.209390771</v>
      </c>
      <c r="M12" s="8">
        <f t="shared" si="8"/>
        <v>30256405.525118764</v>
      </c>
      <c r="N12" s="8">
        <f t="shared" si="8"/>
        <v>34058026.122135915</v>
      </c>
      <c r="O12" s="8">
        <f t="shared" si="8"/>
        <v>37738636.383907221</v>
      </c>
      <c r="P12" s="8">
        <f t="shared" si="8"/>
        <v>40706616.864632547</v>
      </c>
      <c r="Q12" s="8">
        <f t="shared" si="8"/>
        <v>44518836.215708986</v>
      </c>
      <c r="R12" s="8">
        <f t="shared" si="8"/>
        <v>50114546.002678186</v>
      </c>
      <c r="S12" s="8">
        <f t="shared" si="8"/>
        <v>55911566.633679956</v>
      </c>
      <c r="T12" s="8">
        <f t="shared" si="8"/>
        <v>62012778.219901457</v>
      </c>
      <c r="U12" s="8">
        <f t="shared" si="8"/>
        <v>68213880.296044588</v>
      </c>
      <c r="V12" s="8">
        <f t="shared" si="8"/>
        <v>74969696.945084572</v>
      </c>
      <c r="W12" s="8">
        <f t="shared" si="8"/>
        <v>82851578.99726145</v>
      </c>
      <c r="X12" s="8">
        <f t="shared" si="8"/>
        <v>91389867.609098986</v>
      </c>
      <c r="Y12" s="8">
        <f t="shared" si="8"/>
        <v>100123971.17509919</v>
      </c>
    </row>
    <row r="13" spans="2:25" x14ac:dyDescent="0.35">
      <c r="B13" s="1" t="s">
        <v>70</v>
      </c>
      <c r="C13" s="9"/>
      <c r="D13" s="7"/>
      <c r="E13" s="7"/>
      <c r="F13" s="7">
        <f t="shared" ref="F13:Y13" si="9">F40</f>
        <v>6665392.307692308</v>
      </c>
      <c r="G13" s="7">
        <f t="shared" si="9"/>
        <v>9991392.307692308</v>
      </c>
      <c r="H13" s="7">
        <f t="shared" si="9"/>
        <v>8181392.307692308</v>
      </c>
      <c r="I13" s="7">
        <f t="shared" si="9"/>
        <v>6811392.307692308</v>
      </c>
      <c r="J13" s="7">
        <f t="shared" si="9"/>
        <v>5773592.307692307</v>
      </c>
      <c r="K13" s="7">
        <f t="shared" si="9"/>
        <v>5309792.307692308</v>
      </c>
      <c r="L13" s="7">
        <f t="shared" si="9"/>
        <v>5106092.307692307</v>
      </c>
      <c r="M13" s="7">
        <f t="shared" si="9"/>
        <v>4524992.307692308</v>
      </c>
      <c r="N13" s="7">
        <f t="shared" si="9"/>
        <v>3947692.307692307</v>
      </c>
      <c r="O13" s="7">
        <f t="shared" si="9"/>
        <v>3945192.3076923075</v>
      </c>
      <c r="P13" s="7">
        <f t="shared" si="9"/>
        <v>5342642.307692308</v>
      </c>
      <c r="Q13" s="7">
        <f t="shared" si="9"/>
        <v>6103642.307692307</v>
      </c>
      <c r="R13" s="7">
        <f t="shared" si="9"/>
        <v>5018642.307692307</v>
      </c>
      <c r="S13" s="7">
        <f t="shared" si="9"/>
        <v>4243642.307692308</v>
      </c>
      <c r="T13" s="7">
        <f t="shared" si="9"/>
        <v>3691842.307692307</v>
      </c>
      <c r="U13" s="7">
        <f t="shared" si="9"/>
        <v>3690292.3076923075</v>
      </c>
      <c r="V13" s="7">
        <f t="shared" si="9"/>
        <v>3691842.307692307</v>
      </c>
      <c r="W13" s="7">
        <f t="shared" si="9"/>
        <v>2998992.3076923075</v>
      </c>
      <c r="X13" s="7">
        <f t="shared" si="9"/>
        <v>2307692.3076923075</v>
      </c>
      <c r="Y13" s="7">
        <f t="shared" si="9"/>
        <v>2307692.3076923075</v>
      </c>
    </row>
    <row r="14" spans="2:25" s="3" customFormat="1" x14ac:dyDescent="0.35">
      <c r="B14" s="5" t="s">
        <v>25</v>
      </c>
      <c r="C14" s="8">
        <f>C12+C13</f>
        <v>0</v>
      </c>
      <c r="D14" s="8">
        <f t="shared" ref="D14:Y14" si="10">D12+D13</f>
        <v>0</v>
      </c>
      <c r="E14" s="8">
        <f t="shared" si="10"/>
        <v>0</v>
      </c>
      <c r="F14" s="8">
        <f>F12+F13</f>
        <v>18541348.076923076</v>
      </c>
      <c r="G14" s="8">
        <f t="shared" si="10"/>
        <v>21172848.076923076</v>
      </c>
      <c r="H14" s="8">
        <f t="shared" si="10"/>
        <v>22691348.076923076</v>
      </c>
      <c r="I14" s="8">
        <f t="shared" si="10"/>
        <v>24506148.076923076</v>
      </c>
      <c r="J14" s="8">
        <f t="shared" si="10"/>
        <v>26606919.276923079</v>
      </c>
      <c r="K14" s="8">
        <f t="shared" si="10"/>
        <v>29072165.604923073</v>
      </c>
      <c r="L14" s="8">
        <f t="shared" si="10"/>
        <v>31843019.517083079</v>
      </c>
      <c r="M14" s="8">
        <f t="shared" si="10"/>
        <v>34781397.832811072</v>
      </c>
      <c r="N14" s="8">
        <f t="shared" si="10"/>
        <v>38005718.429828219</v>
      </c>
      <c r="O14" s="8">
        <f t="shared" si="10"/>
        <v>41683828.691599526</v>
      </c>
      <c r="P14" s="8">
        <f t="shared" si="10"/>
        <v>46049259.172324851</v>
      </c>
      <c r="Q14" s="8">
        <f t="shared" si="10"/>
        <v>50622478.52340129</v>
      </c>
      <c r="R14" s="8">
        <f t="shared" si="10"/>
        <v>55133188.31037049</v>
      </c>
      <c r="S14" s="8">
        <f t="shared" si="10"/>
        <v>60155208.94137226</v>
      </c>
      <c r="T14" s="8">
        <f t="shared" si="10"/>
        <v>65704620.527593762</v>
      </c>
      <c r="U14" s="8">
        <f t="shared" si="10"/>
        <v>71904172.603736892</v>
      </c>
      <c r="V14" s="8">
        <f t="shared" si="10"/>
        <v>78661539.252776876</v>
      </c>
      <c r="W14" s="8">
        <f t="shared" si="10"/>
        <v>85850571.304953754</v>
      </c>
      <c r="X14" s="8">
        <f t="shared" si="10"/>
        <v>93697559.91679129</v>
      </c>
      <c r="Y14" s="8">
        <f t="shared" si="10"/>
        <v>102431663.4827915</v>
      </c>
    </row>
    <row r="15" spans="2:25" x14ac:dyDescent="0.35">
      <c r="B15" s="1" t="s">
        <v>26</v>
      </c>
      <c r="C15" s="9"/>
      <c r="D15" s="7"/>
      <c r="E15" s="7">
        <f t="shared" ref="E15:X15" si="11">-$C$39*F3</f>
        <v>-7500000</v>
      </c>
      <c r="F15" s="7">
        <f t="shared" si="11"/>
        <v>-8100000</v>
      </c>
      <c r="G15" s="7">
        <f t="shared" si="11"/>
        <v>-8748000</v>
      </c>
      <c r="H15" s="7">
        <f t="shared" si="11"/>
        <v>-9447840</v>
      </c>
      <c r="I15" s="7">
        <f t="shared" si="11"/>
        <v>-10203667.200000001</v>
      </c>
      <c r="J15" s="7">
        <f t="shared" si="11"/>
        <v>-11019960.576000001</v>
      </c>
      <c r="K15" s="7">
        <f t="shared" si="11"/>
        <v>-11901557.422080003</v>
      </c>
      <c r="L15" s="7">
        <f t="shared" si="11"/>
        <v>-12853682.015846401</v>
      </c>
      <c r="M15" s="7">
        <f t="shared" si="11"/>
        <v>-13881976.577114115</v>
      </c>
      <c r="N15" s="7">
        <f t="shared" si="11"/>
        <v>-14992534.703283245</v>
      </c>
      <c r="O15" s="7">
        <f t="shared" si="11"/>
        <v>-16191937.479545906</v>
      </c>
      <c r="P15" s="7">
        <f t="shared" si="11"/>
        <v>-17487292.47790958</v>
      </c>
      <c r="Q15" s="7">
        <f t="shared" si="11"/>
        <v>-18886275.876142349</v>
      </c>
      <c r="R15" s="7">
        <f t="shared" si="11"/>
        <v>-20397177.946233734</v>
      </c>
      <c r="S15" s="7">
        <f t="shared" si="11"/>
        <v>-22028952.181932434</v>
      </c>
      <c r="T15" s="7">
        <f t="shared" si="11"/>
        <v>-23791268.356487032</v>
      </c>
      <c r="U15" s="7">
        <f t="shared" si="11"/>
        <v>-25694569.825005993</v>
      </c>
      <c r="V15" s="7">
        <f t="shared" si="11"/>
        <v>-27750135.411006477</v>
      </c>
      <c r="W15" s="7">
        <f t="shared" si="11"/>
        <v>-29970146.243886996</v>
      </c>
      <c r="X15" s="7">
        <f t="shared" si="11"/>
        <v>-32367757.943397958</v>
      </c>
      <c r="Y15" s="7">
        <f>-SUM(E15:X15)</f>
        <v>343214732.23587221</v>
      </c>
    </row>
    <row r="16" spans="2:25" x14ac:dyDescent="0.35">
      <c r="B16" s="2" t="s">
        <v>27</v>
      </c>
      <c r="C16" s="9">
        <v>-50000000</v>
      </c>
      <c r="D16" s="7"/>
      <c r="E16" s="7"/>
      <c r="F16" s="7"/>
      <c r="G16" s="7"/>
      <c r="H16" s="7"/>
      <c r="I16" s="7"/>
      <c r="J16" s="7"/>
      <c r="K16" s="7"/>
      <c r="L16" s="7"/>
      <c r="M16" s="7"/>
      <c r="N16" s="7"/>
      <c r="O16" s="7"/>
      <c r="P16" s="7"/>
      <c r="Q16" s="7"/>
      <c r="R16" s="7"/>
      <c r="S16" s="7"/>
      <c r="T16" s="7"/>
      <c r="U16" s="7"/>
      <c r="V16" s="7"/>
      <c r="W16" s="7"/>
      <c r="X16" s="7"/>
      <c r="Y16" s="7">
        <f>F49</f>
        <v>110000000</v>
      </c>
    </row>
    <row r="17" spans="2:26" x14ac:dyDescent="0.35">
      <c r="B17" s="2" t="s">
        <v>28</v>
      </c>
      <c r="C17" s="9"/>
      <c r="D17" s="7">
        <v>-130000000</v>
      </c>
      <c r="E17" s="7">
        <v>-20000000</v>
      </c>
      <c r="F17" s="7"/>
      <c r="G17" s="7"/>
      <c r="H17" s="7"/>
      <c r="I17" s="7"/>
      <c r="J17" s="7"/>
      <c r="K17" s="7"/>
      <c r="L17" s="7"/>
      <c r="M17" s="7"/>
      <c r="N17" s="7"/>
      <c r="O17" s="7"/>
      <c r="P17" s="7"/>
      <c r="Q17" s="7"/>
      <c r="R17" s="7"/>
      <c r="S17" s="7"/>
      <c r="T17" s="7"/>
      <c r="U17" s="7"/>
      <c r="V17" s="7"/>
      <c r="W17" s="7"/>
      <c r="X17" s="7"/>
      <c r="Y17" s="17">
        <f>G47</f>
        <v>-43846153.846153855</v>
      </c>
    </row>
    <row r="18" spans="2:26" x14ac:dyDescent="0.35">
      <c r="B18" s="2" t="s">
        <v>29</v>
      </c>
      <c r="C18" s="9"/>
      <c r="D18" s="7">
        <v>-10000000</v>
      </c>
      <c r="E18" s="7">
        <v>-3000000</v>
      </c>
      <c r="F18" s="7"/>
      <c r="G18" s="7"/>
      <c r="H18" s="7"/>
      <c r="I18" s="7"/>
      <c r="J18" s="7"/>
      <c r="K18" s="7"/>
      <c r="L18" s="7"/>
      <c r="M18" s="7"/>
      <c r="N18" s="7">
        <f>D18*(1+25%)+J49</f>
        <v>-11000000</v>
      </c>
      <c r="O18" s="7">
        <v>-3000000</v>
      </c>
      <c r="P18" s="7"/>
      <c r="Q18" s="7"/>
      <c r="R18" s="7"/>
      <c r="S18" s="7"/>
      <c r="T18" s="7"/>
      <c r="U18" s="7"/>
      <c r="V18" s="7"/>
      <c r="W18" s="7"/>
      <c r="X18" s="7"/>
      <c r="Y18" s="7">
        <f>H49</f>
        <v>1500000</v>
      </c>
    </row>
    <row r="19" spans="2:26" x14ac:dyDescent="0.35">
      <c r="B19" s="2" t="s">
        <v>30</v>
      </c>
      <c r="C19" s="9"/>
      <c r="D19" s="7"/>
      <c r="E19" s="7">
        <f>-20000000-5000000</f>
        <v>-25000000</v>
      </c>
      <c r="F19" s="7"/>
      <c r="G19" s="7"/>
      <c r="H19" s="7"/>
      <c r="I19" s="7"/>
      <c r="J19" s="7"/>
      <c r="K19" s="7"/>
      <c r="L19" s="7"/>
      <c r="M19" s="7"/>
      <c r="N19" s="7"/>
      <c r="O19" s="7"/>
      <c r="P19" s="7"/>
      <c r="Q19" s="7"/>
      <c r="R19" s="7"/>
      <c r="S19" s="7"/>
      <c r="T19" s="7"/>
      <c r="U19" s="7"/>
      <c r="V19" s="7"/>
      <c r="W19" s="7"/>
      <c r="X19" s="7"/>
      <c r="Y19" s="7">
        <f>I49</f>
        <v>2250000</v>
      </c>
    </row>
    <row r="20" spans="2:26" s="3" customFormat="1" x14ac:dyDescent="0.35">
      <c r="B20" s="48" t="s">
        <v>31</v>
      </c>
      <c r="C20" s="49">
        <f>SUM(C14:C19)</f>
        <v>-50000000</v>
      </c>
      <c r="D20" s="49">
        <f t="shared" ref="D20:X20" si="12">SUM(D14:D19)</f>
        <v>-140000000</v>
      </c>
      <c r="E20" s="49">
        <f>SUM(E14:E19)</f>
        <v>-55500000</v>
      </c>
      <c r="F20" s="49">
        <f t="shared" si="12"/>
        <v>10441348.076923076</v>
      </c>
      <c r="G20" s="49">
        <f t="shared" si="12"/>
        <v>12424848.076923076</v>
      </c>
      <c r="H20" s="49">
        <f t="shared" si="12"/>
        <v>13243508.076923076</v>
      </c>
      <c r="I20" s="49">
        <f t="shared" si="12"/>
        <v>14302480.876923075</v>
      </c>
      <c r="J20" s="49">
        <f t="shared" si="12"/>
        <v>15586958.700923078</v>
      </c>
      <c r="K20" s="49">
        <f t="shared" si="12"/>
        <v>17170608.18284307</v>
      </c>
      <c r="L20" s="49">
        <f t="shared" si="12"/>
        <v>18989337.501236677</v>
      </c>
      <c r="M20" s="49">
        <f t="shared" si="12"/>
        <v>20899421.25569696</v>
      </c>
      <c r="N20" s="49">
        <f t="shared" si="12"/>
        <v>12013183.726544976</v>
      </c>
      <c r="O20" s="49">
        <f t="shared" si="12"/>
        <v>22491891.212053619</v>
      </c>
      <c r="P20" s="49">
        <f t="shared" si="12"/>
        <v>28561966.694415271</v>
      </c>
      <c r="Q20" s="49">
        <f t="shared" si="12"/>
        <v>31736202.647258941</v>
      </c>
      <c r="R20" s="49">
        <f t="shared" si="12"/>
        <v>34736010.364136755</v>
      </c>
      <c r="S20" s="49">
        <f t="shared" si="12"/>
        <v>38126256.759439826</v>
      </c>
      <c r="T20" s="49">
        <f t="shared" si="12"/>
        <v>41913352.171106726</v>
      </c>
      <c r="U20" s="49">
        <f t="shared" si="12"/>
        <v>46209602.778730899</v>
      </c>
      <c r="V20" s="49">
        <f t="shared" si="12"/>
        <v>50911403.841770396</v>
      </c>
      <c r="W20" s="49">
        <f t="shared" si="12"/>
        <v>55880425.061066762</v>
      </c>
      <c r="X20" s="49">
        <f t="shared" si="12"/>
        <v>61329801.973393336</v>
      </c>
      <c r="Y20" s="49">
        <f>SUM(Y14:Y19)</f>
        <v>515550241.87250984</v>
      </c>
    </row>
    <row r="21" spans="2:26" x14ac:dyDescent="0.35">
      <c r="E21" s="7"/>
    </row>
    <row r="24" spans="2:26" ht="15.5" x14ac:dyDescent="0.35">
      <c r="B24" s="10" t="s">
        <v>38</v>
      </c>
      <c r="C24" s="15">
        <f>NPV(C36,F20:Y20)+SUM(C20:E20)</f>
        <v>-39046362.730218172</v>
      </c>
      <c r="D24" s="16"/>
    </row>
    <row r="25" spans="2:26" ht="15.5" x14ac:dyDescent="0.35">
      <c r="B25" s="10" t="s">
        <v>39</v>
      </c>
      <c r="C25" s="14">
        <f>IRR(C20:Y20)</f>
        <v>9.6821701303740904E-2</v>
      </c>
    </row>
    <row r="26" spans="2:26" ht="15.5" x14ac:dyDescent="0.35">
      <c r="B26" s="10" t="s">
        <v>40</v>
      </c>
      <c r="C26" s="14">
        <f>MIRR(C20:Y20,C36,C36)</f>
        <v>0.10549564111562448</v>
      </c>
    </row>
    <row r="27" spans="2:26" ht="15.5" x14ac:dyDescent="0.35">
      <c r="B27" s="10" t="s">
        <v>41</v>
      </c>
      <c r="C27" s="11">
        <f>NPV(C36,F20:Y20)/(-SUM(C20:E20))</f>
        <v>0.84095167930664694</v>
      </c>
    </row>
    <row r="29" spans="2:26" ht="15" thickBot="1" x14ac:dyDescent="0.4"/>
    <row r="30" spans="2:26" x14ac:dyDescent="0.35">
      <c r="B30" s="18" t="s">
        <v>5</v>
      </c>
      <c r="C30" s="19"/>
      <c r="E30" s="25" t="s">
        <v>10</v>
      </c>
      <c r="F30" s="38">
        <v>2024</v>
      </c>
      <c r="G30" s="26">
        <v>2025</v>
      </c>
      <c r="H30" s="26">
        <v>2026</v>
      </c>
      <c r="I30" s="26">
        <v>2027</v>
      </c>
      <c r="J30" s="26">
        <v>2028</v>
      </c>
      <c r="K30" s="26">
        <v>2029</v>
      </c>
      <c r="L30" s="26">
        <v>2030</v>
      </c>
      <c r="M30" s="26">
        <v>2031</v>
      </c>
      <c r="N30" s="26">
        <v>2032</v>
      </c>
      <c r="O30" s="26">
        <v>2033</v>
      </c>
      <c r="P30" s="26">
        <v>2034</v>
      </c>
      <c r="Q30" s="26">
        <v>2035</v>
      </c>
      <c r="R30" s="26">
        <v>2036</v>
      </c>
      <c r="S30" s="26">
        <v>2037</v>
      </c>
      <c r="T30" s="26">
        <v>2038</v>
      </c>
      <c r="U30" s="26">
        <v>2039</v>
      </c>
      <c r="V30" s="26">
        <v>2040</v>
      </c>
      <c r="W30" s="26">
        <v>2041</v>
      </c>
      <c r="X30" s="26">
        <v>2042</v>
      </c>
      <c r="Y30" s="27">
        <v>2043</v>
      </c>
    </row>
    <row r="31" spans="2:26" x14ac:dyDescent="0.35">
      <c r="B31" s="20" t="s">
        <v>9</v>
      </c>
      <c r="C31" s="21">
        <v>0.08</v>
      </c>
      <c r="E31" s="28" t="s">
        <v>3</v>
      </c>
      <c r="F31" s="9">
        <f>$F$32/39</f>
        <v>2307692.3076923075</v>
      </c>
      <c r="G31" s="9">
        <f t="shared" ref="G31:Y31" si="13">$F$32/39</f>
        <v>2307692.3076923075</v>
      </c>
      <c r="H31" s="9">
        <f t="shared" si="13"/>
        <v>2307692.3076923075</v>
      </c>
      <c r="I31" s="9">
        <f t="shared" si="13"/>
        <v>2307692.3076923075</v>
      </c>
      <c r="J31" s="9">
        <f t="shared" si="13"/>
        <v>2307692.3076923075</v>
      </c>
      <c r="K31" s="9">
        <f t="shared" si="13"/>
        <v>2307692.3076923075</v>
      </c>
      <c r="L31" s="9">
        <f t="shared" si="13"/>
        <v>2307692.3076923075</v>
      </c>
      <c r="M31" s="9">
        <f t="shared" si="13"/>
        <v>2307692.3076923075</v>
      </c>
      <c r="N31" s="9">
        <f t="shared" si="13"/>
        <v>2307692.3076923075</v>
      </c>
      <c r="O31" s="9">
        <f t="shared" si="13"/>
        <v>2307692.3076923075</v>
      </c>
      <c r="P31" s="9">
        <f t="shared" si="13"/>
        <v>2307692.3076923075</v>
      </c>
      <c r="Q31" s="9">
        <f t="shared" si="13"/>
        <v>2307692.3076923075</v>
      </c>
      <c r="R31" s="9">
        <f t="shared" si="13"/>
        <v>2307692.3076923075</v>
      </c>
      <c r="S31" s="9">
        <f t="shared" si="13"/>
        <v>2307692.3076923075</v>
      </c>
      <c r="T31" s="9">
        <f t="shared" si="13"/>
        <v>2307692.3076923075</v>
      </c>
      <c r="U31" s="9">
        <f t="shared" si="13"/>
        <v>2307692.3076923075</v>
      </c>
      <c r="V31" s="9">
        <f t="shared" si="13"/>
        <v>2307692.3076923075</v>
      </c>
      <c r="W31" s="9">
        <f t="shared" si="13"/>
        <v>2307692.3076923075</v>
      </c>
      <c r="X31" s="9">
        <f t="shared" si="13"/>
        <v>2307692.3076923075</v>
      </c>
      <c r="Y31" s="29">
        <f t="shared" si="13"/>
        <v>2307692.3076923075</v>
      </c>
      <c r="Z31" s="7"/>
    </row>
    <row r="32" spans="2:26" x14ac:dyDescent="0.35">
      <c r="B32" s="20" t="s">
        <v>32</v>
      </c>
      <c r="C32" s="21">
        <v>0.3</v>
      </c>
      <c r="E32" s="30" t="s">
        <v>15</v>
      </c>
      <c r="F32" s="9">
        <f>150000000-60000000</f>
        <v>90000000</v>
      </c>
      <c r="G32" s="31"/>
      <c r="H32" s="31"/>
      <c r="I32" s="31"/>
      <c r="J32" s="31"/>
      <c r="K32" s="31"/>
      <c r="L32" s="31"/>
      <c r="M32" s="31"/>
      <c r="N32" s="31"/>
      <c r="O32" s="31"/>
      <c r="P32" s="31"/>
      <c r="Q32" s="31"/>
      <c r="R32" s="31"/>
      <c r="S32" s="31"/>
      <c r="T32" s="31"/>
      <c r="U32" s="31"/>
      <c r="V32" s="31"/>
      <c r="W32" s="31"/>
      <c r="X32" s="31"/>
      <c r="Y32" s="22"/>
    </row>
    <row r="33" spans="2:25" x14ac:dyDescent="0.35">
      <c r="B33" s="20"/>
      <c r="C33" s="21"/>
      <c r="E33" s="30"/>
      <c r="F33" s="31"/>
      <c r="G33" s="31"/>
      <c r="H33" s="31"/>
      <c r="I33" s="31"/>
      <c r="J33" s="31"/>
      <c r="K33" s="31"/>
      <c r="L33" s="31"/>
      <c r="M33" s="31"/>
      <c r="N33" s="31"/>
      <c r="O33" s="31"/>
      <c r="P33" s="31"/>
      <c r="Q33" s="31"/>
      <c r="R33" s="31"/>
      <c r="S33" s="31"/>
      <c r="T33" s="31"/>
      <c r="U33" s="31"/>
      <c r="V33" s="31"/>
      <c r="W33" s="31"/>
      <c r="X33" s="31"/>
      <c r="Y33" s="22"/>
    </row>
    <row r="34" spans="2:25" x14ac:dyDescent="0.35">
      <c r="B34" s="20" t="s">
        <v>8</v>
      </c>
      <c r="C34" s="21">
        <v>0.06</v>
      </c>
      <c r="E34" s="32" t="s">
        <v>1</v>
      </c>
      <c r="F34" s="33">
        <f>$F$35*14.29%</f>
        <v>1857700</v>
      </c>
      <c r="G34" s="33">
        <f>$F$35*24.49%</f>
        <v>3183699.9999999995</v>
      </c>
      <c r="H34" s="33">
        <f>$F$35*17.49%</f>
        <v>2273699.9999999995</v>
      </c>
      <c r="I34" s="33">
        <f>$F$35*12.49%</f>
        <v>1623700</v>
      </c>
      <c r="J34" s="33">
        <f>$F$35*8.93%</f>
        <v>1160899.9999999998</v>
      </c>
      <c r="K34" s="33">
        <f>$F$35*8.92%</f>
        <v>1159600</v>
      </c>
      <c r="L34" s="33">
        <f>$F$35*8.93%</f>
        <v>1160899.9999999998</v>
      </c>
      <c r="M34" s="33">
        <f>$F$35*4.46%</f>
        <v>579800</v>
      </c>
      <c r="N34" s="31"/>
      <c r="O34" s="33"/>
      <c r="P34" s="33">
        <f>14.29%*$O$35</f>
        <v>2214950</v>
      </c>
      <c r="Q34" s="33">
        <f>24.49%*$O$35</f>
        <v>3795949.9999999995</v>
      </c>
      <c r="R34" s="33">
        <f>17.49%*$O$35</f>
        <v>2710949.9999999995</v>
      </c>
      <c r="S34" s="33">
        <f>12.49%*$O$35</f>
        <v>1935950</v>
      </c>
      <c r="T34" s="33">
        <f>8.93%*$O$35</f>
        <v>1384149.9999999998</v>
      </c>
      <c r="U34" s="33">
        <f>8.92%*$O$35</f>
        <v>1382600</v>
      </c>
      <c r="V34" s="33">
        <f>8.93%*$O$35</f>
        <v>1384149.9999999998</v>
      </c>
      <c r="W34" s="33">
        <f>4.46%*$O$35</f>
        <v>691300</v>
      </c>
      <c r="X34" s="34"/>
      <c r="Y34" s="22"/>
    </row>
    <row r="35" spans="2:25" x14ac:dyDescent="0.35">
      <c r="B35" s="20" t="s">
        <v>6</v>
      </c>
      <c r="C35" s="21">
        <v>0.25</v>
      </c>
      <c r="E35" s="30" t="s">
        <v>15</v>
      </c>
      <c r="F35" s="33">
        <v>13000000</v>
      </c>
      <c r="G35" s="31"/>
      <c r="H35" s="31"/>
      <c r="I35" s="31"/>
      <c r="J35" s="31"/>
      <c r="K35" s="31"/>
      <c r="L35" s="31"/>
      <c r="M35" s="31"/>
      <c r="N35" s="31"/>
      <c r="O35" s="33">
        <v>15500000</v>
      </c>
      <c r="P35" s="33"/>
      <c r="Q35" s="33"/>
      <c r="R35" s="33"/>
      <c r="S35" s="33"/>
      <c r="T35" s="33"/>
      <c r="U35" s="33"/>
      <c r="V35" s="33"/>
      <c r="W35" s="33"/>
      <c r="X35" s="31"/>
      <c r="Y35" s="22"/>
    </row>
    <row r="36" spans="2:25" x14ac:dyDescent="0.35">
      <c r="B36" s="20" t="s">
        <v>7</v>
      </c>
      <c r="C36" s="21">
        <v>0.12</v>
      </c>
      <c r="E36" s="30"/>
      <c r="F36" s="31"/>
      <c r="G36" s="31"/>
      <c r="H36" s="31"/>
      <c r="I36" s="31"/>
      <c r="J36" s="31"/>
      <c r="K36" s="31"/>
      <c r="L36" s="31"/>
      <c r="M36" s="31"/>
      <c r="N36" s="31"/>
      <c r="O36" s="31"/>
      <c r="P36" s="31"/>
      <c r="Q36" s="31"/>
      <c r="R36" s="31"/>
      <c r="S36" s="31"/>
      <c r="T36" s="31"/>
      <c r="U36" s="31"/>
      <c r="V36" s="31"/>
      <c r="W36" s="31"/>
      <c r="X36" s="31"/>
      <c r="Y36" s="22"/>
    </row>
    <row r="37" spans="2:25" x14ac:dyDescent="0.35">
      <c r="B37" s="20"/>
      <c r="C37" s="22"/>
      <c r="E37" s="30" t="s">
        <v>2</v>
      </c>
      <c r="F37" s="9">
        <f>10%*$F$38</f>
        <v>2500000</v>
      </c>
      <c r="G37" s="9">
        <f>18%*$F$38</f>
        <v>4500000</v>
      </c>
      <c r="H37" s="9">
        <f>14.4%*$F$38</f>
        <v>3600000.0000000005</v>
      </c>
      <c r="I37" s="9">
        <f>11.52%*$F$38</f>
        <v>2880000</v>
      </c>
      <c r="J37" s="9">
        <f>9.22%*$F$38</f>
        <v>2305000</v>
      </c>
      <c r="K37" s="9">
        <f>7.37%*$F$38</f>
        <v>1842500</v>
      </c>
      <c r="L37" s="9">
        <f>6.55%*F38</f>
        <v>1637500</v>
      </c>
      <c r="M37" s="9">
        <f>6.55%*$F$38</f>
        <v>1637500</v>
      </c>
      <c r="N37" s="9">
        <f>6.56%*$F$38</f>
        <v>1639999.9999999998</v>
      </c>
      <c r="O37" s="9">
        <f>6.55%*$F$38</f>
        <v>1637500</v>
      </c>
      <c r="P37" s="9">
        <f>3.28%*$F$38</f>
        <v>819999.99999999988</v>
      </c>
      <c r="Q37" s="9"/>
      <c r="R37" s="9"/>
      <c r="S37" s="9"/>
      <c r="T37" s="9"/>
      <c r="U37" s="9"/>
      <c r="V37" s="9"/>
      <c r="W37" s="9"/>
      <c r="X37" s="9"/>
      <c r="Y37" s="29"/>
    </row>
    <row r="38" spans="2:25" x14ac:dyDescent="0.35">
      <c r="B38" s="20"/>
      <c r="C38" s="22"/>
      <c r="E38" s="30" t="s">
        <v>15</v>
      </c>
      <c r="F38" s="9">
        <v>25000000</v>
      </c>
      <c r="G38" s="31"/>
      <c r="H38" s="31"/>
      <c r="I38" s="31"/>
      <c r="J38" s="31"/>
      <c r="K38" s="31"/>
      <c r="L38" s="31"/>
      <c r="M38" s="31"/>
      <c r="N38" s="31"/>
      <c r="O38" s="31"/>
      <c r="P38" s="31"/>
      <c r="Q38" s="31"/>
      <c r="R38" s="31"/>
      <c r="S38" s="31"/>
      <c r="T38" s="31"/>
      <c r="U38" s="31"/>
      <c r="V38" s="31"/>
      <c r="W38" s="31"/>
      <c r="X38" s="31"/>
      <c r="Y38" s="22"/>
    </row>
    <row r="39" spans="2:25" ht="15" thickBot="1" x14ac:dyDescent="0.4">
      <c r="B39" s="23" t="s">
        <v>14</v>
      </c>
      <c r="C39" s="24">
        <v>0.1</v>
      </c>
      <c r="E39" s="30"/>
      <c r="F39" s="31"/>
      <c r="G39" s="31"/>
      <c r="H39" s="31"/>
      <c r="I39" s="31"/>
      <c r="J39" s="31"/>
      <c r="K39" s="31"/>
      <c r="L39" s="31"/>
      <c r="M39" s="31"/>
      <c r="N39" s="31"/>
      <c r="O39" s="31"/>
      <c r="P39" s="31"/>
      <c r="Q39" s="31"/>
      <c r="R39" s="31"/>
      <c r="S39" s="31"/>
      <c r="T39" s="31"/>
      <c r="U39" s="31"/>
      <c r="V39" s="31"/>
      <c r="W39" s="31"/>
      <c r="X39" s="31"/>
      <c r="Y39" s="22"/>
    </row>
    <row r="40" spans="2:25" ht="15" thickBot="1" x14ac:dyDescent="0.4">
      <c r="E40" s="35" t="s">
        <v>16</v>
      </c>
      <c r="F40" s="36">
        <f>F31+F34+F37</f>
        <v>6665392.307692308</v>
      </c>
      <c r="G40" s="36">
        <f t="shared" ref="G40:Y40" si="14">G31+G34+G37</f>
        <v>9991392.307692308</v>
      </c>
      <c r="H40" s="36">
        <f>H31+H34+H37</f>
        <v>8181392.307692308</v>
      </c>
      <c r="I40" s="36">
        <f t="shared" si="14"/>
        <v>6811392.307692308</v>
      </c>
      <c r="J40" s="36">
        <f t="shared" si="14"/>
        <v>5773592.307692307</v>
      </c>
      <c r="K40" s="36">
        <f t="shared" si="14"/>
        <v>5309792.307692308</v>
      </c>
      <c r="L40" s="36">
        <f t="shared" si="14"/>
        <v>5106092.307692307</v>
      </c>
      <c r="M40" s="36">
        <f t="shared" si="14"/>
        <v>4524992.307692308</v>
      </c>
      <c r="N40" s="36">
        <f>N31+N34+N37</f>
        <v>3947692.307692307</v>
      </c>
      <c r="O40" s="36">
        <f t="shared" si="14"/>
        <v>3945192.3076923075</v>
      </c>
      <c r="P40" s="36">
        <f t="shared" si="14"/>
        <v>5342642.307692308</v>
      </c>
      <c r="Q40" s="36">
        <f t="shared" si="14"/>
        <v>6103642.307692307</v>
      </c>
      <c r="R40" s="36">
        <f t="shared" si="14"/>
        <v>5018642.307692307</v>
      </c>
      <c r="S40" s="36">
        <f t="shared" si="14"/>
        <v>4243642.307692308</v>
      </c>
      <c r="T40" s="36">
        <f t="shared" si="14"/>
        <v>3691842.307692307</v>
      </c>
      <c r="U40" s="36">
        <f t="shared" si="14"/>
        <v>3690292.3076923075</v>
      </c>
      <c r="V40" s="36">
        <f t="shared" si="14"/>
        <v>3691842.307692307</v>
      </c>
      <c r="W40" s="36">
        <f t="shared" si="14"/>
        <v>2998992.3076923075</v>
      </c>
      <c r="X40" s="36">
        <f t="shared" si="14"/>
        <v>2307692.3076923075</v>
      </c>
      <c r="Y40" s="37">
        <f t="shared" si="14"/>
        <v>2307692.3076923075</v>
      </c>
    </row>
    <row r="41" spans="2:25" ht="15" thickBot="1" x14ac:dyDescent="0.4"/>
    <row r="42" spans="2:25" x14ac:dyDescent="0.35">
      <c r="E42" s="39" t="s">
        <v>11</v>
      </c>
      <c r="F42" s="26" t="s">
        <v>12</v>
      </c>
      <c r="G42" s="26" t="s">
        <v>3</v>
      </c>
      <c r="H42" s="26" t="s">
        <v>35</v>
      </c>
      <c r="I42" s="26" t="s">
        <v>2</v>
      </c>
      <c r="J42" s="40" t="s">
        <v>34</v>
      </c>
    </row>
    <row r="43" spans="2:25" x14ac:dyDescent="0.35">
      <c r="E43" s="30" t="s">
        <v>13</v>
      </c>
      <c r="F43" s="9">
        <v>130000000</v>
      </c>
      <c r="G43" s="13">
        <v>60000000</v>
      </c>
      <c r="H43" s="33">
        <v>2000000</v>
      </c>
      <c r="I43" s="9">
        <v>3000000</v>
      </c>
      <c r="J43" s="41">
        <v>2000000</v>
      </c>
    </row>
    <row r="44" spans="2:25" x14ac:dyDescent="0.35">
      <c r="E44" s="30" t="s">
        <v>17</v>
      </c>
      <c r="F44" s="33">
        <v>50000000</v>
      </c>
      <c r="G44" s="13">
        <v>150000000</v>
      </c>
      <c r="H44" s="33">
        <v>15500000</v>
      </c>
      <c r="I44" s="33">
        <v>25000000</v>
      </c>
      <c r="J44" s="42">
        <v>13000000</v>
      </c>
    </row>
    <row r="45" spans="2:25" x14ac:dyDescent="0.35">
      <c r="E45" s="30" t="s">
        <v>18</v>
      </c>
      <c r="F45" s="33">
        <v>0</v>
      </c>
      <c r="G45" s="13">
        <f>SUM(F31:Y31)</f>
        <v>46153846.153846137</v>
      </c>
      <c r="H45" s="33">
        <v>15500000</v>
      </c>
      <c r="I45" s="9">
        <f>SUM(F37:P37)</f>
        <v>25000000</v>
      </c>
      <c r="J45" s="42">
        <v>13000000</v>
      </c>
    </row>
    <row r="46" spans="2:25" x14ac:dyDescent="0.35">
      <c r="E46" s="30" t="s">
        <v>19</v>
      </c>
      <c r="F46" s="33">
        <f>F44-F45</f>
        <v>50000000</v>
      </c>
      <c r="G46" s="13">
        <f>G44-G45</f>
        <v>103846153.84615386</v>
      </c>
      <c r="H46" s="33">
        <f>H44-H45</f>
        <v>0</v>
      </c>
      <c r="I46" s="34">
        <f>I44-I45</f>
        <v>0</v>
      </c>
      <c r="J46" s="42">
        <v>0</v>
      </c>
    </row>
    <row r="47" spans="2:25" x14ac:dyDescent="0.35">
      <c r="E47" s="43" t="s">
        <v>36</v>
      </c>
      <c r="F47" s="9">
        <f>F43-F46</f>
        <v>80000000</v>
      </c>
      <c r="G47" s="13">
        <f>G43-G46</f>
        <v>-43846153.846153855</v>
      </c>
      <c r="H47" s="34">
        <f>H43-H46</f>
        <v>2000000</v>
      </c>
      <c r="I47" s="9">
        <f>I43-I46</f>
        <v>3000000</v>
      </c>
      <c r="J47" s="29">
        <f>J43-J46</f>
        <v>2000000</v>
      </c>
    </row>
    <row r="48" spans="2:25" x14ac:dyDescent="0.35">
      <c r="E48" s="43" t="s">
        <v>6</v>
      </c>
      <c r="F48" s="44">
        <f>C35</f>
        <v>0.25</v>
      </c>
      <c r="G48" s="44"/>
      <c r="H48" s="44">
        <f>C35</f>
        <v>0.25</v>
      </c>
      <c r="I48" s="44">
        <f>C35</f>
        <v>0.25</v>
      </c>
      <c r="J48" s="21">
        <f>C35</f>
        <v>0.25</v>
      </c>
    </row>
    <row r="49" spans="5:10" ht="15" thickBot="1" x14ac:dyDescent="0.4">
      <c r="E49" s="45" t="s">
        <v>37</v>
      </c>
      <c r="F49" s="46">
        <f>F43-(F47*F48)</f>
        <v>110000000</v>
      </c>
      <c r="G49" s="46"/>
      <c r="H49" s="46">
        <f>H43-(H47*H48)</f>
        <v>1500000</v>
      </c>
      <c r="I49" s="46">
        <f t="shared" ref="I49" si="15">I43-(I47*I48)</f>
        <v>2250000</v>
      </c>
      <c r="J49" s="47">
        <f>J43-(J47*J48)</f>
        <v>1500000</v>
      </c>
    </row>
    <row r="51" spans="5:10" x14ac:dyDescent="0.35">
      <c r="F51" s="7"/>
    </row>
    <row r="52" spans="5:10" x14ac:dyDescent="0.35">
      <c r="F52" s="7"/>
    </row>
    <row r="53" spans="5:10" x14ac:dyDescent="0.35">
      <c r="F53" s="7"/>
    </row>
    <row r="54" spans="5:10" x14ac:dyDescent="0.35">
      <c r="F54" s="7"/>
    </row>
    <row r="55" spans="5:10" x14ac:dyDescent="0.35">
      <c r="F55" s="7"/>
    </row>
    <row r="56" spans="5:10" x14ac:dyDescent="0.35">
      <c r="F56" s="7"/>
    </row>
    <row r="57" spans="5:10" x14ac:dyDescent="0.35">
      <c r="F57" s="7"/>
    </row>
    <row r="58" spans="5:10" x14ac:dyDescent="0.35">
      <c r="F58" s="7"/>
    </row>
    <row r="59" spans="5:10" x14ac:dyDescent="0.35">
      <c r="F59" s="7"/>
    </row>
  </sheetData>
  <scenarios current="3" sqref="C24 C25 C26 C27">
    <scenario name="base" locked="1" count="3" user="ruchi" comment="Created by ruchi on 6/1/2021_x000a_Modified by ruchi on 6/2/2021">
      <inputCells r="C32" val="0.3" numFmtId="9"/>
      <inputCells r="C34" val="0.06" numFmtId="9"/>
      <inputCells r="C35" val="0.25" numFmtId="9"/>
    </scenario>
    <scenario name="Best" locked="1" count="3" user="ruchi" comment="Created by ruchi on 6/1/2021_x000a_Modified by ruchi on 6/2/2021">
      <inputCells r="C32" val="0.25" numFmtId="9"/>
      <inputCells r="C34" val="0.05" numFmtId="9"/>
      <inputCells r="C35" val="0.25" numFmtId="9"/>
    </scenario>
    <scenario name="Worst 1" locked="1" count="3" user="ruchi" comment="Created by ruchi on 6/1/2021_x000a_Modified by ruchi on 6/2/2021">
      <inputCells r="C32" val="0.45" numFmtId="9"/>
      <inputCells r="C34" val="0.09" numFmtId="9"/>
      <inputCells r="C35" val="0.25" numFmtId="9"/>
    </scenario>
    <scenario name="Worst 2" locked="1" count="3" user="ruchi" comment="Created by ruchi on 6/1/2021_x000a_Modified by ruchi on 6/1/2021_x000a_Modified by ruchi on 6/2/2021">
      <inputCells r="C32" val="0.3" numFmtId="9"/>
      <inputCells r="C34" val="0.06" numFmtId="9"/>
      <inputCells r="C35" val="0.45" numFmtId="9"/>
    </scenario>
  </scenario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 Summary</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dc:creator>
  <cp:lastModifiedBy>ruchi</cp:lastModifiedBy>
  <dcterms:created xsi:type="dcterms:W3CDTF">2021-05-20T15:13:43Z</dcterms:created>
  <dcterms:modified xsi:type="dcterms:W3CDTF">2021-06-02T21:26:41Z</dcterms:modified>
</cp:coreProperties>
</file>