
<file path=[Content_Types].xml><?xml version="1.0" encoding="utf-8"?>
<Types xmlns="http://schemas.openxmlformats.org/package/2006/content-types">
  <Default ContentType="image/jpeg" Extension="jpg"/>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oleObject" PartName="/xl/embeddings/oleObject1.bin"/>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ms-visio.drawing" PartName="/xl/embeddings/Microsoft_Visio_Drawing.vsdx"/>
  <Override ContentType="application/vnd.openxmlformats-officedocument.custom-properties+xml" PartName="/docProps/custom.xml"/>
  <Override ContentType="application/vnd.openxmlformats-officedocument.spreadsheetml.table+xml" PartName="/xl/tables/table1.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eryg flow sharing" sheetId="1" r:id="rId4"/>
    <sheet state="visible" name="Energy_KPI_cooling_water_export" sheetId="2" r:id="rId5"/>
    <sheet state="visible" name="Energy_KPI_export" sheetId="3" r:id="rId6"/>
    <sheet state="visible" name="Natural Gas CHP" sheetId="4" r:id="rId7"/>
    <sheet state="visible" name="Olefins Production Plant" sheetId="5" r:id="rId8"/>
    <sheet state="visible" name="Aromatics Production Plant" sheetId="6" r:id="rId9"/>
    <sheet state="visible" name="Biogas Plant" sheetId="7" r:id="rId10"/>
    <sheet state="visible" name="Methanol Production Plant" sheetId="8" r:id="rId11"/>
    <sheet state="visible" name="DME Plant" sheetId="9" r:id="rId12"/>
    <sheet state="visible" name="Assignment Requirements" sheetId="10" r:id="rId13"/>
    <sheet state="visible" name="Materials Nomenclature" sheetId="11" r:id="rId14"/>
    <sheet state="hidden" name="Hydrogen Plant" sheetId="12" r:id="rId15"/>
    <sheet state="hidden" name="Ethylene Oxide-Ethylene Glycol" sheetId="13" r:id="rId16"/>
    <sheet state="hidden" name="Biodiesel Production" sheetId="14" r:id="rId17"/>
    <sheet state="hidden" name="PET Production Plant" sheetId="15" r:id="rId18"/>
    <sheet state="hidden" name="Cyclohexane Production Plant" sheetId="16" r:id="rId19"/>
    <sheet state="hidden" name="Ammonia Production Plant" sheetId="17" r:id="rId20"/>
    <sheet state="hidden" name="Ethylbenzene Production Plant" sheetId="18" r:id="rId21"/>
    <sheet state="hidden" name="Urea Production" sheetId="19" r:id="rId22"/>
    <sheet state="visible" name="Greenhouses" sheetId="20" r:id="rId23"/>
    <sheet state="visible" name="Households" sheetId="21" r:id="rId24"/>
    <sheet state="visible" name="Carbon Calculation" sheetId="22" r:id="rId25"/>
  </sheets>
  <externalReferences>
    <externalReference r:id="rId26"/>
    <externalReference r:id="rId27"/>
    <externalReference r:id="rId28"/>
    <externalReference r:id="rId29"/>
    <externalReference r:id="rId30"/>
    <externalReference r:id="rId31"/>
    <externalReference r:id="rId32"/>
  </externalReferences>
  <definedNames>
    <definedName hidden="1" localSheetId="2" name="Z_5131379E_2FB6_49A2_99F6_B7FB764825D5_.wvu.FilterData">Energy_KPI_export!$A$1:$K$13</definedName>
  </definedNames>
  <calcPr/>
  <customWorkbookViews>
    <customWorkbookView activeSheetId="0" maximized="1" windowHeight="0" windowWidth="0" guid="{5131379E-2FB6-49A2-99F6-B7FB764825D5}" name="Groeperen op Company"/>
  </customWorkbookViews>
  <extLst>
    <ext uri="GoogleSheetsCustomDataVersion2">
      <go:sheetsCustomData xmlns:go="http://customooxmlschemas.google.com/" r:id="rId33" roundtripDataChecksum="5oI1e3qV26zZ6tMdTVJL1zssBnBtLWw4Q0jVsyDVwP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ID#AAAB8Q6Oohs
Rud Hansen    (2026-05-28 17:10:11)
I changed all these values to references, as I changed the scaling factor</t>
      </text>
    </comment>
    <comment authorId="0" ref="B14">
      <text>
        <t xml:space="preserve">======
ID#AAAB8Q6OodY
Rud Hansen    (2026-05-28 16:38:58)
I changed all these values to references, as I changed the scaling factor</t>
      </text>
    </comment>
  </commentList>
  <extLst>
    <ext uri="GoogleSheetsCustomDataVersion2">
      <go:sheetsCustomData xmlns:go="http://customooxmlschemas.google.com/" r:id="rId1" roundtripDataSignature="AMtx7miEQSDV+7t7cRrdd/w1CSVTUOZ3h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9">
      <text>
        <t xml:space="preserve">======
ID#AAAB8Q6Oodg
Rud Hansen    (2026-05-28 17:06:04)
I don't think this is correct. The scaling factor document says something else: https://docs.google.com/spreadsheets/d/1wxduwBloicK-6FCsevv23_Am2ezQw8COm4WcEUY04AU/edit?gid=0#gid=0</t>
      </text>
    </comment>
  </commentList>
  <extLst>
    <ext uri="GoogleSheetsCustomDataVersion2">
      <go:sheetsCustomData xmlns:go="http://customooxmlschemas.google.com/" r:id="rId1" roundtripDataSignature="AMtx7mg1RKkAzir5VWsBwNrgV8YcAPWu6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22">
      <text>
        <t xml:space="preserve">20260528: I changed this from 1,151854 to 1.518540 =&gt; Do to an error in communication between Rud and Claire
/Rud
======</t>
      </text>
    </comment>
  </commentList>
</comments>
</file>

<file path=xl/sharedStrings.xml><?xml version="1.0" encoding="utf-8"?>
<sst xmlns="http://schemas.openxmlformats.org/spreadsheetml/2006/main" count="4568" uniqueCount="1969">
  <si>
    <t>Marked in yellow are those that are direct links to the sheets and not hard-coded values        /Rud</t>
  </si>
  <si>
    <t>Natural Gas CHP</t>
  </si>
  <si>
    <t>Biogas Plant</t>
  </si>
  <si>
    <t xml:space="preserve">Utility type </t>
  </si>
  <si>
    <t>Input - TJ/y</t>
  </si>
  <si>
    <t>Output - TJ/y</t>
  </si>
  <si>
    <t>Input Electricity</t>
  </si>
  <si>
    <t>Input Heat</t>
  </si>
  <si>
    <t>Low pressure steam</t>
  </si>
  <si>
    <t>kWh/y</t>
  </si>
  <si>
    <t>Mid pressure steam</t>
  </si>
  <si>
    <t>High pressure steam</t>
  </si>
  <si>
    <t>Cooling water</t>
  </si>
  <si>
    <t>Fired Heat</t>
  </si>
  <si>
    <t>Electricity - kWh/y</t>
  </si>
  <si>
    <t>Olefins Production Plant</t>
  </si>
  <si>
    <t>Methanol Production Plant</t>
  </si>
  <si>
    <t xml:space="preserve">Very High pressure steam </t>
  </si>
  <si>
    <t>Aromatics Production Plant</t>
  </si>
  <si>
    <t>DME Plant</t>
  </si>
  <si>
    <t>Very low pressure steam</t>
  </si>
  <si>
    <t>Chilled water</t>
  </si>
  <si>
    <t>Utility type broad category</t>
  </si>
  <si>
    <t>Specific company-utility output</t>
  </si>
  <si>
    <t>Utility type</t>
  </si>
  <si>
    <t xml:space="preserve">Giver </t>
  </si>
  <si>
    <t>Receiver</t>
  </si>
  <si>
    <t>Net</t>
  </si>
  <si>
    <t>Surplus or deficit?</t>
  </si>
  <si>
    <t>Remainder if surplus</t>
  </si>
  <si>
    <t>Notes</t>
  </si>
  <si>
    <t>Amount being sent</t>
  </si>
  <si>
    <t>SELF-SHARING</t>
  </si>
  <si>
    <t>Self-sharing</t>
  </si>
  <si>
    <t>Electricity</t>
  </si>
  <si>
    <t>CHP</t>
  </si>
  <si>
    <t>Olefins</t>
  </si>
  <si>
    <t>Medium pressure steam</t>
  </si>
  <si>
    <t>Aromatics</t>
  </si>
  <si>
    <t>Methanol</t>
  </si>
  <si>
    <t>VERY LOW PRESSURE STEAM</t>
  </si>
  <si>
    <t>DME VLPS output</t>
  </si>
  <si>
    <t>DME</t>
  </si>
  <si>
    <t>LOW PRESSURE STEAM</t>
  </si>
  <si>
    <t>CHP LPS output</t>
  </si>
  <si>
    <t>First to methanol, then to aromatics, then final surplus to olefins</t>
  </si>
  <si>
    <t>Olefins LPS output</t>
  </si>
  <si>
    <t>After olefins self-sharing none is left, so ignore all</t>
  </si>
  <si>
    <t>Aromatics LPS output</t>
  </si>
  <si>
    <t>After aromatics self-sharing none is left, so ignore all</t>
  </si>
  <si>
    <t>Methanol LPS output</t>
  </si>
  <si>
    <t>After methanol self-sharing none is left, so ignore all</t>
  </si>
  <si>
    <t>DME LPS output</t>
  </si>
  <si>
    <t>Ignore, because all deficit</t>
  </si>
  <si>
    <t>MEDIUM PRESSURE STEAM</t>
  </si>
  <si>
    <t>CHP MPS output</t>
  </si>
  <si>
    <t>Olefins MPS output gave two surpluses, so we ignore these three rows</t>
  </si>
  <si>
    <t>Olefins MPS output</t>
  </si>
  <si>
    <t>After olefins self-sharing; methanol doesn't need any more after self-sharing, so ignore second row; first send to DME, then send remaining surplus to aromatics</t>
  </si>
  <si>
    <t>Methanol MPS output</t>
  </si>
  <si>
    <t>After methanol self-sharing; olefins doesn't need any more so ignore the first row; olefins MPS output gave two surpluses, so we ignore these three rows</t>
  </si>
  <si>
    <t>HIGH PRESSURE STEAM</t>
  </si>
  <si>
    <t>CHP HPS output</t>
  </si>
  <si>
    <t>Ignore, because the olefins HPS output gave a surplus</t>
  </si>
  <si>
    <t>Olefins HPS output</t>
  </si>
  <si>
    <t>Methanol HPS output</t>
  </si>
  <si>
    <t>ELECTRICITY</t>
  </si>
  <si>
    <t>CHP electricity output</t>
  </si>
  <si>
    <t>After CHP self-sharing; first send to methanol; then to biogas because it has the lowest need; then to DME because it has the next lowest need; then to aromatics because it has the next lowest need; then finally to olefins giving a small deficit</t>
  </si>
  <si>
    <t>Biogas</t>
  </si>
  <si>
    <t>Olefins electricity output</t>
  </si>
  <si>
    <t>Company</t>
  </si>
  <si>
    <t>input_cooling_water_kt_y</t>
  </si>
  <si>
    <t>output_cooling_water_kt_y</t>
  </si>
  <si>
    <t>Aromatics plant</t>
  </si>
  <si>
    <t>Biogas plant</t>
  </si>
  <si>
    <t>CHP plant</t>
  </si>
  <si>
    <t>DME plant</t>
  </si>
  <si>
    <t>Methanol plant</t>
  </si>
  <si>
    <t>Olefins plant</t>
  </si>
  <si>
    <t>Input_Output</t>
  </si>
  <si>
    <t>Input</t>
  </si>
  <si>
    <t>Output</t>
  </si>
  <si>
    <t>Natural gas CHP</t>
  </si>
  <si>
    <t>Process datasheet (Mass &amp; Energy Balance)</t>
  </si>
  <si>
    <t>Production capacity</t>
  </si>
  <si>
    <t xml:space="preserve"> 50 MW electricity and 120 ton/h of steam</t>
  </si>
  <si>
    <t>Operating hours per year</t>
  </si>
  <si>
    <t>8000 h/y</t>
  </si>
  <si>
    <t>Overall Process Description</t>
  </si>
  <si>
    <t xml:space="preserve">This process description presents a cogeneration plant, also called  combined heat and power plant (CHP), which uses natural gas to produce 50 MW electricity and 120 ton/h of steam.
A cogeneration is a system that recaptures otherwise wasted thermal energy, usually from a  heat engine (such as a steam turbine, gas turbine, or diesel engine) to produce electricity and use it for industrial processes, space conditioning, or as an energy source for another system component. This “cascading” of energy use is what distinguishes cogeneration systems from conventional separate electric and thermal energy systems (e.g., a powerplant and an industrial boiler), or from simple  heat recovery strategies [1]. 
Most cogeneration systems can be described either as “topping” systems or “bottoming” systems, depending on whether the electrical or thermal energy is produced first. In a topping system—the most common cogeneration mode— electricity is produced first. The thermal energy that is exhausted is captured and used for such purposes as industrial processes, space heating and cooling, water heating, or even producing more electricity. Topping systems would be used in residential/commercial and most industrial cogeneration applications.
In a bottoming system, high-temperature thermal energy is produced first for applications such as steel reheat furnaces, glass kilns, or aluminum remelt furnaces. Heat is extracted from the hot exhaust waste stream and transferred to a working fluid, generally through a waste heat recovery boiler. The fluid is  vaporized and used to drive a turbine (Rankine cycle) to produce electrical energy. Bottoming cycles are used mostly in industries where high-temperature waste heat is available, and thus are limited to a few industrial processes. Further, they tend to have a higher capital cost than topping systems [1,2]. 
Topping systems can be further classified as combined cycle CHP plant, steam turbine CHP plant, internal combustion engine and gas turbine.
When the emphasis is on the generation of electric power within the plant with high efficiency, the gas and steam cycles are  combined into one arrangement. This arrangement uses a gas turbine to generate electricity from the fuel, in which, natural gas is added along with a stream of air, which combusts and expands through this turbine causing a generator to spin a magnet, producing electricity. From the process, there is waste heat that is recovered from the flue-gas through a heat recovery steam generator (HRSG) [2].Due to this arrangement, combined cycle plants are more efficient because they make use of the hot exhaust gases that would otherwise be dispelled from  the system. These exhaust gases are used to boil water into steam—which can then spin another turbine and generate more electricity [3].  The thermal efficiency of the combined cycle can get up to 60% [4,5]. 
The advantages of a combined cycle are [3]: 
-Higher thermal efficiency 
-Lower capital investment 
-Faster starting and peaking times 
-Less thermal pollution (less energy discharge to cooling water per kWh) 
-Wide range of flexibility of power generation (thermal, mechanical, and electrical)
In the current process, a cogeneration plant is presented. The CHP is composed of a gas turbine,  a HRSG and a steam turbine.
</t>
  </si>
  <si>
    <t>Process Diagram description</t>
  </si>
  <si>
    <t>The cogeneration plant is composed of a single shaft gas turbine, a heat recovery steam generator (HRSG), and a steam turbine [6,7]. The flow diagram presented above is described as follows.
The cogeneration involves compression of air, the subsequent heating of this gas by burning a fuel without a change in pressure, followed by the expansion of the hot, pressurized gas. The compression process consumes power, while the expansion process extracts power from the gas. Some of the power from the expansion process is used to drive the compression process and the rest is used as useable power output [8]. The exhaust gases from the gas turbine are mixed and combusted with more natural gas, thus resulting in the increase in its temperature. The hot gases from the secondary combustion are carried out to the HRSG system and used to produce steam at different pressures[9]. 
The detailed description of the process is as follows:
The single shaft gas turbine uses atmospheric air (15 °C, 1.02 bar) in excess to ensure complete combustion of the natural gas. For natural gas-fired burners, the stoichiometric air required is 9.4-11 ft.3 / 1.0 ft.3 of natural gas or approximately an air-to-gas ratio of approximately 24:1 (mol) [10]. In this case, the air flowrate is adjusted to maintain the combustion temperature below 1260 °C and reach an oxygen content of 13-15 mol% in the exhaust gas as required for the turbine and second burner [11,12]. A maximum turbine inlet temperature of over 1050 °C is preferred for thermal efficiency [13].  
The air is then compressed in a multi-stage compressor with 15 stages and a compression ratio of  19.8:1, with equal compression ratio of 1.21 in each stage [7,14–16]. Isentropic efficiencies are taken to be constant, at 83% for the compressors and 90% for both the gas and steam turbines [17,18]. An intercooler is provided between each two stages of compression to cool air before it enters the next stage of compression[19]. The lower density of cool air makes it easier to compress than hot air. Ideally, the air should be as close to the ambient air temperature as possible. Typically, the intercooler is able to cool the compressed air within 20-30 degrees of the ambient air temperature[20]. The air is cooled to 40 °C in the intercooler [17,21] and it is used for the combustion of the natural gas.
The  natural gas (15 °C, 1.02 bar) composed mainly of CH4 and other components in lower concentrations (C2H6, C3H8, N2 and CO2) is defined and compressed to 20 bar to maintain well pressures and enable the burner to operate at the compressed air pressure [22]. Moreover, the compressed natural gas is heated to 300 °C  before combustion.  Increasing the inlet gas temperature from 240°C, abruptly increases the flame luminosity. This luminosity increase enhances the boiler efficiency and also causes significant reduction in flame temperature and NO emission. The results show that increasing the inlet gas temperature from 240°C to 300°C increases the flame luminous radiation by 60% and boiler efficiency by 20% [23].
In the burner, at these conditions,  combustion temperatures of natural gas on air of 974 °C are reached. The hot exhaust gas is then sent to the turbine section, which consists of a high-efficiency  3-stage turbine operating at pressure ratios of around 1.5-5 [5, 14,24,25]. The industrial gas turbines have a lower pressure ratio and higher exhaust temperature to promote combined-cycle performance[26]. Such high exhaust discharge temperatures permit direct use of the exhaust[27]. For instance, maintaining the hot exhaust gas temperature is important to exchange heat in the countercurrent heat exchanger between the air and the exhaust gas [8]. By doing so, an increase in the air temperature for the first burner is achieved, and the gas turbine exhaust gases are conditioned to 500 °C, which is the final temperature of the turbine discharge exhaust gases and the required temperature for the second burner (supplementary firing system) [12].  More specifically, the exhaust gas of a gas turbine has an oxygen concentration of 13-15 wt%, temperature of 500- 600 °C, and in the exhaust supplementary firing system, only this exhaust gas is used as oxygen source for combustion. This supplementary firing burner helps a waste heat boiler increase output by reheating gas turbine exhaust with no additional air [12]. 
The reheated gas turbine exhaust gas is sent to a heat recovery steam generator (HRSG) section, in which it goes through a series of countercurrent heat exchangers to recover the heat from the turbine exhaust  gasand convertswater into useful thermal energy in the form of steam. The current process consists of 3 heat recovery heat exchangers to produce high pressure-high temperature steam (HP), medium pressure (MP) steam and low pressure  (LP)steam. HP and MP steam are also used to create additional power using steam turbines. The HRSG exhaust temperature is of around  160 °C, as reported for different HRSG systems [28].
Overall, the HRSG arrangement is composed of countercurrent heat exchangers to achieve the required steam temperatures and a series of pumps and turbines to adjust the pressure to produce the required HP, MP and LP steam [17,29,30], while producing electricity.
Overall, the main products of the process are: electricity, HP, MP and LP steam. The main waste stream of the process is composed of exhaust flue gases like N2, O2, H2O  and CO2 .</t>
  </si>
  <si>
    <t>LEGENDS</t>
  </si>
  <si>
    <t>FS- Feedstock/Raw material</t>
  </si>
  <si>
    <t>PS- Product</t>
  </si>
  <si>
    <t>WS-Waste</t>
  </si>
  <si>
    <t>Figure 1. Process Flow Diagram- CHP for electricity and steam production</t>
  </si>
  <si>
    <t xml:space="preserve">Mass Balances </t>
  </si>
  <si>
    <t xml:space="preserve">Raw materials </t>
  </si>
  <si>
    <t>Products</t>
  </si>
  <si>
    <t>Balance check</t>
  </si>
  <si>
    <t xml:space="preserve">Stream </t>
  </si>
  <si>
    <t>Composition (% mass)</t>
  </si>
  <si>
    <t>Flow kt/y</t>
  </si>
  <si>
    <t>Total inputs/outputs</t>
  </si>
  <si>
    <t>FS-AIR</t>
  </si>
  <si>
    <t>23.3% O2, 76.7% N2</t>
  </si>
  <si>
    <t>PS-LPS</t>
  </si>
  <si>
    <t>100 % H2O</t>
  </si>
  <si>
    <t>Raw materials (FS)</t>
  </si>
  <si>
    <t>FS-NG1</t>
  </si>
  <si>
    <t>70.5% CH4, 2.38% CO2, 21.78 N2, 4.88% N-C2A, 0.47% NC3-A</t>
  </si>
  <si>
    <t>PS-MPS</t>
  </si>
  <si>
    <t>Products (PS)</t>
  </si>
  <si>
    <t>FS-NG2</t>
  </si>
  <si>
    <t>PS-HPS</t>
  </si>
  <si>
    <t>Waste Streams (WS)</t>
  </si>
  <si>
    <t>FS-WATER</t>
  </si>
  <si>
    <t>WS-FLUEG</t>
  </si>
  <si>
    <t>75.2% N2, 5.9% CO2, 14.3% O2, 4.7% H2O</t>
  </si>
  <si>
    <t>Percent error (%)</t>
  </si>
  <si>
    <t>Energy Balances</t>
  </si>
  <si>
    <t>Utility process conditions</t>
  </si>
  <si>
    <t>Input - kt/y</t>
  </si>
  <si>
    <t>Output - kt/y</t>
  </si>
  <si>
    <t>Net - TJ/y</t>
  </si>
  <si>
    <t>Net - kt/y</t>
  </si>
  <si>
    <t xml:space="preserve">Remark </t>
  </si>
  <si>
    <t>Inlet temperature ( °C )</t>
  </si>
  <si>
    <t>Outlet temperature ( °C )</t>
  </si>
  <si>
    <t>Inlet pressure (bar)</t>
  </si>
  <si>
    <t>Outlet pressure (bar)</t>
  </si>
  <si>
    <t>Heat capacity/latent heat/lower heating value</t>
  </si>
  <si>
    <t>Unit</t>
  </si>
  <si>
    <t>Net Generation</t>
  </si>
  <si>
    <t>Very Low pressure steam</t>
  </si>
  <si>
    <t>-</t>
  </si>
  <si>
    <t>KJ/kg</t>
  </si>
  <si>
    <t>NA</t>
  </si>
  <si>
    <t>-99202,2</t>
  </si>
  <si>
    <t>-50344,5</t>
  </si>
  <si>
    <t>Net Generation, kt/y values are kW</t>
  </si>
  <si>
    <t>KJ/kg.K</t>
  </si>
  <si>
    <t>*NA- Not Applicable</t>
  </si>
  <si>
    <t>Value</t>
  </si>
  <si>
    <t>Remark</t>
  </si>
  <si>
    <t>TOTAL Energy requirements (kWh/y) from the other 5 plants in our system</t>
  </si>
  <si>
    <t>Summed electricity inputs only (including the thermal and electric inputs for the biogas plant)</t>
  </si>
  <si>
    <t>Original production capacity (mW)</t>
  </si>
  <si>
    <t>MW</t>
  </si>
  <si>
    <t>MW to kW = multiply by 1000</t>
  </si>
  <si>
    <t>Our assumption of operating hours per year</t>
  </si>
  <si>
    <t>h/y</t>
  </si>
  <si>
    <t>Production capacity, scaled to our assumption of kWh/y</t>
  </si>
  <si>
    <t>At the top of this sheet, they assume production capacity is 8000 h/y, but we're assuming it's the full capacity of a year, so 8765.82 h/y, assuming the average year of 365.25 days, accounting for gap years.</t>
  </si>
  <si>
    <t>Scaling factor</t>
  </si>
  <si>
    <t>none</t>
  </si>
  <si>
    <t>Energy Balances - SCALED</t>
  </si>
  <si>
    <t>Normalization factor</t>
  </si>
  <si>
    <t>Net Generation, kt/y is kW</t>
  </si>
  <si>
    <t>Electricity (kWh/y)</t>
  </si>
  <si>
    <t xml:space="preserve">Total energy </t>
  </si>
  <si>
    <t>Disclaimer</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</si>
  <si>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</si>
  <si>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Project Leader: Prof. dr. ir. Andrea Ramirez Ramirez. Energy &amp; Industry, Faculty of Technology, Policy and Management, Delft University of Technology, The Netherlands.</t>
  </si>
  <si>
    <t xml:space="preserve">The affiliation of the process modelers and reviewers is: Energy &amp; Industry, Faculty of Technology, Policy and Management, Delft University of Technology, The Netherlands. </t>
  </si>
  <si>
    <t>No.</t>
  </si>
  <si>
    <t>References</t>
  </si>
  <si>
    <t>[1]</t>
  </si>
  <si>
    <t>U.S. Technology Assessment Office, Industrial and Commercial Cogeneration, U.S. Government Printing Office, 1984, pp. 117–67.</t>
  </si>
  <si>
    <t>[2]</t>
  </si>
  <si>
    <t>L. Thierry, J.F. Ferrería de laFuente, F. Neuwahl, M. Canova, A. Pinasseau, I. Jankov, T. Brinkmann, S. Roudier, L.D. Sancho, BAT Reference Document for Large Combustion Plants, 2016.</t>
  </si>
  <si>
    <t>[3]</t>
  </si>
  <si>
    <t>A. Kaya, M.A. Keyes, Energy Convers. Manag. 33(4) (1992) 225–33. 10.1016/0196-8904(92)90112-A.</t>
  </si>
  <si>
    <t>[4]</t>
  </si>
  <si>
    <t>S. Green, PEI Power Eng. Int. (2000) 28. 10.1533/9780857096180.1.</t>
  </si>
  <si>
    <t>[5]</t>
  </si>
  <si>
    <t>A. Gunschera, Interactive Gas Turbine Portfolio Brochure - web version (February 2019), 2019.</t>
  </si>
  <si>
    <t>[6]</t>
  </si>
  <si>
    <t>Combined heat and power plant Alco Bio Fuel | Waterleau. Available at: https://www.waterleau.com/en/references/combined-heat-and-power-plant-alco-bio-fuel-1. Accessed March 9, 2021.</t>
  </si>
  <si>
    <t>[7]</t>
  </si>
  <si>
    <t>SGT-800 | Industrial Gas Turbine | Gas Turbines | Manufacturer | Siemens Energy Global. Available at: https://www.siemens-energy.com/global/en/offerings/power-generation/gas-turbines/sgt-800.html. Accessed March 24, 2021.</t>
  </si>
  <si>
    <t>[8]</t>
  </si>
  <si>
    <t>R. Kurz, C. Meher-Homji, B. Fellow, K. Brun, 43rd Turbomachinery &amp; 30th Pump Users Symposia , 2014, pp.1-36.</t>
  </si>
  <si>
    <t>[9]</t>
  </si>
  <si>
    <t>Gas Turbine Combined Cycle - an overview | ScienceDirect Topics. Available at: https://www.sciencedirect.com/topics/engineering/gas-turbine-combined-cycle. Accessed March 24, 2021.</t>
  </si>
  <si>
    <t>[10]</t>
  </si>
  <si>
    <t>What is the Air Fuel Ratio Effect on Combustion Efficiency? Available at: https://sagemetering.com/combustion-efficiency/air-fuel-ratio-effect-on-combustion-efficiency/. Accessed March 8, 2021.</t>
  </si>
  <si>
    <t>[11]</t>
  </si>
  <si>
    <t>How Gas Turbine Power Plants Work | Department of Energy. Available at: https://www.energy.gov/fe/how-gas-turbine-power-plants-work. Accessed March 24, 2021.</t>
  </si>
  <si>
    <t>[12]</t>
  </si>
  <si>
    <t>Y. Kokura, Y. Tanaka, Y. Nagata, Development of Supplementary Firing Burner for Gas Turbine Cogeneration System, 2000.</t>
  </si>
  <si>
    <t>[13]</t>
  </si>
  <si>
    <t>Introduction to a Single-Shaft Turboprop Engine. Available at: https://skybrary.aero/bookshelf/books/1627.pdf. Accessed March 9, 2021.</t>
  </si>
  <si>
    <t>[14]</t>
  </si>
  <si>
    <t>T. Kiuru, M. Oijerholm, 21st Symposium of the Industrial Application of Gas Turbines, Flexible Package Solutions for SIEMENS SGT-800, 2015, pp.1-13.</t>
  </si>
  <si>
    <t>[15]</t>
  </si>
  <si>
    <t>M.P. Boyce, Gas Turbine Handbook, Axial Flow Compressors, pp. 163-194 . Available at: https://www.netl.doe.gov/sites/default/files/gas-turbine-handbook/2-0.pdf. Accessed March 20, 2021.</t>
  </si>
  <si>
    <t>[16]</t>
  </si>
  <si>
    <t>J. Wilkes, B. Pettinato, R. Kurz, J. Hollingsworth, D. Zhang, M. Taher, C. Kulhanek, F. Werdecker, D. Büche, G. Talabisco, Compression Machinery for Oil and Gas, Elsevier, 2018, pp. 31–133.</t>
  </si>
  <si>
    <t>[17]</t>
  </si>
  <si>
    <t>J.C. Solarte-Toro, Y. Chacón-Pérez, C.A. Cardona-Alzate, Electron. J. Biotechnol. (2018) 52–62. 10.1016/j.ejbt.2018.03.005.</t>
  </si>
  <si>
    <t>[18]</t>
  </si>
  <si>
    <t>I. Dincer, M.A. Rosen, Exergy: Energy, Environment and Sustainable Development, second ed., 2012, pp. 31–49.</t>
  </si>
  <si>
    <t>[19]</t>
  </si>
  <si>
    <t>A.K. Coker, Ludwig’s Applied Process Design for Chemical and Petrochemical Plants, Elsevier, 2015, pp. 729–978.</t>
  </si>
  <si>
    <t>[20]</t>
  </si>
  <si>
    <t>Understanding Air Compressor Intercooler Maintenance. Available at: https://www.fs-elliott.com/understanding-air-compressor-intercooler-maintenance?locale=en. Accessed March 8, 2021.</t>
  </si>
  <si>
    <t>[21]</t>
  </si>
  <si>
    <t>C. Soares, Gas Turbines, Gas Turbine Configurations and Heat Cycles, second ed., 2015, pp. 93–171.</t>
  </si>
  <si>
    <t>[22]</t>
  </si>
  <si>
    <t>M. Pérez‐Fortes,, A. Mian,, S. Srikanth,, L. Wang,, S. Diethelm,, E. Varkaraki,, I. Mirabelli,, R. Makkus,, R. Schoon,, F. Maréchal,, J. Van herle, Fuel Cells 19(4) (2019)</t>
  </si>
  <si>
    <t>[23]</t>
  </si>
  <si>
    <t>S.M. Javadi,, M. Moghiman, Int. J. Spray Combust. Dyn. 4(2) (2012) 175–84</t>
  </si>
  <si>
    <t>[24]</t>
  </si>
  <si>
    <t>M.P. Boyce, Gas Turbine Engineering Handbook, Elsevier, 2012, pp. 803–83.</t>
  </si>
  <si>
    <t>[25]</t>
  </si>
  <si>
    <t>A.M.I. Mamat, A. Romagnoli, R.F. Martinez-Botas, Int. J. Gas Turbine, Propuls. Power Syst. (2012) 1–8.</t>
  </si>
  <si>
    <t>[26]</t>
  </si>
  <si>
    <t>J. Larfeldt, Fuel Flexible Energy Generation: Solid, Liquid and Gaseous Fuels, Elsevier Inc., 2016, pp. 271–91.</t>
  </si>
  <si>
    <t>[27]</t>
  </si>
  <si>
    <t>Multistage Compressor - an overview | ScienceDirect Topics. Available at: https://www.sciencedirect.com/topics/engineering/multistage-compressor. Accessed March 24, 2021.</t>
  </si>
  <si>
    <t>[28]</t>
  </si>
  <si>
    <t>4.3 Gas Turbines - UnderstandingCHP.com. Available at: https://understandingchp.com/chp-applications-guide/4-3-gas-turbines/. Accessed March 24, 2021.</t>
  </si>
  <si>
    <t>[29]</t>
  </si>
  <si>
    <t>Tebodin Netherlands B.V., POSM afval(water)verwerkingsproject: Veiligheidsrapport – Gesterde delen, Schiedam, 2017.</t>
  </si>
  <si>
    <t>[30]</t>
  </si>
  <si>
    <t>Steam Tables Pressure vs Temperature. Available at: https://www.valvesonline.com.au/references/steam-tables/. Accessed March 10, 2021.</t>
  </si>
  <si>
    <t>[31]</t>
  </si>
  <si>
    <t>M. Kreijkes, Groningen–Rotterdam: Changing dynamics. The reduction of gas production in the Netherlands and the influence on the energy dependency of the Rotterdam industrial cluster. TU Delft, Delft, 2015.</t>
  </si>
  <si>
    <t>[32]</t>
  </si>
  <si>
    <t>M. Khandelwal, T. van Dril, Decarbonisation options for the Dutch biofuels industry | PBL Netherlands Environmental Assessment Agency, 2020.</t>
  </si>
  <si>
    <t>[33]</t>
  </si>
  <si>
    <t>I. Dincer,, Y. Bicer, Integrated Energy Systems for Multigeneration, Elsevier, 2020, pp. 85–142.</t>
  </si>
  <si>
    <t>LOW OLEFINS PRODUCTION</t>
  </si>
  <si>
    <t>Ethylene 876 kt/y, propylene 404 kt/y, acetylene 17 kt/y, butene 93 kt/y, butadiene 116 kt/y</t>
  </si>
  <si>
    <t xml:space="preserve">The lower olefins are the primary feedstock for most plastics, polymers and chemicals and they comprise mainly ethylene, propylene, acetylene, butene and butadiene [1]. Steam cracking is currently the most commonly applied technology for the production of lower olefins. Steam cracking involves the high temperature  pyrolysis (or cracking) of mainly saturated hydrocarbons in the presence of steam [1, 2]. The range of saturated hydrocarbons that can be used as feedstock for steam cracking is potentially wide. From the different feedstock alternatives, naphtha  from crude oil refining is far the most important feedstock [1]. Hence, in this datasheet a model for  steam cracking of naphtha feedstock is presented.
During the steam cracking of naphtha, a wide range of lower hydrocarbons are produced mainly hydrogen, methane, ethylene, ethane, acetylene, propylene, propane, butene, butadiene, benzene, other non-aromatics and other aromatics [1, 3]. Thus, after steam cracking,  the hydrocarbon mixture goes to  the downstream purification section to separate the individual components. The downstream purification step consists  of primary fractionation, gas clean-up, demethanizer, deethanize , acetylene extraction, C2-C2 splitter, depropanizer, C3-C3 splitter, debutanizer, butadiene extraction and aromatic extraction [1,2]. </t>
  </si>
  <si>
    <t xml:space="preserve">Naphtha feed at storage conditions is first  pumped (O1-P1) and preheated (O1-E1) to 5 bar and 350 °C and is then mixed with superheated steam, at a steam to naphtha ratio of 0.5 (mass basis) [2].  The mixture is then heated to 500 °C and it enters the cracker furnace (O1-R1) operating at about 850 °C to ensure cracking of naphtha to lower olefins. The reaction being highly endothermic requires heat, which is supplied by burning off-gases produced within the olefin plant.  The hot flue-gas from the furnace is used to preheat the feed and produce steam required for the process [2]. The hot olefin mixture from the furnace has an outlet pressure of 5 bar [3] and it is cooled to about 250 °C [1] (producing steam) before entering the quench tower. In the quench tower (O1-T1), the gas mixture is cooled down using recirculating quench liquid [1]. The mixture is then sent to a primary distillation tower (O1-T2) to remove heavy C9+ compounds like napthalene. The cooled  olefin mixture is then compressed to about 30 bar using multistage compressor in order to facilitate the subsequent separation of different olefins [1]. During the compression, some of the BTX compounds get liquefied and are collected in a knock-out drum and sent to the benzene section for further processing [1]. As the cracked gas contains some CO and H2S [1], the gas has to be cleaned in order to prevent downstream processing problems like plugging and catalyst poisoning. Hence, a caustic scrubber (O1-T3) is  typically used to remove unwanted gases. The scrubbing reactions are as follows:
                                               2 NaOH + H2S → Na2S + 2 H2O
                                               CO + NaOH → HCO2Na (Sodium formate)
During the scrubbing process some heavy components like benzene, toluene, p-xylene and styrene get removed from the gas and are recovered through phase separators, and then sent to the BTX section for further processing. The gas is then dried with a molecular sieve (O1-SP3) to remove any traces of water and it is sent to the downstream product separation section [2].  The downstream product separation section consists mainly of demethanizer, deethanizer, acetylene extraction, depropanizer, C3-C3 splitter, debutanizer,  butadiene extraction and benzene extraction. In this section, the dried gas from the molecular sieve is first cooled in a cryogenic cooler (O1-E7) to -50 °C [2] and then fed to the demethanizer (O1-T4) operating at 30 bar [3]. In the demethanizer, methane and all the components lighter than methane are separated from the top. The gases from the demethanizer overhead are used for cryogenic cooling within the system and expanded to atmospheric conditions before being used as fuel gas in the system. The bottom stream enters the deethanizer column (O1-T5) operating at 25 bar [3] in which ethane and lighter components are removed from top. The deethanizer overhead contains mainly ethane, ethylene and acetylene and it is sent to the acetylene extraction section [2]. The bottom of the deethanizer is sent to the depropanizer (O1-T6) column operating at 20 bar [3]. In the depropanizer, propane and lighter components are removed from the top. The overhead contains mainly propylene and propane with methyl acetylene as impurity. This overhead C3 stream is sent to a hydrogenation reactor (O1-R2) to selectively hydrogenate methyl acetylene to propylene [3, 6]. The reaction is as follows:
                                        Methyl acetylene + H2 → Propylene
From the reactor, the product stream goes to a C3-C3 splitter or propylene-propane splitter (O1-T7) working at 16 bar in which propylene product is obtained at the top and propane at the bottom [2]. The propylene product can be used to produce chemicals like propylene oxide and polypropylene. 
The bottom of the depropanizer is sent to the debutanizer column (O1-T8) operating at 15 bar. In the debutanizer, C4 components are removed from top and the bottom product is called pyrolysis gasoline or pygas. 
The overhead mixture from deethanizer column is sent to the acetylene extraction section in which acetylene is separated from ethylene using  N-N-Dimethylformamide (DMF) [7].  In the acetylene extraction section, acetylene and ethane are selectively extracted at about 20 bar using DMF in O1-T9. This mixture is then sent to a stripper (O1-T10) operating at 1.02 bar with additional DMF fed to it. This column mainly removes dissolved ethane as top product, which can be used as fuel gas for furnace outside the system, and recovers acetylene at as bottom product. The bottom product is sent to the solvent regeneration column (O1-T11) to get acetylene product from the top and the regenerated solvent is recycled back [7]. The acetylene can be used for the production of vinyl esters and ethylene for a number of chemicals like ethylbenzene, ethylene dichloride and ethylene oxide [2]. 
The overhead of debutanizer mainly contains a mixture of butane, butene and butadiene. As butadiene forms an azeotrope with butane , extractive distillation with N-methylpyrrolidone (NMP) solvent is used for separation. A two stage extraction technique is used to separate the mixture. In the first column (O1-T15), the butene rich stream is separated  from butadiene. The extract is sent to a rectification column (O1-T16) to recover the solvent. After rectification, in the third column or after washer (O1-T17)  butadiene is separated from vinyl acetylene impurity [8, 9]. The vinyl acetate is recovered from solvent in O1-T18 and solvent is recycled back. The NMP solvent used contains 10% water to increase the selectivity of solvent and the solvent recovered are recycled back to the column with 10% water by adding make-up water [8]. The butadiene (BDI) product is sent to a decanter to remove excess water and pure BDI with 99 wt.% purity is obtained [8]. The butadiene produced can be used for Nylon 6,6 production and the butene can be used for isoprene production. 
The pygas recovered at the bottom of the debutanizer contains a mixture rich in BTX (Benzene, Toluene, Xylene) and it is blended with import pygas and heart-cut reformate. 
The resulting BTX mixture is first prefractionated in O1-T12 to remove  as bottom product C7+ components which are known as pygas tail.  The top product contains mainly C6 components and this mixture undergoes extractive distillation in O1-T13 with N-formylmorpholine (NFM) solvent. The non-aromatics stream is obtained as overhead raffinate and it is send to refinery for further usage. The benzene rich solvent is sent to a stripper column (O1-T14) operating at vacuum conditions to obtain pure benzene and the solvent is recycled back [13]. 
Overall, the main by-products of the process are: effluent water, flue-gas and off-gas. The main products of the process are: Ethylene, Propylene, Acetylene, Butene, Butadiene, Benzene and debenzenised pygas (pygas tail). </t>
  </si>
  <si>
    <t>Figure 1. Process Flow Diagram- Lower Olefins Production</t>
  </si>
  <si>
    <t>Temperature ( °C )</t>
  </si>
  <si>
    <t>Pressure (bar)</t>
  </si>
  <si>
    <t>Naphtha</t>
  </si>
  <si>
    <t>ASTM D86 (IBP=26 C, FBP=183 C)</t>
  </si>
  <si>
    <t>Ethylene</t>
  </si>
  <si>
    <t>99.99% Ethylene, 0.01% ethane</t>
  </si>
  <si>
    <t>Steam</t>
  </si>
  <si>
    <t>100% water</t>
  </si>
  <si>
    <t>Propylene</t>
  </si>
  <si>
    <t>99.95% Propylene, 0.04% ethane, 0.01% propane</t>
  </si>
  <si>
    <t>Combustion air</t>
  </si>
  <si>
    <t>23% O2, 77% N2</t>
  </si>
  <si>
    <t>Acetylene</t>
  </si>
  <si>
    <t>99.62% acetylene, 0.02% propylene, 0.36% DMF</t>
  </si>
  <si>
    <t>NaOH</t>
  </si>
  <si>
    <t>50% water, 50% NaOH</t>
  </si>
  <si>
    <t>Butene mixture</t>
  </si>
  <si>
    <t>92% butene, 5% butane, 2.8% BDI, 0.2% water</t>
  </si>
  <si>
    <t>Dilution water</t>
  </si>
  <si>
    <t>Butadiene</t>
  </si>
  <si>
    <t>99.07% BDI, 0.71% butene, 0.11% water, 0.09% vinyl acetylene, 0.02% NMP</t>
  </si>
  <si>
    <t>NFM solvent</t>
  </si>
  <si>
    <t>100% NFM</t>
  </si>
  <si>
    <t>C9+ stream</t>
  </si>
  <si>
    <t>0.02% H2O, 0.36% ethylene, 0.26% propylene, 2.2% Benzene, 0.11% BDI-13, 0.03% Acetylene, 0.08% Butene, 0.08% Methane, 0.05% ethane, 0.06% methyl acetylene, 12.06% p-xylene, 0.04% propylmercaptan, 60.11% naphthalene, 2.35% toluene, 3.63% ethyl benzene, 0.02% vinyl acetylene, 18.17% styrene, 0.37% cyclopentadiene</t>
  </si>
  <si>
    <t>DMF solvent</t>
  </si>
  <si>
    <t>100% DMF</t>
  </si>
  <si>
    <t>Benzene</t>
  </si>
  <si>
    <t>99.995% benzene, 0.002% propylmercaptan, 0.001% methyhexane, 0.002% cyclohexane</t>
  </si>
  <si>
    <t>Make-up water</t>
  </si>
  <si>
    <t>Non aromatic stream</t>
  </si>
  <si>
    <t>7.52% benzene, 0.09% BDI-13, 0.06% butene, 6.7% propylene mercaptan, 0.02% vinyl acetylene, 56.45% cyclopentadiene, 27.76% hexane, 1.38% cyclohexane, 0.02% NFM</t>
  </si>
  <si>
    <t>Make-up NMP</t>
  </si>
  <si>
    <t>100% NMP</t>
  </si>
  <si>
    <t>H2 gas</t>
  </si>
  <si>
    <t>99.87% H2, 0.13% N2</t>
  </si>
  <si>
    <t>Pygas import</t>
  </si>
  <si>
    <t>70% benzene, 15% Cyclopentadiene, 10% Toluene, 5% hexane</t>
  </si>
  <si>
    <t>HC Reformate import</t>
  </si>
  <si>
    <t>50% benzene, 15% hexane, 10% 2-methyhexane, 10% 3-methyl heptane 5% o-xylene, 5% toluene, 3% ethylbenzene, 1% cyclohexane, 1% Cumene</t>
  </si>
  <si>
    <t>Waste streams</t>
  </si>
  <si>
    <t>Concentration (wt %)</t>
  </si>
  <si>
    <t>Flue gas</t>
  </si>
  <si>
    <t>74.5% N2, 11.35% O2, 6.4% water, 7.74% CO2, 0.01% propyl mercaptan</t>
  </si>
  <si>
    <t>Effluent</t>
  </si>
  <si>
    <t>79.65% water, 0.62% ethylene, 1.23% propylene, 0.08% benzene, 0.01% acetylene, 0.87% butene, 0.07% butane, 0.05% methane, 0.13% ethane, 0.03% propane, 0.08% methyl acetylene, 4.1% propyl mercaptan, 0.02% toluene, 0.06% vinyl acetylene, 4.01% cyclopentadiene, 5.22% Na2S, 3.77% sodium formate</t>
  </si>
  <si>
    <t>Dirty water (WS-DW)</t>
  </si>
  <si>
    <t>99.81% water, 0.02% ethylene, 0.01% propylene, 0.05% benzene, 0.1% propyl mercaptan, 0.01% cyclopentadiene</t>
  </si>
  <si>
    <t>Water</t>
  </si>
  <si>
    <t>Propane rich fuel gas</t>
  </si>
  <si>
    <t>98.69% propane, 0.61% propylene, 0.39% BDI-13, 0.31% butene</t>
  </si>
  <si>
    <t>Vinyl acetylene</t>
  </si>
  <si>
    <t>94.35% vinyl acetylene, 0.35% water, 4.35% BDI-13, 0.53% butene, 0.42% Cyclopentadiene</t>
  </si>
  <si>
    <t>Waste water</t>
  </si>
  <si>
    <t>99.56% water, 0.09% BDI-13, 0.35% NMP</t>
  </si>
  <si>
    <t>C7+ stream/Pygas tail</t>
  </si>
  <si>
    <t>1.41% water, 0.3% benzene, 7.08% o-xylene, 2.62% p-xylene, 51.58% toluene, 6.01% ethylbenzene, 1.17% styrene, 0.04% Na2S, 0.03% HCOONA, 14.15% methylhexane, 14.15% methyl heptane, 0.04% cyclohexane, 1.42% cumene</t>
  </si>
  <si>
    <t>Generation</t>
  </si>
  <si>
    <t>-4263</t>
  </si>
  <si>
    <t>kt/y value is kW</t>
  </si>
  <si>
    <t>Breakdown of requirements</t>
  </si>
  <si>
    <t>Unit name</t>
  </si>
  <si>
    <t>Unit description</t>
  </si>
  <si>
    <t>Duty - MJ/hr</t>
  </si>
  <si>
    <t>Duty - TJ/y</t>
  </si>
  <si>
    <t>Mass - ktonne/y</t>
  </si>
  <si>
    <t>Power - KW</t>
  </si>
  <si>
    <t>Energy- GWh/y</t>
  </si>
  <si>
    <t>Energy- TJ/y</t>
  </si>
  <si>
    <t>ACET-EXT.O1-P3</t>
  </si>
  <si>
    <t>BENZENE.O1-P6</t>
  </si>
  <si>
    <t>BENZENE.O1-P7</t>
  </si>
  <si>
    <t>BENZENE.O1-C5</t>
  </si>
  <si>
    <t>ACET-EXT.O1-T9</t>
  </si>
  <si>
    <t>SCRUB.O1-P2</t>
  </si>
  <si>
    <t>BENZENE.O1-T13</t>
  </si>
  <si>
    <t>SPLITTER.O1-C3</t>
  </si>
  <si>
    <t>Value taken as negative as it is a turbine</t>
  </si>
  <si>
    <t>BENZENE.O1-T19</t>
  </si>
  <si>
    <t>O1-P1</t>
  </si>
  <si>
    <t>SPLITTER.O1-E12</t>
  </si>
  <si>
    <t>O1-P4</t>
  </si>
  <si>
    <t>SPLITTER.O1-T4</t>
  </si>
  <si>
    <t>O1-P5</t>
  </si>
  <si>
    <t>SPLITTER.O1-T5</t>
  </si>
  <si>
    <t>O1-C2</t>
  </si>
  <si>
    <t>SPLITTER.O1-T6</t>
  </si>
  <si>
    <t>O1-C1</t>
  </si>
  <si>
    <t>SPLITTER.O1-T7</t>
  </si>
  <si>
    <t>O1-P8</t>
  </si>
  <si>
    <t>O1-E18</t>
  </si>
  <si>
    <t>O1-P9</t>
  </si>
  <si>
    <t>O1-T15</t>
  </si>
  <si>
    <t>O1-C4</t>
  </si>
  <si>
    <t>BENZENE.O1-T12</t>
  </si>
  <si>
    <t>ACET-EXT.O1-T11</t>
  </si>
  <si>
    <t>BENZENE.O1-T14</t>
  </si>
  <si>
    <t>SCRUB.O1-E23</t>
  </si>
  <si>
    <t>SPLITTER.O1-T8</t>
  </si>
  <si>
    <t>O1-T6</t>
  </si>
  <si>
    <t>O1-E4</t>
  </si>
  <si>
    <t>O1-T8</t>
  </si>
  <si>
    <t>O1-E17</t>
  </si>
  <si>
    <t>O1-E5</t>
  </si>
  <si>
    <t>O1-T16</t>
  </si>
  <si>
    <t>O1-E22</t>
  </si>
  <si>
    <t>O1-T17</t>
  </si>
  <si>
    <t>O1-T2</t>
  </si>
  <si>
    <t>O1-T18</t>
  </si>
  <si>
    <t>O1-E20</t>
  </si>
  <si>
    <t>O1-E3</t>
  </si>
  <si>
    <t>Very High pressure steam</t>
  </si>
  <si>
    <t>Refrigerant-1</t>
  </si>
  <si>
    <t>O1-E16</t>
  </si>
  <si>
    <t>Refrigerant-2</t>
  </si>
  <si>
    <t>ACET-EXT.O1-T10</t>
  </si>
  <si>
    <t>HS-13</t>
  </si>
  <si>
    <t>Heat stream</t>
  </si>
  <si>
    <t>The heat stream is manually provided to get the required temperature. Hence the mass flow is manually calculated</t>
  </si>
  <si>
    <t>Refrigerant-3</t>
  </si>
  <si>
    <t>O1-E19</t>
  </si>
  <si>
    <t>O1-E21</t>
  </si>
  <si>
    <t>HS-14 (stream name)</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</si>
  <si>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</si>
  <si>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 xml:space="preserve"> Heino Falcke, Simon Holbrook, Iain Clenahan, Alfredo Lopez Carretero, Teoman Sanalan, Thomas Brinkmann, Joze Roth, Benoit Zerger, Serge Roudier and Luis Delgado Sancho, "Best Available Techniques (BAT) Reference Document for the Production of Large Volume Organic Chemicals," European Commission/JRC , 2017.</t>
  </si>
  <si>
    <t xml:space="preserve"> Louise Wong and Ton van Dril, "Decarbonisation options for large volume organic chemicals production, Shell Moerdijk," PBL Netherlands Environmental Assessment Agency and TNO EnergieTransitie, The Hague, 2020.</t>
  </si>
  <si>
    <r>
      <rPr>
        <rFont val="Calibri"/>
        <color rgb="FF000000"/>
        <sz val="11.0"/>
      </rPr>
      <t xml:space="preserve"> Heinz Zimmermann and Roland Walzi, "Ethylene," in </t>
    </r>
    <r>
      <rPr>
        <rFont val="Calibri"/>
        <i/>
        <color rgb="FF000000"/>
        <sz val="11.0"/>
      </rPr>
      <t>Ullmann's Encyclopedia of Industrial Chemistry</t>
    </r>
    <r>
      <rPr>
        <rFont val="Calibri"/>
        <color rgb="FF000000"/>
        <sz val="11.0"/>
      </rPr>
      <t>, Wiley-VCH Verlag GmbH &amp; Co. KGaA, Weinheim, 2012, pp. 464-529, Vol. 13.</t>
    </r>
  </si>
  <si>
    <t xml:space="preserve"> Mark Muldoon, Kirsten Rosselot P.E and V. M. Torres, "Refinery Intermediate Product Literature Review," Texas Commission on Environmental Quality, 2014.</t>
  </si>
  <si>
    <t xml:space="preserve"> NOVA Chemicals, "Safety Data Sheet for Pyrolysis Fuel Oil," 2019.</t>
  </si>
  <si>
    <r>
      <rPr>
        <rFont val="Calibri"/>
        <color rgb="FF000000"/>
        <sz val="11.0"/>
      </rPr>
      <t xml:space="preserve"> R Gobbo, R P Soares, M A Lansarin, A R Secchi and J. M. P. Ferreira, "Modeling, Simulation and Optimization of a front-end system for acetylene hydrogentaion reactors," </t>
    </r>
    <r>
      <rPr>
        <rFont val="Calibri"/>
        <i/>
        <color rgb="FF000000"/>
        <sz val="11.0"/>
      </rPr>
      <t xml:space="preserve">Brazilian Journal of Chemical Engineering, </t>
    </r>
    <r>
      <rPr>
        <rFont val="Calibri"/>
        <color rgb="FF000000"/>
        <sz val="11.0"/>
      </rPr>
      <t xml:space="preserve">vol. 21, no. 4, pp. 545-556, 2004. </t>
    </r>
  </si>
  <si>
    <t xml:space="preserve">[7] </t>
  </si>
  <si>
    <t>The Linde Group, "Acetylene Recovery Units (ARUs): From the pioneer and leader in continuous recovery technology," Linde AG, 2018.</t>
  </si>
  <si>
    <t xml:space="preserve">[8] </t>
  </si>
  <si>
    <r>
      <rPr>
        <rFont val="Calibri"/>
        <color rgb="FF000000"/>
        <sz val="11.0"/>
      </rPr>
      <t xml:space="preserve">Joachim Grub and Eckhard Loser, "Butadiene," in </t>
    </r>
    <r>
      <rPr>
        <rFont val="Calibri"/>
        <i/>
        <color rgb="FF000000"/>
        <sz val="11.0"/>
      </rPr>
      <t>Ullmann's Encyclopedia of Industrial Chemistry</t>
    </r>
    <r>
      <rPr>
        <rFont val="Calibri"/>
        <color rgb="FF000000"/>
        <sz val="11.0"/>
      </rPr>
      <t>, Wiley-VCH Verlag GmbH &amp; Co. KGaA, Weinheim, 2012, pp. 381- 396, Vol. 6.</t>
    </r>
  </si>
  <si>
    <t xml:space="preserve">[9] </t>
  </si>
  <si>
    <t>ZEON Corporation, "Butadiene Recovery," ZEON, [Online]. Available: http://www.zeon.co.jp/business_e/enterprise/license/license1.html. [Accessed 2020].</t>
  </si>
  <si>
    <t xml:space="preserve"> Shell Chemicals Europe B V, "Safety Data Sheet: Pygas," 2020.</t>
  </si>
  <si>
    <t xml:space="preserve"> ExxonMobil, "VEILIGHEIDSINFORMATIEBLAD: RBHC," 2016.</t>
  </si>
  <si>
    <t xml:space="preserve"> Shell Chemicals Europe B V, "Safety Data Sheet: Reformate HC," 2019.</t>
  </si>
  <si>
    <t xml:space="preserve"> Shell Moerdijk/BBS, "Veiligheidsrapport SNC Moerdijk, Hoofdstuc 3: Analyse en gedetailleerde uitwerking van scenario's," 2011.</t>
  </si>
  <si>
    <r>
      <rPr>
        <rFont val="Calibri"/>
        <color rgb="FF000000"/>
        <sz val="11.0"/>
      </rPr>
      <t xml:space="preserve"> YoungHoon Kim, SungYoung Kim and Bomsock Lee, "Simulation of 1,3-butadiene extractive distillation process using N-methyl-2-pyrrolidone solvent," </t>
    </r>
    <r>
      <rPr>
        <rFont val="Calibri"/>
        <i/>
        <color rgb="FF000000"/>
        <sz val="11.0"/>
      </rPr>
      <t xml:space="preserve">Korean J. Chem. Eng., </t>
    </r>
    <r>
      <rPr>
        <rFont val="Calibri"/>
        <color rgb="FF000000"/>
        <sz val="11.0"/>
      </rPr>
      <t xml:space="preserve">vol. 29, no. 11, pp. 1493-1499, 2012. </t>
    </r>
  </si>
  <si>
    <r>
      <rPr>
        <rFont val="Calibri"/>
        <color rgb="FF000000"/>
        <sz val="11.0"/>
      </rPr>
      <t xml:space="preserve"> Frank M A Geilen, Guido Stochniol, Stephan Peitz and Ekkehard Schulte-Koerne, "Butenes," in </t>
    </r>
    <r>
      <rPr>
        <rFont val="Calibri"/>
        <i/>
        <color rgb="FF000000"/>
        <sz val="11.0"/>
      </rPr>
      <t>Ullmann's Encyclopedia of Industrial Chemistry</t>
    </r>
    <r>
      <rPr>
        <rFont val="Calibri"/>
        <color rgb="FF000000"/>
        <sz val="11.0"/>
      </rPr>
      <t>, Wiley-VCH Verlag GmbH &amp; Co. KGaA, Weinheim, 2013, pp. 1-13.</t>
    </r>
  </si>
  <si>
    <t xml:space="preserve">[16] </t>
  </si>
  <si>
    <t>Uwe Stabel and P. Deckert, "Method for obtaining aromatic hydrocarbon from a hydrocarbon mixture". United States Patent US 8,362,314 B2, 2013.</t>
  </si>
  <si>
    <t xml:space="preserve"> Jelle Gerard Wijnja, "New Technologies in Ethylene Cracking Furnace Design," TechnipFMC, 2017.</t>
  </si>
  <si>
    <t xml:space="preserve"> FLOWSERVE, "Refinery Processes Industry Guide," Flow Control Division.</t>
  </si>
  <si>
    <t>AROMATICS PLANT</t>
  </si>
  <si>
    <t>Benzene 892 kt/y, o-xylene production 186 kt/y, p-xylene 754 kt/y</t>
  </si>
  <si>
    <t xml:space="preserve">Aromatics are a category of compounds based on benzene rings at their cores. Aromatics plants produce chemicals like benzene, toluene, xylenes, ethylbenzene, cyclohexane, styrene, nitrobenzene (with some exceptions, like furans). The primary source of aromatics is the crude from the catalytic reforming process, also called reformate, which is used after the lighter (C4-C5) compounds have been removed. Another source of aromatics is the naphtha obtained as an outcome of the steam cracking process, called pyrolysis gas or pygas.  The pygas obtained from crackers has a higher content of sulphur compounds compared to the reformate [2]. Thus, a desulphurization step is required as a pre-treatment to avoid catalyst poisoning. Moreover, a hydrofining process is required to hydrogenate (di)olefins and unsaturated aromatics from the pygas and reformate [6]. Overall, the pre-treatment section comprises pre-distillation to remove heavy compounds (C9+), and hydrogenation and stabilizing sections to remove sulphur compounds [6].
After the pre-treatment, the gas mix goes to a sulfolane extraction unit (SEU) to separate the aromatics from the non-aromatics using extractive distillation, since a normal distillation will not be efficient to separate these close boiling compounds. The distillate product contains light component and non-aromatics (like methylheptane) and some sulfolane and thus, it is sent to water stripping to recover the remaining solvent and non-aromatics. On the other hand, the bottom product from the extraction column is sent to a solvent regeneration column, where pure sulfolane is recovered and used back in the extraction process. The concentrated BTX (Benzene, toluene and xylenes) is now sent to clay pre-treatment to remove the remaining olefins and light compounds, and is further sent to the fractionation section [6].
In the fractionation section, each individual aromatic component is subsequently separated in a distillation column- starting with benzene, followed by toluene and finally in the third column the xylenes are recovered. The further the toluene disproportionation to produce benzene and xylenes (selectively para-xylene) is addressed, as well as the isomerization of meta-xylene to produce ortho- and para-xylenes. Para- and Ortho- xylenes are the end products of the Xylene separation unit. </t>
  </si>
  <si>
    <t xml:space="preserve">The aromatics plant consists of several sections including pre-distillation, hydrogenation, desulfurization, BTX extraction using sulfonale as solvent, clay treatment, BTX fractionation into benzene, toluene and xylenes. These sections are followed by toluene disproportionation into benzene and xylenes and finally the xylenes cryztallization,  isomerization and separation section. All of these processes take place over a wide range of temperature and pressures. For instance, it goes from pre-distillation in vacuum (0.2-1.02 bar) to toluene disproportionation at high pressures (30 bar), from xylenes isomerization at high temperatures (400˚C) to crystallization using refrigerants (-15˚C).
Pre-distillation section: The reformate and pygas enter the process at 25˚C and 1,02 bar and are mixed with the C7+  fraction to be pre-treated together (feed conditioning process). For this, the mixed feed is first heated to 116˚ C and then sent to an atmospheric pre-distillation step to remove the C9+ components like 1,2,4-Trimethylbenzene and dicyclopentadiene. A second distillation column operating under vacuum (0 .2 bar) is used to avoid the polymerization reactions and improve the separation of the C9+ components from the aromatic mix [6]. 
Hydrotreating section: The mixture free of C9+ components is subsequently hydrogenated, in which the diolefins and unsaturated aromatics (isoprene, styrene, butadiene, etc.) are treated with hydrogen to create saturated hydrocarbons. A trickle bed reactor with nickel or palladium-based catalysts working at 400˚ C and 26 bar is used for the hydrogenation process [6], [8]. Part of the reactor effluent is recycled back to the hydrotreating step to keep the reactor temperature down. The recycled stream is cooled down to 120 ˚C and mixed with the main feed and fresh hydrogen before entering the hydrotreating reactor. The reactor system is normally designed for a ratio of recycled to fresh feed of between 2:1 and 3:1 [6]. The remaining part of the effluent, is sent to the second hydrogenation step. The feed to the second reactor is mixed with  recycled hydrogen and raised to the required feed temperature of 275 ˚C.  In this step, the sulphur compounds are reduced mainly to H2S over cobalt/molybdenum catalyst [6]. This unit also reduces the olefins to paraffins over nickel/molybdenum catalyst. The reactor effluent is cooled down through heat transfer with the reactor’s inlet flow, and is sent to a hot vapour-liquid separator drum. The vapour from this drum is further cooled down to -36˚ C and sent to a cold vapour-liquid separator drum from which the gas consisting of hydrogen and lighter hydrocarbons is sent to the compressor and recycled and mixed with the 2nd reactor feed [6], [8], [9]. A recycle gas purge is maintained to avoid accumulation of light hydrocarbons in the hydrogen-rich stream. 
From the vapour-liquid separators, the liquid streams are collected and distilled at ambient conditions to remove H2S, which is recovered as distillate and vented out as raffinate [6]. The bottom stream is sent to extraction section for non-aromatics separation.
Sulfonale extraction section: Since the aromatics and non-aromatics have close boiling points, it is not possible to separate them effectively by asimple distillation process. Instead, a 99% sulfolane solvent is used to extract the aromatics and separate the non-aromatics in a single column [10]. The sulfolane extraction unit operates at 2 bar and between 125-180˚C. The distillate from the extraction column goes to a raffinate wash column, where the excess sulfolane solvent is washed down with water and the non-aromatic distillate is vented from the top as a gasoline product [1]. The sulfolane-water stream from the wash column is sent to a decanter, where the remaining non-aromatics are removed from the water and sulfonale[11].  
On the other hand, the bottom stream from the sulfonale extraction column is sent to a solvent recovery column operating under vacuum (0,4 bar) to recover the sulfolane solvent and concentrate the aromatics product stream. The solvent-rich stream is mixed with the solvent from the decanter and then pumped back to the extraction column[11]. The concentrated BTX obtained as a distillate from this unit, after been hydrotreated and distilled to remove the dienes and at least 70% of the olefins, it is clay treated to remove the remaining olefins. The clay treating is carried out at a temperature of 100 °C and at a pressure of 7.9 bar [12].
BTX Separation: This distillate, rich in aromatics, is then fractionated in a series of distillation columns to recover Benzene (Purity 99.99%), Toluene and Xylenes at vacuum conditions (0.5-0.8 bar)[6]. 
Toluene Disproportionation: The toluene obtained from the second column is mixed with hydrogen. The hydrogen-to-toluene ratio is about 1 to 1.5. The mixed stream is heated against reactor effluent and through a process furnace. The heated vapor stream flows to the reactor, which produces the benzene and xylenes (majorly p-xylene, with &gt;96% selectivity) in a disproportionation reaction operated at 400˚C and 30 bar [1], [13]–[15]. 
The toluene disproportionation reactions are mildly exothermic and thus, the reactor effluent is cooled and sent to a separator, where the hydrogen-rich vapor phase is separated from the liquid stream. A small portion of the vapor phase is purged to control recycle hydrogen purity. The recycled hydrogen is then compressed, mixed with makeup hydrogen and returned to the reactor [14], [15].
About 50% Toluene is disproportionated to benzene and (mixed) xylenes [6]. The reaction mixture is then recycled back to the beginning of the fractionation to separate out benzene and xylenes. 
Xylenes Loop: The xylenes mixture from the bottom of the last column of the BTX fractionation section is pumped to the xylenes separation section. In this section, ortho-xylene is recovered in a first column as a bottoms product (mole purity of 99.5%), leaving the meta and para xylenes (along with ethylbenzene) in the distillate[16]. This distillate, is then cooled to 20 ˚C and sent to a crystallizer unit operating at -15 ˚C to separate out para-xylene from the stream [6], [17]. Para-xylene has the highest melting point among the xylenes (13,3˚C, compared to -25,2˚C for o-xylene and -47,9 ˚C for m-xylene) and can be removed from the mixture by crystallization, which has certain advantages over zeolites adsorption process [6][18][19]. A product mass purity of about 99,5% para-xylene is obtained from this separation [18]. 
The remaining raffinate stream is further sent to a Liquid Isoformer Unit (LIU) in gas phase under hydrogen pressure, where the meta-xylene is converted to ortho- and para-xylenes at &gt;400˚C [1]. In essence, an equilibrium between the compositions of xylenes from before the crystallization unit is obtained in the isoformer unit [6]. As a side reaction of the isoformer, ethylbenzene is converted to benzene and ethane in a hydrogen-rich environment [1].
At least 50% conversion of ethyl benzene in the feed which is isomerized [20]. After the isomerization, the reactor effluent is passed to a separator where the liquid phase comprising benzene and xylenes is separated from the gaseous phase comprising hydrogen, ethane, and some benzene. The gaseous phase withdrawn from separator is cooled, typically about 10 ˚C and 14 bar, and introduced into a series of absorption towers with intermediate cooling to separate the hydrogen [22] and recycle it back to the isoformer, while the benzene and remaining ethane are removed from the rich-xylenes stream by distillation [1]. The benzene is recovered as distillate and is recycled back to the SEU for subsequent benzene recovery [23]. The bottoms stream from the distillation is sent to a deheptanizer to remove the C7+ components from the mixture, and the xylenes-rich stream recovered from this column is recycled back to the xylenes separation section to recover ortho- and para- xylene concentrates[6]. </t>
  </si>
  <si>
    <t>Figure 1. Process Flow Diagram- Aromatics Production</t>
  </si>
  <si>
    <t>Stream Name</t>
  </si>
  <si>
    <t>Temp (˚C)</t>
  </si>
  <si>
    <t>Reformate</t>
  </si>
  <si>
    <t>FS-REFM</t>
  </si>
  <si>
    <t>Reported below</t>
  </si>
  <si>
    <t>Benzene product</t>
  </si>
  <si>
    <t>PS-BENZ</t>
  </si>
  <si>
    <t>Benzene (99.99%)</t>
  </si>
  <si>
    <t>Pygas</t>
  </si>
  <si>
    <t>FS-PYGAS</t>
  </si>
  <si>
    <t>O-xylene product</t>
  </si>
  <si>
    <t>PS-OXYL</t>
  </si>
  <si>
    <t>o-xylene (99.54%), m-xylene (0.02%), p-xylene (0.41%), cumene (0.02%)</t>
  </si>
  <si>
    <t>FS-C7+</t>
  </si>
  <si>
    <t>Benzene (0.2%), Toluene (40.3%), o-Xylene (5.5%), m-Xylene (8.5%), Water (2%), Naphth (3.3%), Styrene (10.6%), EB (6.6%), 2-MEHX (10.9%), 3-MEHP (10.9%), Cumene (1.2%)</t>
  </si>
  <si>
    <t xml:space="preserve">P-xylene product </t>
  </si>
  <si>
    <t>PS-PXYL</t>
  </si>
  <si>
    <t>o-xylene (0.11%), p-xylene (99.78%), EB (0.11%)</t>
  </si>
  <si>
    <t>H2 for hydrofining</t>
  </si>
  <si>
    <t>FS-H2</t>
  </si>
  <si>
    <t>H2 (99.87%), N2 (0.13%)</t>
  </si>
  <si>
    <t>H2 for desulphurization</t>
  </si>
  <si>
    <t>FS-H2IN</t>
  </si>
  <si>
    <t>H2 for Toluene disproportionation</t>
  </si>
  <si>
    <t>FS-H2TOL</t>
  </si>
  <si>
    <t>H2 for Isoformer unit</t>
  </si>
  <si>
    <t>FS-HYDRO</t>
  </si>
  <si>
    <t>Water for wash</t>
  </si>
  <si>
    <t>FS-WAT</t>
  </si>
  <si>
    <t>Water (100%)</t>
  </si>
  <si>
    <t>Composition (mass)</t>
  </si>
  <si>
    <t>Flowrate - ktonne/y</t>
  </si>
  <si>
    <t>Solvent</t>
  </si>
  <si>
    <t>FS-SULFO</t>
  </si>
  <si>
    <t>Sulfonale (99%), Water (1%)</t>
  </si>
  <si>
    <t>Remaining heavy components C9+</t>
  </si>
  <si>
    <t>WS-2C9+</t>
  </si>
  <si>
    <t>o-xylene (8.87%), m-xylene (0.93%), p-xylene (1.03%), SL (0.73%), NAPH (0.01%), DCYPD (17.81%), EB (0.15%), TMB (61.88%), Cumene (8.58%)</t>
  </si>
  <si>
    <t>Heavy components C9+</t>
  </si>
  <si>
    <t>WS-C9+</t>
  </si>
  <si>
    <t>o-xylene (0.10%), NAPH (23.15%), DCYPD (12.18%), Styrene (0.12%), TMB (64.00%), BZAC (0.34%), Cumene (0.11%)</t>
  </si>
  <si>
    <t>Ethane by-product</t>
  </si>
  <si>
    <t>WS-ETHAN</t>
  </si>
  <si>
    <t>H2 (0.07%), N2 (0.01%), N-C2A (99.92%)</t>
  </si>
  <si>
    <t>Aromatics removed from Hydrogen</t>
  </si>
  <si>
    <t>WS-HEAVY</t>
  </si>
  <si>
    <t>BZ (42.83%), TOL (0.63), o-xylene (2.24%), m-xylene (37.58%), p-xylene (15.21%), EB (1.50%)</t>
  </si>
  <si>
    <t>C7 components</t>
  </si>
  <si>
    <t>WS-HEPT</t>
  </si>
  <si>
    <t>BZ (5.82%), TOL (18.37), m-xylene (49.88%), p-xylene (23.29%), EB (2.64%)</t>
  </si>
  <si>
    <t>Benzene/Hydrogen</t>
  </si>
  <si>
    <t>WS-OFFG</t>
  </si>
  <si>
    <t>BZ (92.46%), H2 (7.53%)</t>
  </si>
  <si>
    <t>C1-C5 Hydrocarbons</t>
  </si>
  <si>
    <t>WS-OFFGA</t>
  </si>
  <si>
    <t>H2O (0.72%), H2 (0.11%), H2S (0.07%), N-C4A (3.54%), N-C1A (0.03%), I-C5A (81.83%), CYPD (0.03%), N-C5A (11.36%), I-C4A (2.32%)</t>
  </si>
  <si>
    <t>Hydrogen purge (desulfurization)</t>
  </si>
  <si>
    <t>WS-PRG</t>
  </si>
  <si>
    <t>BZ (0.06%), H2O (0.04%), H2 (87.86%), N2 (0.21%), H2S (0.47%), N-C4A (1.56%), N-C1A (2.82%), CYHEX (0.02%), MCP (0.06%), I-C5A (4.88%), N-C5A (0.38%), I-C4A (1.83%)</t>
  </si>
  <si>
    <t>Sulfonale purge</t>
  </si>
  <si>
    <t>WS-PRG1</t>
  </si>
  <si>
    <t>SL (99.13%), H2O (0.87%)</t>
  </si>
  <si>
    <t>Benzene purge</t>
  </si>
  <si>
    <t>WS-PRG4</t>
  </si>
  <si>
    <t>BZ (98.77%), TOL (0.03%), N-C2A (1.20%)</t>
  </si>
  <si>
    <t>Hydrogen purge (isomerization)</t>
  </si>
  <si>
    <t>WS-PRG5</t>
  </si>
  <si>
    <t>H2 (98.52%), N-C2A (1.48%)</t>
  </si>
  <si>
    <t>Hydrogen purge (disproportionation)</t>
  </si>
  <si>
    <t>WS-PRG6</t>
  </si>
  <si>
    <t>BZ (4.85%), TOL (3.02%), m-xylene (0.01%), p-xylene (0.47%), H2 (91.57%), N2 (0.07%)</t>
  </si>
  <si>
    <t>Non-aromatics</t>
  </si>
  <si>
    <t>WS-RAFF</t>
  </si>
  <si>
    <t>BZ (0.07%), H2O (14.7%), CYHEX (27.22%), MCP (50.34%), I-C5A (0.04%), DMP (2.52%), MEHX (4.72%), MEHP (0.09%), N-C5A (0.08%), N-C2A (0.23%)</t>
  </si>
  <si>
    <t>WS-RAFF2</t>
  </si>
  <si>
    <t>PY (100%)</t>
  </si>
  <si>
    <t>Light gases and benzene</t>
  </si>
  <si>
    <t>WS-RAFF3</t>
  </si>
  <si>
    <t>BZ (33.86%), H2 (0.37%), N-C2A (65.76%)</t>
  </si>
  <si>
    <t xml:space="preserve">Water and sulfonale </t>
  </si>
  <si>
    <t>WS-WW</t>
  </si>
  <si>
    <t>SL (4.41%), H2O (95.56%), DMP (0.02%)</t>
  </si>
  <si>
    <t>Non-aromatics 2</t>
  </si>
  <si>
    <t>WS-NONAR</t>
  </si>
  <si>
    <t>SL (0.05%), H2O (0.06%) CYHEX (0.17%), MCP (0.28%), DMP (46.23%), MEHX (2.20%), MEHP (50.96%), N-C2A (0.05%)</t>
  </si>
  <si>
    <t>in</t>
  </si>
  <si>
    <t>out</t>
  </si>
  <si>
    <t xml:space="preserve">Chilled water </t>
  </si>
  <si>
    <t>MJ/kg</t>
  </si>
  <si>
    <t>18424,94</t>
  </si>
  <si>
    <t>0</t>
  </si>
  <si>
    <t>Med pressure steam</t>
  </si>
  <si>
    <t xml:space="preserve">Unit </t>
  </si>
  <si>
    <t>Duty MJ/h</t>
  </si>
  <si>
    <t>Energy - TJ/y</t>
  </si>
  <si>
    <t>A1-E1</t>
  </si>
  <si>
    <t>A1-T1</t>
  </si>
  <si>
    <t>A1-E7</t>
  </si>
  <si>
    <t>A1-T4</t>
  </si>
  <si>
    <t>A1-E11</t>
  </si>
  <si>
    <t>A1-T11</t>
  </si>
  <si>
    <t>A1-E50</t>
  </si>
  <si>
    <t>A1-T2</t>
  </si>
  <si>
    <t>A1-T10</t>
  </si>
  <si>
    <t>A1-T12</t>
  </si>
  <si>
    <t>A1-T13</t>
  </si>
  <si>
    <t>A1-E9</t>
  </si>
  <si>
    <t>Energy GWh/y</t>
  </si>
  <si>
    <t>Usage (kW)</t>
  </si>
  <si>
    <t>A1-P3</t>
  </si>
  <si>
    <t>A1-P4</t>
  </si>
  <si>
    <t>A1-P5</t>
  </si>
  <si>
    <t>A1-T6</t>
  </si>
  <si>
    <t>A1-P6</t>
  </si>
  <si>
    <t>A1-R1</t>
  </si>
  <si>
    <t>A1-P7</t>
  </si>
  <si>
    <t>A1-P8</t>
  </si>
  <si>
    <t>A1-P9</t>
  </si>
  <si>
    <t>Very high pressure steam</t>
  </si>
  <si>
    <t>A1-P10</t>
  </si>
  <si>
    <t>A1-P11</t>
  </si>
  <si>
    <t>A1-E26</t>
  </si>
  <si>
    <t>A1-P12</t>
  </si>
  <si>
    <t>A1-E35</t>
  </si>
  <si>
    <t>A1-P13</t>
  </si>
  <si>
    <t>A1-R3</t>
  </si>
  <si>
    <t>A1-P14</t>
  </si>
  <si>
    <t>A1-P15</t>
  </si>
  <si>
    <t>A1-C1</t>
  </si>
  <si>
    <t>A1-C2</t>
  </si>
  <si>
    <t>A1-C3</t>
  </si>
  <si>
    <t>A1-C4</t>
  </si>
  <si>
    <t>A1-E3</t>
  </si>
  <si>
    <t>A1-C5</t>
  </si>
  <si>
    <t>A1-E4</t>
  </si>
  <si>
    <t>A1-C6</t>
  </si>
  <si>
    <t>A1-E8</t>
  </si>
  <si>
    <t>A1-E10</t>
  </si>
  <si>
    <t>A1-E12</t>
  </si>
  <si>
    <t>A1-E13</t>
  </si>
  <si>
    <t>A1-E20</t>
  </si>
  <si>
    <t>A1-E14</t>
  </si>
  <si>
    <t>A1-E29</t>
  </si>
  <si>
    <t>A1-E15</t>
  </si>
  <si>
    <t>A1-E32</t>
  </si>
  <si>
    <t>A1-E17</t>
  </si>
  <si>
    <t>A1-E41</t>
  </si>
  <si>
    <t>A1-E19</t>
  </si>
  <si>
    <t>A1-E49</t>
  </si>
  <si>
    <t>A1-E25</t>
  </si>
  <si>
    <t>A1-E28</t>
  </si>
  <si>
    <t>A1-E30</t>
  </si>
  <si>
    <t xml:space="preserve">Very low pressure steam </t>
  </si>
  <si>
    <t>A1-E31</t>
  </si>
  <si>
    <t>A1-E40</t>
  </si>
  <si>
    <t>A1-E2</t>
  </si>
  <si>
    <t>A1-E43</t>
  </si>
  <si>
    <t>A1-E6</t>
  </si>
  <si>
    <t>A1-E44</t>
  </si>
  <si>
    <t>A1-E16</t>
  </si>
  <si>
    <t>A1-E45</t>
  </si>
  <si>
    <t>A1-E21</t>
  </si>
  <si>
    <t>A1-E46</t>
  </si>
  <si>
    <t>A1-E23</t>
  </si>
  <si>
    <t>A1-E47</t>
  </si>
  <si>
    <t>A1-E24</t>
  </si>
  <si>
    <t>A1-E48</t>
  </si>
  <si>
    <t>A1-E27</t>
  </si>
  <si>
    <t>A1-E42</t>
  </si>
  <si>
    <t>A1-T3</t>
  </si>
  <si>
    <t>A1-T8</t>
  </si>
  <si>
    <t>A1-T9</t>
  </si>
  <si>
    <t>A1-E18</t>
  </si>
  <si>
    <t>Refrigerant R1150</t>
  </si>
  <si>
    <t>A1-SP6</t>
  </si>
  <si>
    <t>Crystallization</t>
  </si>
  <si>
    <t>Refrigerant R41</t>
  </si>
  <si>
    <t>A1-E5</t>
  </si>
  <si>
    <t>A1-E33</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</si>
  <si>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</si>
  <si>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V. Advani and T. van Dril, “Decarbonisation options for ExxonMobil Chemicals Rotterdam,” no. August, pp. 1–40, 2020.</t>
  </si>
  <si>
    <t>C. M. Sorensen, R. Song, and T. J. Mazanec, “PROCESSES FOR CONVERTING BIOMASS TO BTX WITH LOW SULFUR, NITROGEN AND OLEFIN CONTENT VIA A CATALYTIC FAST PYROLYSIS PROCESS ,” WO 2016/004206 Al, Jan. 07, 2016.</t>
  </si>
  <si>
    <r>
      <rPr>
        <rFont val="Calibri"/>
        <color theme="1"/>
        <sz val="11.0"/>
      </rPr>
      <t xml:space="preserve">N. Shedid Ali, “The Effect of Compositions (PIONA) on the Octane Numbers of Environmental Gasolines of Reformate, Isomerate and Hydrocracked Naphtha Blends by Using GC,” </t>
    </r>
    <r>
      <rPr>
        <rFont val="Calibri"/>
        <i/>
        <color theme="1"/>
        <sz val="11.0"/>
      </rPr>
      <t>Int. J. Oil, Gas Coal Eng.</t>
    </r>
    <r>
      <rPr>
        <rFont val="Calibri"/>
        <color theme="1"/>
        <sz val="11.0"/>
      </rPr>
      <t>, vol. 5, no. 6, p. 167, 2017, doi: 10.11648/j.ogce.20170506.17.</t>
    </r>
  </si>
  <si>
    <r>
      <rPr>
        <rFont val="Calibri"/>
        <color theme="1"/>
        <sz val="11.0"/>
      </rPr>
      <t xml:space="preserve">S. Ito, “Analysis of Aromatic Hydrocarbons in Gasoline and Naphtha with the Agilent 6820 Series Gas Chromatograph and a Single Polar Capillary Column Application,” </t>
    </r>
    <r>
      <rPr>
        <rFont val="Calibri"/>
        <i/>
        <color theme="1"/>
        <sz val="11.0"/>
      </rPr>
      <t>Agil. Technol.</t>
    </r>
    <r>
      <rPr>
        <rFont val="Calibri"/>
        <color theme="1"/>
        <sz val="11.0"/>
      </rPr>
      <t>, 2003.</t>
    </r>
  </si>
  <si>
    <r>
      <rPr>
        <rFont val="Calibri"/>
        <color theme="1"/>
        <sz val="11.0"/>
      </rPr>
      <t xml:space="preserve">J. G. Speight and J. G. Speight, </t>
    </r>
    <r>
      <rPr>
        <rFont val="Calibri"/>
        <i/>
        <color theme="1"/>
        <sz val="11.0"/>
      </rPr>
      <t>Introduction to Refining Processes</t>
    </r>
    <r>
      <rPr>
        <rFont val="Calibri"/>
        <color theme="1"/>
        <sz val="11.0"/>
      </rPr>
      <t>. 2016.</t>
    </r>
  </si>
  <si>
    <r>
      <rPr>
        <rFont val="Calibri"/>
        <color theme="1"/>
        <sz val="11.0"/>
      </rPr>
      <t xml:space="preserve">European IPPC Bureau, </t>
    </r>
    <r>
      <rPr>
        <rFont val="Calibri"/>
        <i/>
        <color theme="1"/>
        <sz val="11.0"/>
      </rPr>
      <t>Best Available Techniques (BAT) Reference Document for the Production of Large Volume Organic Chemicals</t>
    </r>
    <r>
      <rPr>
        <rFont val="Calibri"/>
        <color theme="1"/>
        <sz val="11.0"/>
      </rPr>
      <t>. 2017.</t>
    </r>
  </si>
  <si>
    <t>M. C. Roberts, J. D., &amp; Caserio, “22 . 11 : Sources and Uses of Aromatic Hydrocarbons.” Chemistry LibreTexts, 2021.</t>
  </si>
  <si>
    <t>“(12) INTERNATIONAL APPLICATION PUBLISHED UNDER THE PATENT COOPERATION TREATY (PCT) Title: A PROCESS FOR THE SELECTIVE HYDROGENATION AND HYDRODESULFERIZATION OF A PYROLYSIS GASOLINE FEEDSTOCK,” 2010.</t>
  </si>
  <si>
    <t>P. B. Himelfarb, “Process for the deep desulfurization of heavy pyrolysis gasoline,” Sep. 11, 2008.</t>
  </si>
  <si>
    <t>Sigma-Aldrich, “Sulfolane 99% | 126-33-0.” https://www.sigmaaldrich.com/NL/en/product/aldrich/t22209?gclid=CjwKCAjwv_iEBhASEiwARoemvF7V4ZDddnMkm5UmdpoZPm-BT7NQDJ0XEx5VowFFtvRMPHBR9Rb24RoCY-UQAvD_BwE. (accessed Aug. 20, 2021).</t>
  </si>
  <si>
    <r>
      <rPr>
        <rFont val="Calibri"/>
        <color theme="1"/>
        <sz val="11.0"/>
      </rPr>
      <t xml:space="preserve">Q. Wang, B. J. Zhang, C. He, C. C. He, and Q. L. Chen, “Optimal Design of a New Aromatic Extractive Distillation Process Aided by a Co-solvent Mixture,” </t>
    </r>
    <r>
      <rPr>
        <rFont val="Calibri"/>
        <i/>
        <color theme="1"/>
        <sz val="11.0"/>
      </rPr>
      <t>Energy Procedia</t>
    </r>
    <r>
      <rPr>
        <rFont val="Calibri"/>
        <color theme="1"/>
        <sz val="11.0"/>
      </rPr>
      <t>, vol. 105, pp. 4927–4934, May 2017, doi: 10.1016/J.EGYPRO.2017.03.984.</t>
    </r>
  </si>
  <si>
    <t>S. H. . Brown, T. K. . Chaudhuri, and J. G. . Santiesteban, “Process for BTX purification,” Oct. 23, 2000.</t>
  </si>
  <si>
    <t>ExxonMobil, “Unmatched PX Selectivity and catalyst cycles in STDP service,” Netherlands.</t>
  </si>
  <si>
    <t>“Toluene Disproportionation | Petrochem Technology Licensing.” https://gtctech.com/technology-licensing/toluene-disproportionation/ (accessed Aug. 18, 2021).</t>
  </si>
  <si>
    <t>K. P. . Kelly and J. R. . Butler, “Toluene disproportionation process,” EP0819666B1, Jul. 15, 1997.</t>
  </si>
  <si>
    <t>H. Eranda, “Design of o-xylene Plate/Tray Distillation Column,” 2017. doi: 10.13140.</t>
  </si>
  <si>
    <t>L. Zhong, J. Xiao, Y. Lu, Y. Guo, and D. Kong, “PROCESS FOR THE CRYSTALLIZATION SEPARATION OF P-XYLENE,” US 2010.01376.60A1, Jun. 03, 2010.</t>
  </si>
  <si>
    <t>N. B. King, “July 28, 1970,” 3,522,153, 1970.</t>
  </si>
  <si>
    <t>Ortega, “( 12 ) Patent Application Publication ( 10 ) Pub . No .: US 2010 / 0035098 A1 Patent Application Publication,” vol. 1, no. 19, pp. 1–5, 2010.</t>
  </si>
  <si>
    <t>R. B. LaPierre, “Xylene isomerization process,” 87300162.2, Jul. 10, 1991.</t>
  </si>
  <si>
    <t>“Xylene Isomerization | SIE NEFTEHIM, LLC.” https://nefthim.com/manual/xylene-isomerization/ (accessed Aug. 18, 2021).</t>
  </si>
  <si>
    <t>F. T. Sherk, “RECOVERY OF HYDROGEN FROM GASEOUS MIXTURES AND IMPROVED HYDROGENA. TON PROCESS.”</t>
  </si>
  <si>
    <t>E. Nederland, “Aanvraag (revisie)vergunning Wabo/Waterwet ExxonMobil Botlek locatie,” Rotterdam, Jan. 2015. Accessed: Aug. 20, 2021. [Online]. Available: https://www.commissiemer.nl/docs/mer/p29/p2964/2964-029vergunningaanvraag-wabo-ww.pdf.</t>
  </si>
  <si>
    <r>
      <rPr>
        <rFont val="Calibri"/>
        <color theme="1"/>
        <sz val="11.0"/>
      </rPr>
      <t xml:space="preserve">L. B. Brondani, G. B. Flores, and R. P. Soares, “Modeling and simulation of a benzene recovery process by extractive distillation,” </t>
    </r>
    <r>
      <rPr>
        <rFont val="Calibri"/>
        <i/>
        <color theme="1"/>
        <sz val="11.0"/>
      </rPr>
      <t>Brazilian J. Chem. Eng.</t>
    </r>
    <r>
      <rPr>
        <rFont val="Calibri"/>
        <color theme="1"/>
        <sz val="11.0"/>
      </rPr>
      <t>, vol. 32, no. 1, pp. 283–291, 2015, doi: 10.1590/0104-6632.20150321s00002825.</t>
    </r>
  </si>
  <si>
    <t>P. O. Box, B. J. Bahru, J. Bahru, W. Malaysia, and K. Kolmetz, “KLM Technology Group Practical Engineering Guidelines for Processing Plant Solutions Kolmetz Handbook of Process Equipment Design BTX EXTRACTION UNIT SELECTION, SIZING AND TROUBLESHOOTING (ENGINEERING DESIGN GUIDELINES),” 2017, Accessed: Aug. 19, 2021. [Online]. Available: www.klmtechgroup.com.</t>
  </si>
  <si>
    <r>
      <rPr>
        <rFont val="Calibri"/>
        <color theme="1"/>
        <sz val="11.0"/>
      </rPr>
      <t xml:space="preserve">A. Mivechian and M. Pakizeh, “Hydrogen recovery from Tehran refinery off-gas using pressure swing adsorption, gas absorption and membrane separation technologies: Simulation and economic evaluation,” </t>
    </r>
    <r>
      <rPr>
        <rFont val="Calibri"/>
        <i/>
        <color theme="1"/>
        <sz val="11.0"/>
      </rPr>
      <t>Korean J. Chem. Eng.</t>
    </r>
    <r>
      <rPr>
        <rFont val="Calibri"/>
        <color theme="1"/>
        <sz val="11.0"/>
      </rPr>
      <t>, vol. 30, no. 4, pp. 937–948, Apr. 2013, doi: 10.1007/S11814-012-0221-Y.</t>
    </r>
  </si>
  <si>
    <t xml:space="preserve"> </t>
  </si>
  <si>
    <t>BIOGAS PLANT</t>
  </si>
  <si>
    <t>837 tons/y biogas</t>
  </si>
  <si>
    <t>A biogas plant uses a process called anaerobic digestion to break down organic materials like manure, agricultural waste, and food scraps into biogas, which is a mixture of methane and carbon dioxide.  The core components of each biogas plant consists of one or several storage tanks for organic material, a fermentation (digester) tank where microorganisms consume the feedstock in an oxygen-free environment, and a final storage tank for fully digested sludge. There are four processes involved in biogas production [1].
1.
Hydrolysis breaks complex organic structures open to make them accessible to the following processes.
2.
Acidogenesis produces organic acids as well as hydrogen, CO2, different alcohols, and a small amount of acetic acid out of organic material.
3.
Acetogenesis uses organic acids, hydrogen, and CO2 to produce acetic acid.
4.
Methanogenesis produces CH4 from acetic acid and to a lesser extent from hydrogen and CO2.</t>
  </si>
  <si>
    <t>Food waste generation in canteens typically ranges from 0.06 to 0.30 kg/person/day [2]. For this case study, a value of 0.17 kg/person/day has been adopted as a representative figure, calculated as the average of the reported range.
Assuming an average of 51 kg/person/year, and considering a university population of 61,700 students and approximately 3,000 academic staff, the annual food waste generation is estimated to be around 3,300 tonnes. This calculation assumes that food waste is generated on 300 operational days per year.
Pretreatment
The collected food waste is transported to a biogas production facility for energy recovery. Before entering the anaerobic digestion stage, the waste undergoes pretreatment to ensure a uniform and stable feedstock.
The pretreatment system consists of:
      •        A grinder (10 kW) to reduce particle size and homogenize the material.
      •        A pretreatment tank equipped with a mixer for thorough blending.
      •        A storage tank of 100 m³, which allows for pH adjustment (to maintain conditions optimal for microbial activity, typically pH 6.5–7.5) and for buffering feedstock flow to the digesters.
Anaerobic Digestion
After pretreatment, the homogenized substrate is pumped to the anaerobic digestion (AD) system, which includes two digesters (primary and secondary), each with a working volume of 1,260 m³.
The primary digester is where most of the biochemical decomposition occurs. Microorganisms convert the organic matter into biogas (mainly methane and carbon dioxide) under oxygen-free (anaerobic) conditions. The secondary digester serves as a post-digestion stage, allowing further biogas production and stabilization of the digestate.
Each digester consists of membrane modules, a circulating pump, and associated piping and fittings to maintain continuous mixing and temperature control.
The two main products of anaerobic digestion are:
       •        Biogas, used for energy recovery, and
       •        Digestate, which can be used as a soil amendment after appropriate treatment.
Biogas Cleaning and Conditioning
The raw biogas produced in the digesters typically contains impurities such as water vapor, hydrogen sulfide (H₂S), and trace compounds that must be removed before utilization.
The biogas cleaning system includes:
      •        A biogas dehydrator to remove moisture.
      •        A desulfurization unit containing iron oxide (Fe₂O₃) pellets, which react with H₂S to form iron sulfide, reducing sulfur emissions and protecting downstream equipment.
      •        A biogas pump and flow meter to regulate and monitor the gas flow.
The cleaned biogas can then be used for combined heat and power (CHP) generation, upgraded to biomethane, or fed into a gas grid, depending on the system configuration.
Digestate Treatment
The residual material from the digesters, known as digestate, undergoes post-treatment to ensure it is safe and suitable for reuse. The digestate treatment system consists of:
•        A pump for transfer,
•        A solid–liquid separator to divide the digestate into liquid and solid fractions, and
•        A pasteurization unit, operating at 70°C for one hour, to eliminate pathogens and ensure compliance with hygiene standards before land application.
The treated digestate can be used as a biofertilizer, contributing to nutrient recycling and reducing the need for chemical fertilizers [3].</t>
  </si>
  <si>
    <t>Figure 1. Process Flow Diagram- Biogas Plant [3]</t>
  </si>
  <si>
    <t>Flow t/y</t>
  </si>
  <si>
    <t>Food waste</t>
  </si>
  <si>
    <t>Biogas line 1</t>
  </si>
  <si>
    <t>61.99% CH4, 37.5% CO2, 0.51% H2S</t>
  </si>
  <si>
    <r>
      <rPr>
        <rFont val="Calibri"/>
        <color theme="1"/>
        <sz val="12.0"/>
      </rPr>
      <t>769 (673040 m</t>
    </r>
    <r>
      <rPr>
        <rFont val="Calibri"/>
        <color theme="1"/>
        <sz val="12.0"/>
        <vertAlign val="superscript"/>
      </rPr>
      <t>3</t>
    </r>
    <r>
      <rPr>
        <rFont val="Calibri"/>
        <color theme="1"/>
        <sz val="12.0"/>
      </rPr>
      <t>)</t>
    </r>
  </si>
  <si>
    <t>Biogas line 2</t>
  </si>
  <si>
    <t>64% CH4, 35.67% CO2, 0.33% H2S</t>
  </si>
  <si>
    <r>
      <rPr>
        <rFont val="Calibri"/>
        <color theme="1"/>
        <sz val="12.0"/>
      </rPr>
      <t>68 (61680 m</t>
    </r>
    <r>
      <rPr>
        <rFont val="Calibri"/>
        <color theme="1"/>
        <sz val="12.0"/>
        <vertAlign val="superscript"/>
      </rPr>
      <t>3</t>
    </r>
    <r>
      <rPr>
        <rFont val="Calibri"/>
        <color theme="1"/>
        <sz val="12.0"/>
      </rPr>
      <t>)</t>
    </r>
  </si>
  <si>
    <t>Cake</t>
  </si>
  <si>
    <t>Liquid effluent</t>
  </si>
  <si>
    <t>normalisation factor</t>
  </si>
  <si>
    <t>Process section</t>
  </si>
  <si>
    <t>Input Electricity- kWe</t>
  </si>
  <si>
    <t>Input Heat- kWt</t>
  </si>
  <si>
    <t>Grinder</t>
  </si>
  <si>
    <t>Anaerobic digester 1</t>
  </si>
  <si>
    <t>Anaerobic digester 2</t>
  </si>
  <si>
    <t>Dewatering unit</t>
  </si>
  <si>
    <t>Pasteurizer</t>
  </si>
  <si>
    <t>Sum</t>
  </si>
  <si>
    <t>Cigano, I., Todini, E., Di Piazza, G., &amp; Morosanu, C. (2021). Valorization of food-waste-derived biomethane in a smart energy system. In Smart energy systems for a green future (pp. 65-88). Elsevier. https://doi.org/10.1016/B978-0-12-822718-3.00004-6</t>
  </si>
  <si>
    <t xml:space="preserve"> Liwei G, Shengkui C, Xiaochang C, Dan Z, Xiaojie L, Qi Q, et al. An overview of the
resources and environmental issues from wasted food in urban catering across
China. J Resour Ecol 2013;4(4):337–43.</t>
  </si>
  <si>
    <t>Zeng, H., Yan, Y., Liberti, F., Bartocci, P., &amp; Fantozzi, F. (2019). Technical and economic feasibility analysis of an anaerobic digestion plant fed with canteen food waste. Energy Conversion and Management, 180, 938-948.</t>
  </si>
  <si>
    <t>METHANOL PRODUCTION</t>
  </si>
  <si>
    <t>94 kt/y methanol</t>
  </si>
  <si>
    <t xml:space="preserve">Methanol is industrially produced by the catalytic conversion of syngas. The industrial process can be described by the following three steps:_x000b_1) Syngas production_x000b_2) Methanol synthesis
3) Crude methanol purification_x000b_
Starting with the production of syngas from methane, there are two methods being used, Steam Methane Reforming (SMR) and Autothermal Reforming (ATR). ATR involves the partial combustion of methane in the reforming reactor to produce the required heat for the reforming of methane._x000b_SMR involves an external source for generating the required heat, but produces an increased amount of hydrogen per methane. For the synthesis of methanol a hydrogen to carbon ratio of two would be ideal. Thus a combination of SMR and ATR would be preferable and would allow the hydrogen to carbon ratio to be tuned accordingly. However, for a relatively small methanol production plant, a standalone SMR is predominantly used for the production of syngas for methanol synthesis [1]. 
In this spreadsheet, a single SMR is presented for the production of syngas, in which the steam and methane mixture is reformed per the following reactions:
〖𝐶𝐻〗_4+𝐻_2 𝑂→𝐶𝑂+〖3𝐻〗_2
𝐶𝑂+𝐻_2 𝑂→〖𝐶𝑂〗_2+𝐻_2
To reach the ideal hydrogen to carbon ratio, it was opted to add extra CO2 to the syngas. It is important to reach an ideal ratio because below two there is a reduction in methanol selectivity, while above two there will be an accumulation of hydrogen in the synthesis loop. 
For the production of methanol, the reaction is carried out in a quasi-isothermal tubular reactor, at a pressure of 69 bar and temperature of 255 °C over a Cu-ZnO-Al2O3 based catalyst per following reactions:
𝐶𝑂+𝐻_2→〖𝐶𝐻〗_3 𝑂𝐻
〖𝐶𝑂〗_2+〖3𝐻〗_2→〖𝐶𝐻〗_3 𝑂𝐻+𝐻_2 𝑂
〖𝐶𝑂〗_2+𝐻_2→𝐶𝑂+𝐻_2 𝑂
Additionally there are some unwanted side-products produced according to the following reactions:
2𝐶𝑂+4𝐻_2→〖𝐶𝐻〗_3 〖𝐶𝐻〗_2 𝑂𝐻+𝐻_2 𝑂
2𝐶𝑂+2𝐻_2→〖𝐻𝐶𝑂𝑂𝐶𝐻〗_3
3𝐶𝑂+6𝐻_2→𝐶_3 𝐻_7 𝑂𝐻+〖2𝐻〗_2 𝑂
 </t>
  </si>
  <si>
    <t xml:space="preserve">First, methane is pressurized to 20 bar, mixed with steam and pre-heated by a heat exchanger. The methane and steam mixture is  then reformed in the tubular reformer, where rows of reformer tubes are heated by the burning of natural gas. The steam required for the reforming process is produced from the excess heat of the fluegas from the  furnace._x000b_
The produced syngas goes through a system of heat exchangers and then to a flash drum where the excess steam is removed as condensed water. The syngas is pressurized to 69,7 bar and injected with CO2 to reach an optimal hydrogen to carbon ratio of 2 for the synthesis of methanol. A ratio of 2 is ideal since below a hydrogen to carbon ratio of two, there is a reduction in methanol selectivity, while above two there will be an accumulation of hydrogen in the synthesis loop. Afterwards, the recycled syngas is mixed with fresh syngas. 
Methanol is produced in a quasi-isothermal tubular reactor, at a pressure of 69 bar and temperature of 255 °C. The reactions are exothermic, so the reactor is cooled with utility water resulting in boiling water outside of the tubes and thus, the production of steam. The conversion of carbon in a single pass is 50% to 80%, thus the unreacted syngas is recycled to the reactor. This is achieved by first condensing methanol and water and separating them with a flash drum. Part of the recycled syngas is purged to keep the methane fraction at the reactor inlet sufficiently low. 
Methanol is purified in a two stage distillation process, first the remaining light components (H2,CO, CO2 and CH4) are removed. In the second stage methanol is distilled into a 99,5 wt% methanol product. 
</t>
  </si>
  <si>
    <t>Figure 1. Process Flow Diagram- Methanol Production</t>
  </si>
  <si>
    <t>23,29% O2, 76,71% N2</t>
  </si>
  <si>
    <t>PS-CH3OH</t>
  </si>
  <si>
    <t>99,96% CH3OH, 0,02% H2O, 0,02% Ethanol</t>
  </si>
  <si>
    <t>FS-BFW1</t>
  </si>
  <si>
    <t>100% H2O</t>
  </si>
  <si>
    <t>FS-Methane</t>
  </si>
  <si>
    <t>100% CH4</t>
  </si>
  <si>
    <t>FS-Methane-2</t>
  </si>
  <si>
    <t>FS-CO2</t>
  </si>
  <si>
    <t>100% CO2</t>
  </si>
  <si>
    <t>Component</t>
  </si>
  <si>
    <t>WS-FG</t>
  </si>
  <si>
    <t>H2O</t>
  </si>
  <si>
    <t>CO2</t>
  </si>
  <si>
    <t>O2</t>
  </si>
  <si>
    <t>N2</t>
  </si>
  <si>
    <t>WS-LIGHT</t>
  </si>
  <si>
    <t>CH4</t>
  </si>
  <si>
    <t>H2</t>
  </si>
  <si>
    <t>CO</t>
  </si>
  <si>
    <t>CH3OH</t>
  </si>
  <si>
    <t>METFORM</t>
  </si>
  <si>
    <t>WS-PURGE</t>
  </si>
  <si>
    <t>WS-W1</t>
  </si>
  <si>
    <t>WS-W2</t>
  </si>
  <si>
    <t>kt/y is kW</t>
  </si>
  <si>
    <t>Methanol production</t>
  </si>
  <si>
    <t>LLP steam</t>
  </si>
  <si>
    <t>M1-T02</t>
  </si>
  <si>
    <t>Methanol column</t>
  </si>
  <si>
    <t>M1-C01</t>
  </si>
  <si>
    <t>CH4 compressor</t>
  </si>
  <si>
    <t>M1-C02</t>
  </si>
  <si>
    <t>Syngas compressor</t>
  </si>
  <si>
    <t>M1-C03</t>
  </si>
  <si>
    <t>CO2 compressor</t>
  </si>
  <si>
    <t>M1-C04</t>
  </si>
  <si>
    <t>Recycle syngas compressor</t>
  </si>
  <si>
    <t>P-101</t>
  </si>
  <si>
    <t>Water pump</t>
  </si>
  <si>
    <t>M1-T01</t>
  </si>
  <si>
    <t>Lights column</t>
  </si>
  <si>
    <t>M1-E03</t>
  </si>
  <si>
    <t>LPS boiler</t>
  </si>
  <si>
    <t>Natural gas</t>
  </si>
  <si>
    <t>COMB-101</t>
  </si>
  <si>
    <t>Tubular reformer</t>
  </si>
  <si>
    <t>M1-E05</t>
  </si>
  <si>
    <t>M1-E09</t>
  </si>
  <si>
    <t>M1-E14</t>
  </si>
  <si>
    <t>Methane compressor</t>
  </si>
  <si>
    <t>E-102</t>
  </si>
  <si>
    <t>HPS boiler</t>
  </si>
  <si>
    <t>M1-E06</t>
  </si>
  <si>
    <t>Excess steam condenser</t>
  </si>
  <si>
    <t>M1-E07</t>
  </si>
  <si>
    <t>Methanol condenser</t>
  </si>
  <si>
    <t>Refrigerant</t>
  </si>
  <si>
    <t>M1-E10</t>
  </si>
  <si>
    <t>Wastewater 1 cooler</t>
  </si>
  <si>
    <t>M1-E11</t>
  </si>
  <si>
    <t>Wastewater 2 cooler</t>
  </si>
  <si>
    <t>M1-E12</t>
  </si>
  <si>
    <t>Fluegas cooler</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</si>
  <si>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</si>
  <si>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 xml:space="preserve">[1] </t>
  </si>
  <si>
    <t>Rainer Reimert, Friedemann Marschner, Hans-Joachim Renner, Walter Boll, Emil Supp, Miron Brejc, Waldemar Liebner and George Schaub: "Gas Production, 2. Processes", Ullmann's Encyclopedia of Industrial Chemistry, Electronic Release, Wiley-VCH, Weinheim September 2012.</t>
  </si>
  <si>
    <t xml:space="preserve">[2] </t>
  </si>
  <si>
    <t>Rainer Reimert, Christopher Higman, Wolfgang Hilsebein, Veronika Gronemann, Uwe Zwiefelhofer and Johannes Albrecht: "Gas Production, 5. Examples of Complex Gas Production Plants" , Ullmann's Encyclopedia of Industrial Chemistry, Electronic Release, Wiley-VCH, Weinheim September 2012.</t>
  </si>
  <si>
    <t xml:space="preserve">[3] </t>
  </si>
  <si>
    <t>Jörg Ott, Veronika Gronemann, Florian Pontzen, Eckhard Fiedler, Georg Grossman, D. Burkhard Kersebohm, Günter Weiss and Claus Witte: "Methanol", Ullmann's Encyclopedia of Industrial Chemistry, Electronic Release, Wiley-VCH, Weinheim September 2012.</t>
  </si>
  <si>
    <t xml:space="preserve">[4] </t>
  </si>
  <si>
    <t>Lei Chen, Qingzhe Jiang, Zhaozheng Song and Dusko Porasac  Optimization of methanol yield from Lurgi reactor. Chemical engineering &amp; technology, 34(5):817–822, 2011.</t>
  </si>
  <si>
    <t xml:space="preserve">[5] </t>
  </si>
  <si>
    <t>Veronica Torri," Methanol Production from Renewable routes: A techno-economic assessment", Delft University of Technology, Delft, 2019</t>
  </si>
  <si>
    <t xml:space="preserve">[6] </t>
  </si>
  <si>
    <t>The Engineering ToolBox, "Fuels- Higher and Lower Calorific Values," 2003. [Online]. Available: https://www.engineeringtoolbox.com/fuels-higher-calorific-values-d_169.html. [Accessed April 2020].</t>
  </si>
  <si>
    <t>DIMETHYL ETHER (DME) PRODUCTION</t>
  </si>
  <si>
    <t>67 kt/y DME</t>
  </si>
  <si>
    <t xml:space="preserve">Currently there are two possible pathways to DME from syngas (CO+H2), indirect and direct synthesis. Indirect synthesis, involves first the production of methanol followed by the production of DME. Direct synthesis, involves the direct production of DME from syngas. Currently, DME is only produced on an industrial scale through indirect synthesis.
Dimethyl ether(DME) is industrially produced by the catalytic dehydration of methanol.
Methanol is the only raw material being used by the process and DME is the only product. </t>
  </si>
  <si>
    <t xml:space="preserve">Dimethyl ether is produced by the catalytic dehydration of methanol. The gaseous methanol is first pressurized to 10 bar and fed to a packed bed reactor containing γ-Al2O3 as a catalyst [2,3], where DME is produced by dehydration of methanol. The reaction is exothermic, so the reactor temperature is kept at 250 ° C by producing LPS.
DME is purified in a two stage rectification process, consisting of two distillation columns. Pure DME is distilled as the top product in the first column, while methanol and water are separated in the second column. The remaining methanol is recycled to the dehydration reactor, while the wastewater is sent to wastewater treatment. 
A small fraction of the methanol recycle stream is purged to prevent the build-up of ethanol in the system. 
</t>
  </si>
  <si>
    <t>FS-CH3OH (Methanol)</t>
  </si>
  <si>
    <t>H2O 0,023%</t>
  </si>
  <si>
    <t>PS-DME</t>
  </si>
  <si>
    <t>CH3OH  0,018 %, DME 99,98%</t>
  </si>
  <si>
    <t>CH3OH 99,96%</t>
  </si>
  <si>
    <t>ETHANOL 0,017 %</t>
  </si>
  <si>
    <t>ETHANOL</t>
  </si>
  <si>
    <t>WS-WATER</t>
  </si>
  <si>
    <t>DME Production</t>
  </si>
  <si>
    <t>M4-C01</t>
  </si>
  <si>
    <t>Methanol compressor</t>
  </si>
  <si>
    <t>M4-R01</t>
  </si>
  <si>
    <t>Dehydration reactor</t>
  </si>
  <si>
    <t>M4-T01</t>
  </si>
  <si>
    <t>DME column</t>
  </si>
  <si>
    <t>M4-T02</t>
  </si>
  <si>
    <t>M4-E03</t>
  </si>
  <si>
    <t>Cooler</t>
  </si>
  <si>
    <t>M4-E04</t>
  </si>
  <si>
    <t>DME cooler</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</si>
  <si>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</si>
  <si>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 xml:space="preserve"> Manfred Müller, Ute Hübsch: "Dimethyl Ether", Ullmann's Encyclopedia of Industrial Chemistry, Electronic Release, Wiley-VCH, Weinheim September 2012.</t>
  </si>
  <si>
    <t>M. Rashid Khan, Advances In Clean Hydrocarbon Fuel Processing: Science And Technology. Woodhead Publishing, 2011</t>
  </si>
  <si>
    <t>Eric C.D. Tan, Michael Talmadge, Abhijit Dutta, Jesse Hensley, Josh Schaidle, and Mary Biddy., David Humbird., Lesley J. Snowden-Swan., Jeff Ross, Danielle Sexton, Raymond Yap, and John Lukas.,"Process Design and Economics for the Conversion of Lignocellulosic Biomass to Hydrocarbons via Indirect Liquefaction: Thermochemical Research Pathway to High-Octane Gasoline Blendstock Through Methanol/Dimethyl Ether Intermediates", National Renewable Energy Lab, United States, 2015, Web. doi:10.2172/1215006</t>
  </si>
  <si>
    <t>The development of the following chapters requires an evaluation of the production plants listed in this datasheet.</t>
  </si>
  <si>
    <r>
      <rPr>
        <rFont val="Calibri"/>
        <b/>
        <color theme="1"/>
        <sz val="12.0"/>
      </rPr>
      <t xml:space="preserve">CHAPTER 3. PROJECT SCOPE </t>
    </r>
    <r>
      <rPr>
        <rFont val="Calibri"/>
        <color theme="1"/>
        <sz val="11.0"/>
      </rPr>
      <t xml:space="preserve">
</t>
    </r>
    <r>
      <rPr>
        <rFont val="Calibri"/>
        <b/>
        <color theme="1"/>
        <sz val="11.0"/>
      </rPr>
      <t>3.1.	Project scope- Case Study: [Name of Industrial Park]</t>
    </r>
    <r>
      <rPr>
        <rFont val="Calibri"/>
        <color theme="1"/>
        <sz val="11.0"/>
      </rPr>
      <t xml:space="preserve">
This section should Introduce and define the industrial park (IP) by providing:
•	Name of the Industrial Park: Choose a unique and relevant name.
•	Location: Specify the geographic location.
From the provided Excel spreadsheet “Industrial Park Data_2026”, select at least 6 production plants/companies. For each company, the following details should be provided:
•	Companies and Activities: Briefly describe the company’s operations, including main inputs, processes, products, and production capacities.
</t>
    </r>
    <r>
      <rPr>
        <rFont val="Calibri"/>
        <color theme="1"/>
        <sz val="12.0"/>
      </rPr>
      <t xml:space="preserve">
</t>
    </r>
    <r>
      <rPr>
        <rFont val="Calibri"/>
        <b/>
        <color theme="1"/>
        <sz val="12.0"/>
      </rPr>
      <t>CHAPTER 4. MATERIALS ANALYSIS</t>
    </r>
    <r>
      <rPr>
        <rFont val="Calibri"/>
        <color theme="1"/>
        <sz val="12.0"/>
      </rPr>
      <t xml:space="preserve">
</t>
    </r>
    <r>
      <rPr>
        <rFont val="Calibri"/>
        <b/>
        <color theme="1"/>
        <sz val="11.0"/>
      </rPr>
      <t>4.1 Mass balance analysis:</t>
    </r>
    <r>
      <rPr>
        <rFont val="Calibri"/>
        <color theme="1"/>
        <sz val="11.0"/>
      </rPr>
      <t xml:space="preserve">
Students should perform a mass balance and component balance (carbon, chlorine, etc.) for each company based on a selected production capacity. This analysis should quantify all material inputs, outputs, and flows through the production process, providing a clear understanding of resource consumption and waste generation. 
Moreover for water flows, students should identify:
•	Sources (e.g., municipal water, groundwater, surface water)- Assumptions are allowed
•	Process uses (washing, quenching, reagent, etc.)
•	Water types, quality and main impurities 
A block diagram with overall mass balance per company should be included.
</t>
    </r>
    <r>
      <rPr>
        <rFont val="Calibri"/>
        <b/>
        <color theme="1"/>
        <sz val="11.0"/>
      </rPr>
      <t>4.2	 Performance evaluation:</t>
    </r>
    <r>
      <rPr>
        <rFont val="Calibri"/>
        <color theme="1"/>
        <sz val="11.0"/>
      </rPr>
      <t xml:space="preserve">
Assess key performance indicators (KPIs) for each company to assess operational efficiency, resource management, waste generation, and environmental performance. (For detailed calculation methods, refer to the slides from lecture “Tutorial: Materials”)
</t>
    </r>
    <r>
      <rPr>
        <rFont val="Calibri"/>
        <b/>
        <color theme="1"/>
        <sz val="11.0"/>
      </rPr>
      <t>4.3  Identification of Industrial Symbiosis Opportunities</t>
    </r>
    <r>
      <rPr>
        <rFont val="Calibri"/>
        <color theme="1"/>
        <sz val="11.0"/>
      </rPr>
      <t xml:space="preserve">
In this section, students should identify and evaluate potential industrial symbiosis opportunities within the industrial park by analyzing cross-company resource flows. The objective is to propose a feasible material symbiosis network that enhances resource efficiency and circularity. For this:
•	Perform a systematic analysis to identify possible exchanges of materials between companies. Consider potential material exchanges, including the use of waste streams or by-products from one company as inputs for another. Consider opportunities such as reuse of treated wastewater/waste or shared water/waste treatment systems.
•	Document all identified matches in a supply–demand matrix. For each proposed synergy, provide a brief justification based on technical feasibility, process compatibility, and expected benefits (e.g., reduced waste, resource savings, or emissions reduction).
•	Graphical Representation of the Network. Create a graphical representation of the proposed materials symbiosis network using Linny-r. This visualization should clearly illustrate all identified exchanges and interconnections between companies. 
•	Include a Sankey diagram to clearly illustrate the component flows within the network.
</t>
    </r>
    <r>
      <rPr>
        <rFont val="Calibri"/>
        <b/>
        <color theme="1"/>
        <sz val="11.0"/>
      </rPr>
      <t>4.4	Selection of companies for further assessment and intervention design:</t>
    </r>
    <r>
      <rPr>
        <rFont val="Calibri"/>
        <color theme="1"/>
        <sz val="11.0"/>
      </rPr>
      <t xml:space="preserve">
Based on the mass balance and performance evaluation, select three companies for in-depth analysis. For these companies, students should include:
•	Significance of study: explain why analyzing the selected companies is important from a material perspective, use indicators to support your decision. 
•	Challenges and problems: identify the main material-related issues associated with their current industrial practices. These may include: operational inefficiencies, resource management challenges, water consumption, environmental impacts due to waste, by-products, or emissions.
</t>
    </r>
    <r>
      <rPr>
        <rFont val="Calibri"/>
        <b/>
        <color theme="1"/>
        <sz val="11.0"/>
      </rPr>
      <t xml:space="preserve">
4.5	Proposed Interventions: 
</t>
    </r>
    <r>
      <rPr>
        <rFont val="Calibri"/>
        <color theme="1"/>
        <sz val="11.0"/>
      </rPr>
      <t xml:space="preserve">Propose and describe at least two potential interventions for each of the selected companies to enhance their operational and environmental performance. For each measure, discuss the key drivers that could facilitate its implementation, as well as the potential barriers or challenges that may need to be addressed.
Interventions may include:
•	Adoption of new technologies
•	Process optimization strategies
•	Other solutions aimed at enhancing sustainability and material efficiency
Moreover, identify the most suitable treatment methods for the waste streams generated by these companies and propose either a wastewater treatment plant (WWTP), or a waste processor for other types of waste, and describe the appropriate treatment stages and process steps involved (you can refer to the Best Available Techniques (BAT)). Specify whether a centralized treatment plant will be shared among the companies, or if individual on-site treatment systems are required.
</t>
    </r>
    <r>
      <rPr>
        <rFont val="Calibri"/>
        <b/>
        <color theme="1"/>
        <sz val="12.0"/>
      </rPr>
      <t>CHAPTER 5. ENERGY ANALYSIS</t>
    </r>
    <r>
      <rPr>
        <rFont val="Calibri"/>
        <color theme="1"/>
        <sz val="11.0"/>
      </rPr>
      <t xml:space="preserve">
</t>
    </r>
    <r>
      <rPr>
        <rFont val="Calibri"/>
        <b/>
        <color theme="1"/>
        <sz val="11.0"/>
      </rPr>
      <t>5.1 Energy balance analysis:</t>
    </r>
    <r>
      <rPr>
        <rFont val="Calibri"/>
        <color theme="1"/>
        <sz val="11.0"/>
      </rPr>
      <t xml:space="preserve">
Students should perform an energy balance for each company based on a selected production capacity. This analysis should quantify all energy inputs, outputs, and internal flows throughout the production process, providing a clear understanding of energy consumption, losses, and efficiency. A block diagram illustrating the overall energy balance per company should be included.
</t>
    </r>
    <r>
      <rPr>
        <rFont val="Calibri"/>
        <b/>
        <color theme="1"/>
        <sz val="11.0"/>
      </rPr>
      <t xml:space="preserve">
5.2 Performance evaluation: 
</t>
    </r>
    <r>
      <rPr>
        <rFont val="Calibri"/>
        <color theme="1"/>
        <sz val="11.0"/>
      </rPr>
      <t xml:space="preserve">Assess key performance indicators (KPIs) for each company to evaluate energy efficiency, energy consumption, losses, and environmental performance. (For detailed calculation methods, refer to the slides from lecture “Tutorial: Energy”.)
</t>
    </r>
    <r>
      <rPr>
        <rFont val="Calibri"/>
        <b/>
        <color theme="1"/>
        <sz val="11.0"/>
      </rPr>
      <t>5.3  Identification of Industrial Symbiosis Opportunities</t>
    </r>
    <r>
      <rPr>
        <rFont val="Calibri"/>
        <color theme="1"/>
        <sz val="11.0"/>
      </rPr>
      <t xml:space="preserve">
In this section, students should identify and evaluate potential industrial symbiosis opportunities within the industrial park by analyzing cross-company resource flows. The objective is to propose a feasible energy symbiosis network that enhances overall energy efficiency and supports decarbonization efforts. For this:
•	Perform a systematic analysis to identify possible exchanges of energy between companies. Consider opportunities such as waste heat recovery, shared utility systems, steam or hot water cascades.
•	Document all identified matches in a supply–demand matrix. For each proposed synergy, provide a brief justification based on technical feasibility, process compatibility, and expected benefits (e.g., energy savings or emissions reduction).
•	Graphical Representation of the Network. Create a graphical representation of the proposed energy symbiosis network using Linny-r. This visualization should clearly illustrate all identified exchanges and interconnections between companies. (This task will be completed during the Linny-r Workshop.)
</t>
    </r>
    <r>
      <rPr>
        <rFont val="Calibri"/>
        <b/>
        <color theme="1"/>
        <sz val="11.0"/>
      </rPr>
      <t xml:space="preserve">5.4	Selection of companies for further assessment and intervention design:
</t>
    </r>
    <r>
      <rPr>
        <rFont val="Calibri"/>
        <color theme="1"/>
        <sz val="11.0"/>
      </rPr>
      <t xml:space="preserve">Based on the energy balance and performance evaluation, select three companies for in-depth assessment. For these companies, students should include:
•	Significance of study: explain why analyzing the selected companies is important from an energy perspective, use energy-related indicators to support your decision.
•	Challenges and problems: identify the main energy-related issues associated with their current industrial practices. These may include: high energy consumption or poor energy efficiency, significant energy losses in processes or heat recovery, environmental impacts associated with energy use, such as GHG emissions or carbon intensity.
</t>
    </r>
    <r>
      <rPr>
        <rFont val="Calibri"/>
        <b/>
        <color theme="1"/>
        <sz val="11.0"/>
      </rPr>
      <t xml:space="preserve">5.5	Proposed Interventions: </t>
    </r>
    <r>
      <rPr>
        <rFont val="Calibri"/>
        <color theme="1"/>
        <sz val="11.0"/>
      </rPr>
      <t xml:space="preserve">
Propose and describe at least two potential measures for each of the two selected companies to enhance their operational and environmental performance. For each measure, discuss the key drivers that could facilitate its implementation, as well as the potential barriers or challenges that may need to be addressed.
Interventions may include:
•	Adoption of new technologies
•	Process optimization strategies
•	Other solutions aimed at enhancing sustainability and energy efficiency (use of renewable or low-carbon energy sources)</t>
    </r>
  </si>
  <si>
    <t>Chemical</t>
  </si>
  <si>
    <t>Abbreviation</t>
  </si>
  <si>
    <t>CAS Number</t>
  </si>
  <si>
    <t>Molecular weight</t>
  </si>
  <si>
    <t>Carbon Atoms</t>
  </si>
  <si>
    <t>1,1,1,2-Tetrachloroethane</t>
  </si>
  <si>
    <t>TECE</t>
  </si>
  <si>
    <t>630-20-6</t>
  </si>
  <si>
    <t>1,1,1,2-Tetrafluoroethane</t>
  </si>
  <si>
    <t>TEFE</t>
  </si>
  <si>
    <t>811-97-2</t>
  </si>
  <si>
    <t>1,1,2-Trichloroethane</t>
  </si>
  <si>
    <t>TCE</t>
  </si>
  <si>
    <t>79-00-5</t>
  </si>
  <si>
    <t>1,2,3-Trichloropropane</t>
  </si>
  <si>
    <t>TCP</t>
  </si>
  <si>
    <t>96-18-4</t>
  </si>
  <si>
    <t>1,2,4-Trimethylbenzene</t>
  </si>
  <si>
    <t>TMB</t>
  </si>
  <si>
    <t>95-63-6</t>
  </si>
  <si>
    <t>1,2-Butadiene</t>
  </si>
  <si>
    <t>BDI-12</t>
  </si>
  <si>
    <t>590-19-2</t>
  </si>
  <si>
    <t>1,3,5-Triethylbenzene</t>
  </si>
  <si>
    <t>TEB</t>
  </si>
  <si>
    <t>102-25-0</t>
  </si>
  <si>
    <t>1,3-Butadiene</t>
  </si>
  <si>
    <t>BDI-13</t>
  </si>
  <si>
    <t>106-99-0</t>
  </si>
  <si>
    <t>1,3-Benzenedicarbonitrile</t>
  </si>
  <si>
    <t>DCB-13</t>
  </si>
  <si>
    <t>626-17-5</t>
  </si>
  <si>
    <t>1,4-Diethylbenzene</t>
  </si>
  <si>
    <t>DEB</t>
  </si>
  <si>
    <t>105-05-5</t>
  </si>
  <si>
    <t>1,4-Dioxane</t>
  </si>
  <si>
    <t>DIOX</t>
  </si>
  <si>
    <t>123-91-1</t>
  </si>
  <si>
    <t>1-Butene</t>
  </si>
  <si>
    <t>C4E</t>
  </si>
  <si>
    <t>106-98-9</t>
  </si>
  <si>
    <t>1-Pentene</t>
  </si>
  <si>
    <t>C5E</t>
  </si>
  <si>
    <t>109-67-1</t>
  </si>
  <si>
    <t>1-Phenylethanol (methyl benzyl alcohol)</t>
  </si>
  <si>
    <t>MBA</t>
  </si>
  <si>
    <t>98-85-1</t>
  </si>
  <si>
    <t>1-Propanol</t>
  </si>
  <si>
    <t>PROH</t>
  </si>
  <si>
    <t>71-23-8</t>
  </si>
  <si>
    <t>2,3,7, 8-Tetrachlorodibenzodioxin</t>
  </si>
  <si>
    <t>TCDD</t>
  </si>
  <si>
    <t>1746-01-6</t>
  </si>
  <si>
    <t>2,3-Dichloropropene</t>
  </si>
  <si>
    <t>DCP</t>
  </si>
  <si>
    <t>78-88-6</t>
  </si>
  <si>
    <t>2-Methylhexane</t>
  </si>
  <si>
    <t>MEHX</t>
  </si>
  <si>
    <t>591-76-4</t>
  </si>
  <si>
    <t>2-methylphenol</t>
  </si>
  <si>
    <t>MPH</t>
  </si>
  <si>
    <t>95-48-7</t>
  </si>
  <si>
    <t>2-Methylthiophene</t>
  </si>
  <si>
    <t>MTP</t>
  </si>
  <si>
    <t>554-14-3</t>
  </si>
  <si>
    <t>2-Phenyl ethanol</t>
  </si>
  <si>
    <t>PHETOH</t>
  </si>
  <si>
    <t>60-12-8</t>
  </si>
  <si>
    <t>3,3-Dimethylpentane</t>
  </si>
  <si>
    <t>DMP</t>
  </si>
  <si>
    <t>562-49-2</t>
  </si>
  <si>
    <t>3-Methylheptane</t>
  </si>
  <si>
    <t>MEHP</t>
  </si>
  <si>
    <t>589-81-1</t>
  </si>
  <si>
    <t>4,4′-Methylene dianiline</t>
  </si>
  <si>
    <t>MDA</t>
  </si>
  <si>
    <t>101-77-9</t>
  </si>
  <si>
    <t>4,4′-Methylene dianiline (Polymer)</t>
  </si>
  <si>
    <t>PMDA</t>
  </si>
  <si>
    <t>4,4′-Methylene dianiline (Segment)</t>
  </si>
  <si>
    <t>SMDA</t>
  </si>
  <si>
    <t>4,4-Methylene diphenyl diisocyanate</t>
  </si>
  <si>
    <t>MDI</t>
  </si>
  <si>
    <t>101-68-8</t>
  </si>
  <si>
    <t>4,4-Methylene diphenyl diisocyanate (Polymer)</t>
  </si>
  <si>
    <t>PMDI</t>
  </si>
  <si>
    <t>9016-87-9</t>
  </si>
  <si>
    <t>4,4-Methylene diphenyl diisocyanate (Segment)</t>
  </si>
  <si>
    <t>SMDI</t>
  </si>
  <si>
    <t>4-Carboxybenzaldehyde</t>
  </si>
  <si>
    <t>CBA</t>
  </si>
  <si>
    <t>619-66-9</t>
  </si>
  <si>
    <t>4-Carboxybenzaldehyde (solid)</t>
  </si>
  <si>
    <t>CBA-S</t>
  </si>
  <si>
    <t>4-Formylmorpholine</t>
  </si>
  <si>
    <t>NFM</t>
  </si>
  <si>
    <t>4394-85-8</t>
  </si>
  <si>
    <t>Acetaldehyde</t>
  </si>
  <si>
    <t>MECHO</t>
  </si>
  <si>
    <t>75-07-0</t>
  </si>
  <si>
    <t>Acetic acid</t>
  </si>
  <si>
    <t>HOAC</t>
  </si>
  <si>
    <t>64-19-7</t>
  </si>
  <si>
    <t>Acetone</t>
  </si>
  <si>
    <t>ACE</t>
  </si>
  <si>
    <t>67-64-1</t>
  </si>
  <si>
    <t>Acetophenone</t>
  </si>
  <si>
    <t>ACP</t>
  </si>
  <si>
    <t>98-86-2</t>
  </si>
  <si>
    <t>ACET</t>
  </si>
  <si>
    <t>74-86-2</t>
  </si>
  <si>
    <t>alpha-Linolenic acid</t>
  </si>
  <si>
    <t>ALA</t>
  </si>
  <si>
    <t>463-40-1</t>
  </si>
  <si>
    <t>Aluminium oxide</t>
  </si>
  <si>
    <t>AL2O3</t>
  </si>
  <si>
    <t>Ammonia</t>
  </si>
  <si>
    <t>NH3</t>
  </si>
  <si>
    <t>7664-41-7</t>
  </si>
  <si>
    <t>Ammonium</t>
  </si>
  <si>
    <t>NH4+</t>
  </si>
  <si>
    <t>14798-03-9</t>
  </si>
  <si>
    <t>Ammonium carbamate</t>
  </si>
  <si>
    <t>AMBIC</t>
  </si>
  <si>
    <t>1111-78-0</t>
  </si>
  <si>
    <t>Ammonium sulfate</t>
  </si>
  <si>
    <t>AMS</t>
  </si>
  <si>
    <t>7783-20-2</t>
  </si>
  <si>
    <t>Aniline</t>
  </si>
  <si>
    <t>PHNH2</t>
  </si>
  <si>
    <t>62-53-3</t>
  </si>
  <si>
    <t>Argon</t>
  </si>
  <si>
    <t>AR</t>
  </si>
  <si>
    <t>7440-37-1</t>
  </si>
  <si>
    <t>Benzaldehyde</t>
  </si>
  <si>
    <t>BZA</t>
  </si>
  <si>
    <t>100-52-7</t>
  </si>
  <si>
    <t>BZ</t>
  </si>
  <si>
    <t>71-43-2</t>
  </si>
  <si>
    <t>Benzoic acid</t>
  </si>
  <si>
    <t>BZAC</t>
  </si>
  <si>
    <t>65-85-0</t>
  </si>
  <si>
    <t>Bibenzyl</t>
  </si>
  <si>
    <t>BIBZ</t>
  </si>
  <si>
    <t>103-29-7</t>
  </si>
  <si>
    <t>Bicarbonate</t>
  </si>
  <si>
    <t>HCO3-</t>
  </si>
  <si>
    <t>71-52-3</t>
  </si>
  <si>
    <t>Bis(2-Hydroxyethyl) terephthalate</t>
  </si>
  <si>
    <t>BHET</t>
  </si>
  <si>
    <t>959-26-2</t>
  </si>
  <si>
    <t>Butyl acetate</t>
  </si>
  <si>
    <t>BUAC</t>
  </si>
  <si>
    <t>123-86-4</t>
  </si>
  <si>
    <t>Calcium oxide</t>
  </si>
  <si>
    <t>CAO</t>
  </si>
  <si>
    <t>Carbon black</t>
  </si>
  <si>
    <t>CABB</t>
  </si>
  <si>
    <t>1333-86-4</t>
  </si>
  <si>
    <t xml:space="preserve">Carbon dioxide </t>
  </si>
  <si>
    <t>124-38-9</t>
  </si>
  <si>
    <t>Carbon monoxide</t>
  </si>
  <si>
    <t>630-08-0</t>
  </si>
  <si>
    <t>Carbonate</t>
  </si>
  <si>
    <t>CO3--</t>
  </si>
  <si>
    <t>3812-32-6</t>
  </si>
  <si>
    <t>Catalytic cracked oil</t>
  </si>
  <si>
    <t>CCOIL</t>
  </si>
  <si>
    <t>Char</t>
  </si>
  <si>
    <t>CHAR</t>
  </si>
  <si>
    <t>Chloride ion</t>
  </si>
  <si>
    <t>CL-</t>
  </si>
  <si>
    <t>16887-00-6</t>
  </si>
  <si>
    <t>Chlorine</t>
  </si>
  <si>
    <t>CL2</t>
  </si>
  <si>
    <t>7782-50-5</t>
  </si>
  <si>
    <t>Chlorobenzene</t>
  </si>
  <si>
    <t>CLBZ</t>
  </si>
  <si>
    <t>108-90-7</t>
  </si>
  <si>
    <t>Chloroform</t>
  </si>
  <si>
    <t>CHCL3</t>
  </si>
  <si>
    <t>67-66-3</t>
  </si>
  <si>
    <t>cis-2-Butene</t>
  </si>
  <si>
    <t>CIS-2C4E</t>
  </si>
  <si>
    <t>590-18-1</t>
  </si>
  <si>
    <t>Cobalt(II) bromide</t>
  </si>
  <si>
    <t>COBR2</t>
  </si>
  <si>
    <t>7789-43-7</t>
  </si>
  <si>
    <t>Cumene</t>
  </si>
  <si>
    <t>CUMENE</t>
  </si>
  <si>
    <t>98-82-8</t>
  </si>
  <si>
    <t>Cyclohexane</t>
  </si>
  <si>
    <t>CYHEX</t>
  </si>
  <si>
    <t>110-82-7</t>
  </si>
  <si>
    <t>Cyclopentadiene</t>
  </si>
  <si>
    <t>CYPD</t>
  </si>
  <si>
    <t>542-92-7</t>
  </si>
  <si>
    <t>Dicyclopentadiene</t>
  </si>
  <si>
    <t>DCYPD</t>
  </si>
  <si>
    <t>77-73-6</t>
  </si>
  <si>
    <t>Di-ethanolamine</t>
  </si>
  <si>
    <t>DEA</t>
  </si>
  <si>
    <t>141-43-5</t>
  </si>
  <si>
    <t>Diethylene glycol</t>
  </si>
  <si>
    <t>DEG</t>
  </si>
  <si>
    <t>111-46-6</t>
  </si>
  <si>
    <t>Difluoromethane</t>
  </si>
  <si>
    <t>DFM</t>
  </si>
  <si>
    <t>75-10-5</t>
  </si>
  <si>
    <t>Diisopropyl ether</t>
  </si>
  <si>
    <t>DIPE</t>
  </si>
  <si>
    <t>108-20-3</t>
  </si>
  <si>
    <t>Dimethyl disulfide</t>
  </si>
  <si>
    <t>DMDS</t>
  </si>
  <si>
    <t>624-92-0</t>
  </si>
  <si>
    <t>Dimethyl ether</t>
  </si>
  <si>
    <t>115-10-6</t>
  </si>
  <si>
    <t>Diphosphorus pentaoxide</t>
  </si>
  <si>
    <t>P2O5</t>
  </si>
  <si>
    <t xml:space="preserve">Dipropylene glycol methyl ether </t>
  </si>
  <si>
    <t>DPGME</t>
  </si>
  <si>
    <t>Epichlorohydrin</t>
  </si>
  <si>
    <t>ECH</t>
  </si>
  <si>
    <t>106-89-8</t>
  </si>
  <si>
    <t>Ethane</t>
  </si>
  <si>
    <t>N-C2A</t>
  </si>
  <si>
    <t>74-84-0</t>
  </si>
  <si>
    <t>Ethanol</t>
  </si>
  <si>
    <t>ETOH</t>
  </si>
  <si>
    <t>64-17-5</t>
  </si>
  <si>
    <t>Ethyl chloride</t>
  </si>
  <si>
    <t>EC</t>
  </si>
  <si>
    <t>75-00-3</t>
  </si>
  <si>
    <t>Ethylbenzene</t>
  </si>
  <si>
    <t>EB</t>
  </si>
  <si>
    <t>100-41-4</t>
  </si>
  <si>
    <t>Ethylbenzene hydroperoxide</t>
  </si>
  <si>
    <t>EBHP</t>
  </si>
  <si>
    <t>3071-32-7</t>
  </si>
  <si>
    <t xml:space="preserve">Ethylene </t>
  </si>
  <si>
    <t>C2E</t>
  </si>
  <si>
    <t>74-85-1</t>
  </si>
  <si>
    <t>Ethylene dichloride</t>
  </si>
  <si>
    <t>EDC</t>
  </si>
  <si>
    <t>107-06-2</t>
  </si>
  <si>
    <t>Ethylene glycol</t>
  </si>
  <si>
    <t>MEG</t>
  </si>
  <si>
    <t>107-21-1</t>
  </si>
  <si>
    <t>Ethylene oxide</t>
  </si>
  <si>
    <t>EO</t>
  </si>
  <si>
    <t>75-21-8</t>
  </si>
  <si>
    <t>Ferric chloride</t>
  </si>
  <si>
    <t>FECL3</t>
  </si>
  <si>
    <t>7705-08-0</t>
  </si>
  <si>
    <t>Fluoromethane</t>
  </si>
  <si>
    <t>CH3F</t>
  </si>
  <si>
    <t>593-53-3</t>
  </si>
  <si>
    <t>Formaldehyde</t>
  </si>
  <si>
    <t>HCHO</t>
  </si>
  <si>
    <t>50-00-0</t>
  </si>
  <si>
    <t>Formic acid</t>
  </si>
  <si>
    <t>CHOOH</t>
  </si>
  <si>
    <t>64-18-6</t>
  </si>
  <si>
    <t>Glycerol</t>
  </si>
  <si>
    <t>GLY</t>
  </si>
  <si>
    <t>56-81-5</t>
  </si>
  <si>
    <t>Hematite</t>
  </si>
  <si>
    <t>FE2O3</t>
  </si>
  <si>
    <t>Hydrogen</t>
  </si>
  <si>
    <t>1333-74-0</t>
  </si>
  <si>
    <t>Hydrogen chloride</t>
  </si>
  <si>
    <t>HCL</t>
  </si>
  <si>
    <t>7647-01-0</t>
  </si>
  <si>
    <t>Hydrogen ion</t>
  </si>
  <si>
    <t>H+</t>
  </si>
  <si>
    <t>12408-02-5</t>
  </si>
  <si>
    <t>Hydrogen sulfate</t>
  </si>
  <si>
    <t>HSO4-</t>
  </si>
  <si>
    <t>14996-02-2</t>
  </si>
  <si>
    <t>Hydrogen sulfide</t>
  </si>
  <si>
    <t>H2S</t>
  </si>
  <si>
    <t>7783-06-4</t>
  </si>
  <si>
    <t>Hydronium</t>
  </si>
  <si>
    <t>H3O+</t>
  </si>
  <si>
    <t>13968-08-6</t>
  </si>
  <si>
    <t>Hydroxide</t>
  </si>
  <si>
    <t>OH-</t>
  </si>
  <si>
    <t>14280-30-9</t>
  </si>
  <si>
    <t>Isobutane</t>
  </si>
  <si>
    <t>I-C4A</t>
  </si>
  <si>
    <t>75-28-5</t>
  </si>
  <si>
    <t>Isobutylene</t>
  </si>
  <si>
    <t>I-C4E</t>
  </si>
  <si>
    <t>115-11-7</t>
  </si>
  <si>
    <t>Isopentane</t>
  </si>
  <si>
    <t>I-C5A</t>
  </si>
  <si>
    <t>78-78-4</t>
  </si>
  <si>
    <t>Isophthalonitrile</t>
  </si>
  <si>
    <t>IPN</t>
  </si>
  <si>
    <t>Isoprene</t>
  </si>
  <si>
    <t>IPE</t>
  </si>
  <si>
    <t>78-79-5</t>
  </si>
  <si>
    <t>Isopropyl alcohol</t>
  </si>
  <si>
    <t>IPA</t>
  </si>
  <si>
    <t>67-63-0</t>
  </si>
  <si>
    <t>Lauroyl peroxide</t>
  </si>
  <si>
    <t>LPO</t>
  </si>
  <si>
    <t>105-74-8</t>
  </si>
  <si>
    <t>Linolenic Acid</t>
  </si>
  <si>
    <t>Magnesium oxide</t>
  </si>
  <si>
    <t>MGO</t>
  </si>
  <si>
    <t>Manganese(II) bromide</t>
  </si>
  <si>
    <t>MNBR2</t>
  </si>
  <si>
    <t>13446-03-2</t>
  </si>
  <si>
    <t>Methane</t>
  </si>
  <si>
    <t>74-82-8</t>
  </si>
  <si>
    <t>MEOH</t>
  </si>
  <si>
    <t>67-56-1</t>
  </si>
  <si>
    <t>Methyl acetate</t>
  </si>
  <si>
    <t>MEOAC</t>
  </si>
  <si>
    <t>79-20-9</t>
  </si>
  <si>
    <t>Methyl acetylene</t>
  </si>
  <si>
    <t>MEAC</t>
  </si>
  <si>
    <t>74-99-7</t>
  </si>
  <si>
    <t>Methyl chloride</t>
  </si>
  <si>
    <t>MECL</t>
  </si>
  <si>
    <t>74-87-3</t>
  </si>
  <si>
    <t>Methyl diethanolamine</t>
  </si>
  <si>
    <t>MDEA</t>
  </si>
  <si>
    <t>105-59-9</t>
  </si>
  <si>
    <t>Methyl fluoride</t>
  </si>
  <si>
    <t>FMT</t>
  </si>
  <si>
    <t>Methyl formate</t>
  </si>
  <si>
    <t>MF</t>
  </si>
  <si>
    <t>107-31-3</t>
  </si>
  <si>
    <t>Methyl linoleate</t>
  </si>
  <si>
    <t>MELO</t>
  </si>
  <si>
    <t>112-63-0</t>
  </si>
  <si>
    <t>Methyl linolenate</t>
  </si>
  <si>
    <t>LAME</t>
  </si>
  <si>
    <t>301-00-8</t>
  </si>
  <si>
    <t>Methyl oleate</t>
  </si>
  <si>
    <t>MOL</t>
  </si>
  <si>
    <t>112-62-9</t>
  </si>
  <si>
    <t>Methyl tert-butyl ether</t>
  </si>
  <si>
    <t>MTBE</t>
  </si>
  <si>
    <t>1634-04-4</t>
  </si>
  <si>
    <t>Methylcyclopentane</t>
  </si>
  <si>
    <t>MCP</t>
  </si>
  <si>
    <t>96-37-7</t>
  </si>
  <si>
    <t>Molybdenum</t>
  </si>
  <si>
    <t>MO</t>
  </si>
  <si>
    <t>7439-98-7</t>
  </si>
  <si>
    <t>Mono-ethanolamine</t>
  </si>
  <si>
    <t>MEA</t>
  </si>
  <si>
    <t>m-Tolunitrile</t>
  </si>
  <si>
    <t>M-TN</t>
  </si>
  <si>
    <t>620-22-4</t>
  </si>
  <si>
    <t>m-Xylene</t>
  </si>
  <si>
    <t>M-XYLENE</t>
  </si>
  <si>
    <t>108-38-3</t>
  </si>
  <si>
    <t>m-Xylenediamine</t>
  </si>
  <si>
    <t>MXDA</t>
  </si>
  <si>
    <t>1477-55-0</t>
  </si>
  <si>
    <t>N,N-Dimethylformamide</t>
  </si>
  <si>
    <t>DMF</t>
  </si>
  <si>
    <t>68-12-2</t>
  </si>
  <si>
    <t>NAPHTHA</t>
  </si>
  <si>
    <t>8030-30-6</t>
  </si>
  <si>
    <t>Naphthalene</t>
  </si>
  <si>
    <t>NAPH</t>
  </si>
  <si>
    <t>91-20-3</t>
  </si>
  <si>
    <t>n-Butane</t>
  </si>
  <si>
    <t>N-C4A</t>
  </si>
  <si>
    <t>106-97-8</t>
  </si>
  <si>
    <t>n-Hexane</t>
  </si>
  <si>
    <t>HX</t>
  </si>
  <si>
    <t>110-54-3</t>
  </si>
  <si>
    <t>N-C6A</t>
  </si>
  <si>
    <t>Nitrate</t>
  </si>
  <si>
    <t xml:space="preserve">NO3 </t>
  </si>
  <si>
    <t>14797-55-8</t>
  </si>
  <si>
    <t>Nitric acid</t>
  </si>
  <si>
    <t>HNO3</t>
  </si>
  <si>
    <t>7697-37-2</t>
  </si>
  <si>
    <t>Nitric oxide</t>
  </si>
  <si>
    <t>NO</t>
  </si>
  <si>
    <t>10102-43-9</t>
  </si>
  <si>
    <t>Nitrobenzene</t>
  </si>
  <si>
    <t>NBZ</t>
  </si>
  <si>
    <t>98-95-3</t>
  </si>
  <si>
    <t>Nitrogen</t>
  </si>
  <si>
    <t>7727-37-9</t>
  </si>
  <si>
    <t>Nitrogen dioxide</t>
  </si>
  <si>
    <t>NO2</t>
  </si>
  <si>
    <t>10102-44-0</t>
  </si>
  <si>
    <t>Nitrogen tetroxide</t>
  </si>
  <si>
    <t>N2O4</t>
  </si>
  <si>
    <t>10544-72-6</t>
  </si>
  <si>
    <t>Nitrous oxide</t>
  </si>
  <si>
    <t>N2O</t>
  </si>
  <si>
    <t>10024-97-2</t>
  </si>
  <si>
    <t>N-methyl-2-Pyrrolidone</t>
  </si>
  <si>
    <t>NMP</t>
  </si>
  <si>
    <t>872-50-4</t>
  </si>
  <si>
    <t>n-Octane</t>
  </si>
  <si>
    <t>N-C8A</t>
  </si>
  <si>
    <t>111-65-9</t>
  </si>
  <si>
    <t>n-Pentane</t>
  </si>
  <si>
    <t>N-C5A</t>
  </si>
  <si>
    <t>109-66-0</t>
  </si>
  <si>
    <t>n-propylmercaptan</t>
  </si>
  <si>
    <t>N-PMC</t>
  </si>
  <si>
    <t>107-03-9</t>
  </si>
  <si>
    <t>n-Tricosane</t>
  </si>
  <si>
    <t>N-C23A</t>
  </si>
  <si>
    <t>638-67-5</t>
  </si>
  <si>
    <t>Oxygen</t>
  </si>
  <si>
    <t>7782-44-7</t>
  </si>
  <si>
    <t>o-Xylene</t>
  </si>
  <si>
    <t>O-XYLENE</t>
  </si>
  <si>
    <t>95-47-6</t>
  </si>
  <si>
    <t>Oxymethylene segment</t>
  </si>
  <si>
    <t>SOMEN</t>
  </si>
  <si>
    <t>463-57-0</t>
  </si>
  <si>
    <t>Phosgene</t>
  </si>
  <si>
    <t>COCL2</t>
  </si>
  <si>
    <t>75-44-5</t>
  </si>
  <si>
    <t>Piperazine</t>
  </si>
  <si>
    <t>PZ</t>
  </si>
  <si>
    <t>110-85-0</t>
  </si>
  <si>
    <t>poly(vinyl chloride)</t>
  </si>
  <si>
    <t>PVC</t>
  </si>
  <si>
    <t>9002-86-2</t>
  </si>
  <si>
    <t>poly(vinyl chloride) (Solid)</t>
  </si>
  <si>
    <t>PVC-S</t>
  </si>
  <si>
    <t>Polyethylene glycol</t>
  </si>
  <si>
    <t>PEG</t>
  </si>
  <si>
    <t>25322-68-3</t>
  </si>
  <si>
    <t>Polyethylene terephthalate</t>
  </si>
  <si>
    <t>PET</t>
  </si>
  <si>
    <t>25038-59-9</t>
  </si>
  <si>
    <t>Polyethylene terephthalate (solid)</t>
  </si>
  <si>
    <t>PET-S</t>
  </si>
  <si>
    <t>Polyformaldehyde</t>
  </si>
  <si>
    <t>POM</t>
  </si>
  <si>
    <t>9002-81-7</t>
  </si>
  <si>
    <t>Polypropylene</t>
  </si>
  <si>
    <t>PP</t>
  </si>
  <si>
    <t>9003-07-0</t>
  </si>
  <si>
    <t>Potassium acetate</t>
  </si>
  <si>
    <t>KAC</t>
  </si>
  <si>
    <t>127-08-2</t>
  </si>
  <si>
    <t>Potassium bicarbonate</t>
  </si>
  <si>
    <t>KHCO3</t>
  </si>
  <si>
    <t>298-14-6</t>
  </si>
  <si>
    <t>Potassium bicarbonate (solid)</t>
  </si>
  <si>
    <t>KHCO3-S</t>
  </si>
  <si>
    <t>Potassium carbonate</t>
  </si>
  <si>
    <t>K2CO3</t>
  </si>
  <si>
    <t>584-08-7</t>
  </si>
  <si>
    <t>Potassium carbonate (solid)</t>
  </si>
  <si>
    <t>K2CO3-S</t>
  </si>
  <si>
    <t>Potassium ion</t>
  </si>
  <si>
    <t>K+</t>
  </si>
  <si>
    <t>24203-36-9</t>
  </si>
  <si>
    <t>Potassium-chloride</t>
  </si>
  <si>
    <t>KCL</t>
  </si>
  <si>
    <t>7447-40-7</t>
  </si>
  <si>
    <t>Potassium-hydroxide</t>
  </si>
  <si>
    <t>KOH</t>
  </si>
  <si>
    <t>1310-58-3</t>
  </si>
  <si>
    <t>Potassium-oxide</t>
  </si>
  <si>
    <t>K2O</t>
  </si>
  <si>
    <t>Propane</t>
  </si>
  <si>
    <t>N-C3A</t>
  </si>
  <si>
    <t>74-98-6</t>
  </si>
  <si>
    <t>Propyl acetate</t>
  </si>
  <si>
    <t>NPAC</t>
  </si>
  <si>
    <t>109-60-4</t>
  </si>
  <si>
    <t>C3E</t>
  </si>
  <si>
    <t>115-07-1</t>
  </si>
  <si>
    <t>Propylene glycol</t>
  </si>
  <si>
    <t>PG</t>
  </si>
  <si>
    <t>57-55-6</t>
  </si>
  <si>
    <t>Propylene glycol methyl ether</t>
  </si>
  <si>
    <t>PGME</t>
  </si>
  <si>
    <t>Propylene glycol methyl ether isomer</t>
  </si>
  <si>
    <t>I-PGME</t>
  </si>
  <si>
    <t>Propylene oxide</t>
  </si>
  <si>
    <t>PO</t>
  </si>
  <si>
    <t>75-56-9</t>
  </si>
  <si>
    <t>p-Toluic acid</t>
  </si>
  <si>
    <t>P-TA</t>
  </si>
  <si>
    <t>99-94-5</t>
  </si>
  <si>
    <t>p-Xylene</t>
  </si>
  <si>
    <t>P-XYLENE</t>
  </si>
  <si>
    <t>106-42-3</t>
  </si>
  <si>
    <t>Pyridine</t>
  </si>
  <si>
    <t>PY</t>
  </si>
  <si>
    <t>110-86-1</t>
  </si>
  <si>
    <t>Silicon-dioxide</t>
  </si>
  <si>
    <t>SAND</t>
  </si>
  <si>
    <t>7631-86-9</t>
  </si>
  <si>
    <t>Sodium ion</t>
  </si>
  <si>
    <t>NA+</t>
  </si>
  <si>
    <t>Sodium borohydride</t>
  </si>
  <si>
    <t>SBH</t>
  </si>
  <si>
    <t>Sodium chloride</t>
  </si>
  <si>
    <t>NACL</t>
  </si>
  <si>
    <t>7647-14-5</t>
  </si>
  <si>
    <t>Sodium chloride (Solid)</t>
  </si>
  <si>
    <t>NACL-S</t>
  </si>
  <si>
    <t>Sodium formate</t>
  </si>
  <si>
    <t>HCOONA</t>
  </si>
  <si>
    <t>141-53-7</t>
  </si>
  <si>
    <t>Sodium formate (solid)</t>
  </si>
  <si>
    <t>HCOONA-S</t>
  </si>
  <si>
    <t xml:space="preserve">Sodium hydroxide </t>
  </si>
  <si>
    <t>NAOH</t>
  </si>
  <si>
    <t>1310-73-2</t>
  </si>
  <si>
    <t>Sodium hydroxide (hydrate)</t>
  </si>
  <si>
    <t>NAOH-W</t>
  </si>
  <si>
    <t>Sodium hydroxide (Solid)</t>
  </si>
  <si>
    <t>NAOH-S</t>
  </si>
  <si>
    <t>Sodium hypochlorite</t>
  </si>
  <si>
    <t>NACLO</t>
  </si>
  <si>
    <t>7681-52-9</t>
  </si>
  <si>
    <t>Sodium methoxide</t>
  </si>
  <si>
    <t>CH3ONA</t>
  </si>
  <si>
    <t>124-41-4</t>
  </si>
  <si>
    <t>Sodium oxide</t>
  </si>
  <si>
    <t>NA2O</t>
  </si>
  <si>
    <t>Sodium sulfate</t>
  </si>
  <si>
    <t>NA2SO4</t>
  </si>
  <si>
    <t>7757-82-6</t>
  </si>
  <si>
    <t>Sodium sulfide</t>
  </si>
  <si>
    <t>NA2S</t>
  </si>
  <si>
    <t>1313-82-2</t>
  </si>
  <si>
    <t>Sodium sulfide (solid)</t>
  </si>
  <si>
    <t>NA2S-S</t>
  </si>
  <si>
    <t xml:space="preserve">Styrene </t>
  </si>
  <si>
    <t>STYRENE</t>
  </si>
  <si>
    <t>100-42-5</t>
  </si>
  <si>
    <t xml:space="preserve">Sulfate </t>
  </si>
  <si>
    <t>SO4</t>
  </si>
  <si>
    <t>14808-79-8</t>
  </si>
  <si>
    <t>Sulfolane</t>
  </si>
  <si>
    <t>SL</t>
  </si>
  <si>
    <t>126-33-0</t>
  </si>
  <si>
    <t>Sulfur</t>
  </si>
  <si>
    <t>S</t>
  </si>
  <si>
    <t>7704-34-9</t>
  </si>
  <si>
    <t>Sulfur dioxide</t>
  </si>
  <si>
    <t>O2S</t>
  </si>
  <si>
    <t>7446-09-5</t>
  </si>
  <si>
    <t>Sulfuric acid</t>
  </si>
  <si>
    <t>H2SO4</t>
  </si>
  <si>
    <t>7664-93-9</t>
  </si>
  <si>
    <t>Terephthalate (segment)</t>
  </si>
  <si>
    <t>STPA</t>
  </si>
  <si>
    <t>Terephthalic acid</t>
  </si>
  <si>
    <t>TPA</t>
  </si>
  <si>
    <t>100-21-0</t>
  </si>
  <si>
    <t>Terephthalic acid (solid)</t>
  </si>
  <si>
    <t>TPA-S</t>
  </si>
  <si>
    <t>tert-Butyl alcohol</t>
  </si>
  <si>
    <t>T-BUOH</t>
  </si>
  <si>
    <t>75-65-0</t>
  </si>
  <si>
    <t>tert-Butyl hydroperoxide</t>
  </si>
  <si>
    <t>TBHP</t>
  </si>
  <si>
    <t>75-91-2</t>
  </si>
  <si>
    <t>Tetrachloromethane</t>
  </si>
  <si>
    <t>TECM</t>
  </si>
  <si>
    <t>56-23-5</t>
  </si>
  <si>
    <t>Tetraethylene glycol</t>
  </si>
  <si>
    <t>TEEG</t>
  </si>
  <si>
    <t>112-60-7</t>
  </si>
  <si>
    <t>Thiophene</t>
  </si>
  <si>
    <t>THIO</t>
  </si>
  <si>
    <t>110-02-1</t>
  </si>
  <si>
    <t>Titanium dioxide</t>
  </si>
  <si>
    <t>TIO2</t>
  </si>
  <si>
    <t>Titanium tetrachloride</t>
  </si>
  <si>
    <t>TICL4</t>
  </si>
  <si>
    <t>7550-45-0</t>
  </si>
  <si>
    <t>Toluene</t>
  </si>
  <si>
    <t>TOL</t>
  </si>
  <si>
    <t>108-88-3</t>
  </si>
  <si>
    <t>trans-2-butene</t>
  </si>
  <si>
    <t>T-2C4E</t>
  </si>
  <si>
    <t>624-64-6</t>
  </si>
  <si>
    <t>Trichloroacetaldehyde</t>
  </si>
  <si>
    <t>TCAL</t>
  </si>
  <si>
    <t>75-87-6</t>
  </si>
  <si>
    <t>Triethylaluminium</t>
  </si>
  <si>
    <t>TEA</t>
  </si>
  <si>
    <t>97-93-8</t>
  </si>
  <si>
    <t>Triethylene glycol</t>
  </si>
  <si>
    <t>TEG</t>
  </si>
  <si>
    <t>112-27-6</t>
  </si>
  <si>
    <t>Trilinolein</t>
  </si>
  <si>
    <t>LLL</t>
  </si>
  <si>
    <t>537-40-6</t>
  </si>
  <si>
    <t>Trilinolenin</t>
  </si>
  <si>
    <t>LNLNLN</t>
  </si>
  <si>
    <t>14465-68-0</t>
  </si>
  <si>
    <t>Triolein</t>
  </si>
  <si>
    <t>OOO</t>
  </si>
  <si>
    <t>122-32-7</t>
  </si>
  <si>
    <t xml:space="preserve">Tripropylene glycol methyl ether </t>
  </si>
  <si>
    <t>TPGME</t>
  </si>
  <si>
    <t>Urea</t>
  </si>
  <si>
    <t>UREA</t>
  </si>
  <si>
    <t>57-13-6</t>
  </si>
  <si>
    <t>Urea (solid)</t>
  </si>
  <si>
    <t>UREA-S</t>
  </si>
  <si>
    <t>VAC</t>
  </si>
  <si>
    <t>689-97-4</t>
  </si>
  <si>
    <t>Vinyl chloride (monomer)</t>
  </si>
  <si>
    <t>VCM</t>
  </si>
  <si>
    <t>75-01-4</t>
  </si>
  <si>
    <t>Vinyl chloride (segment)</t>
  </si>
  <si>
    <t>SVCM</t>
  </si>
  <si>
    <t>7732-18-5</t>
  </si>
  <si>
    <t>H2O-1</t>
  </si>
  <si>
    <t>HYDROGEN PLANT</t>
  </si>
  <si>
    <t>1 kt hydrogen</t>
  </si>
  <si>
    <t>Note: You can scale up to desired H2 production</t>
  </si>
  <si>
    <t>Hydrogen has become more popular due to its applications as a fuel as well as commodity chemical. Though claimed as the most abundant element in the universe, hydrogen is not available in its pure form, but rather has to be obtained from hydrocarbons by cracking or from water electrolysis . 
On an industrial scale, hydrogen is produced by cracking of hydrocarbons via a process called Steam Methane Reforming (SMR), which is used to produce 96% of the global hydrogen demands. In this conventional process, low molecular hydrocarbons, majorly methane, are cracked to obtain hydrogen and other gases, followed by a separation train to obtain &gt;99 wt% purity. 
An SMR process includes 2 significant steps- a high temperature reforming step with Ni/Al2O3 catalyst and an exothermic shift reaction to produce more hydrogen from shifting CO to CO2 in an iron oxide-based catalyst. 
The reforming reaction is represented as follows,
		CH4 + H2O ⇌ CO + 3 H2 		(ΔHr= 206 kJ/mol)
This reaction is highly endothermic and takes place at 850˚C and 19 bar. The heating requirements are provided by burning natural gas in a furnace.
On the other hand, the water gas shift reaction is as follows,
		CO + H2O ⇌ CO2 + H2 		(ΔHr= -41 kJ/mol)
This reaction is mildly exothermic and takes place at &gt; 400˚C and 17 bar.
In conventional SMR plants, the process gas is further purified using amine absorption to remove CO2 and cryogenic separation to obtain  hydrogen  with &gt;95 wt.% purity.  In most modern plants, instead of amine absorption, several Pressure Swing Adsorption (PSA) units are used to obtain hydrogen with high purity (&gt;99 wt.%.) .The tail gas from PSA units has unreacted methane, which can be combined with natural gas to be used as a furnace fuel.</t>
  </si>
  <si>
    <t xml:space="preserve">In the modern steam reforming process, natural gas at 20˚C, and 20 bar, enters the reformer and is mixed with steam at 215˚C, 21 bar and a partial recycle of hydrogen product. The Steam/Carbon ratio is maintained at 2.5 [1]. The  feed stream is then pre-heated to 520˚C using  the heat from a natural gas furnace and sent to the reformers. The reformer vessel is essentially a furnace with natural gas fired in the radiation section. This is done to mantain a high heating temperature, which is then required for the endothermic steam methane reforming process. The convection section has tubular reactive zones or reformers where the reaction takes place at 14-20 bar and 850˚C in presence of Ni/Al2O3 catalysts [1]. The reformer outlet is cooled down to 350˚C before entering the shift reactor. Along the way, high and medium pressure steam are generated through boiling feed water. 
In the shift reactor, CO and H2O react and the residual CO is converted to CO2 and more hydrogen is produced [1]. The conversion in this reactor is between 80-95% [2]. Since, the reaction is mildly exothermic, the outlet of the shift reactor is at a slightly elevated temperature. Thus, the process gas is then cooled to 30˚C before it is sent to a flash to remove wastewater, and then the hydrogen is separated in the Pressure Swing Adsorption (PSA). Likewise, in this cooling process, medium and low pressure steam are generated. In the PSA units, operating at ~16bar, hydrogen is selectively separated from the rest gases to obtain a 99,9 wt.% pure product composition. A small part of the product gas (~1,5%) is compressed and recycled back to the reformer tubes to avoid coking. On the other hand, the recovered tail gas from the PSA units is sent to the natural gas furnace, to be used as fuel.
The natural gas furnace is an important utility source, which provides the heat required for conditioning of the feed and the reformer.  In this section, 10% excess air is fed to the furnace after compression at 3 bar [1]. Extremely high temperature is obtained in the furnace, which is used as an utility and then  is used to produce high, medium and low pressure steam. The waste flue gas can be potentially used in other processes (In this model its use has not been considered) </t>
  </si>
  <si>
    <t>Figure 1. Process Flow Diagram- Hydrogen Production</t>
  </si>
  <si>
    <t>Flow kt/kt hydrogen</t>
  </si>
  <si>
    <t>Temp (C)</t>
  </si>
  <si>
    <t>FS-NG</t>
  </si>
  <si>
    <t>FS-STEAM</t>
  </si>
  <si>
    <t>PS-HYDRO</t>
  </si>
  <si>
    <t>99.93% H2, 0.07% N2</t>
  </si>
  <si>
    <t>0.045% CO2, 0.27% H2O, 75.27 % N2, 23.13% O2, 1.28% AR</t>
  </si>
  <si>
    <t>WS-FLUE</t>
  </si>
  <si>
    <t xml:space="preserve"> 61.05% N2, 26.9% CO2, 8.8% Water, 2.4% O2, 0.99% Ar</t>
  </si>
  <si>
    <t>FS-UCH4</t>
  </si>
  <si>
    <t>99.95 %water, 0.05% CO2</t>
  </si>
  <si>
    <t>Input - TJ/kt hydrogen</t>
  </si>
  <si>
    <t>Input - kt/kt hydrogen</t>
  </si>
  <si>
    <t>Output - TJ/kt hydrogen</t>
  </si>
  <si>
    <t>Output - kt/kt hydrogen</t>
  </si>
  <si>
    <t>Net - TJ/kt hydrogen</t>
  </si>
  <si>
    <t>Net - kt/kt hydrogen</t>
  </si>
  <si>
    <t>14139,4 KW*</t>
  </si>
  <si>
    <t>U1-E7</t>
  </si>
  <si>
    <t>U1-E6</t>
  </si>
  <si>
    <t>U1-E13</t>
  </si>
  <si>
    <t>U1-E12</t>
  </si>
  <si>
    <t>Energy-kW</t>
  </si>
  <si>
    <t>U1-E3</t>
  </si>
  <si>
    <t>U1-AD1</t>
  </si>
  <si>
    <t>U1-E11</t>
  </si>
  <si>
    <t>U1-C1</t>
  </si>
  <si>
    <t>U1-C2</t>
  </si>
  <si>
    <t>Natural Gas</t>
  </si>
  <si>
    <t>Furnace</t>
  </si>
  <si>
    <t>U1-E8</t>
  </si>
  <si>
    <t>U1-E2</t>
  </si>
  <si>
    <t>The feed methane is separate from the utility</t>
  </si>
  <si>
    <t>U1-R1</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</si>
  <si>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</si>
  <si>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r>
      <rPr>
        <rFont val="Calibri"/>
        <color theme="1"/>
        <sz val="11.0"/>
      </rPr>
      <t xml:space="preserve">Häussinger, Peter; Lohmuller, Reiner;Watson, M. A. (2012). Hydrogen,6. Uses. </t>
    </r>
    <r>
      <rPr>
        <rFont val="Calibri"/>
        <i/>
        <color theme="1"/>
        <sz val="12.0"/>
      </rPr>
      <t>Ullmann’s Encyclopedia of Industrial Chemistry</t>
    </r>
    <r>
      <rPr>
        <rFont val="Calibri"/>
        <color theme="1"/>
        <sz val="11.0"/>
      </rPr>
      <t>, 353–390. https://doi.org/10.1002/14356007.o13</t>
    </r>
  </si>
  <si>
    <r>
      <rPr>
        <rFont val="Calibri"/>
        <color theme="1"/>
        <sz val="11.0"/>
      </rPr>
      <t xml:space="preserve">Giwa, A., &amp; Giwa, S. O. (2013). Simulation, Sensitivity Analysis and Optimization of Hydrogen Production by Steam Reforming of Methane Using Aspen Plus. </t>
    </r>
    <r>
      <rPr>
        <rFont val="Calibri"/>
        <i/>
        <color theme="1"/>
        <sz val="12.0"/>
      </rPr>
      <t>International Journal of Engineering Research &amp; Technology</t>
    </r>
    <r>
      <rPr>
        <rFont val="Calibri"/>
        <color theme="1"/>
        <sz val="11.0"/>
      </rPr>
      <t xml:space="preserve">, </t>
    </r>
    <r>
      <rPr>
        <rFont val="Calibri"/>
        <i/>
        <color theme="1"/>
        <sz val="12.0"/>
      </rPr>
      <t>2</t>
    </r>
    <r>
      <rPr>
        <rFont val="Calibri"/>
        <color theme="1"/>
        <sz val="11.0"/>
      </rPr>
      <t>(7), 1719–1729.</t>
    </r>
  </si>
  <si>
    <t>Air Liquide Adding Major New H2 Production Unit for Neste NExBTL Plant in Rotterdam. (2020). Retrieved 28 July 2020, from https://www.greencarcongress.com/2008/06/air-liquide-add.html</t>
  </si>
  <si>
    <r>
      <rPr>
        <rFont val="Calibri"/>
        <color theme="1"/>
        <sz val="11.0"/>
      </rPr>
      <t xml:space="preserve">Corso, F. Del. (2019). </t>
    </r>
    <r>
      <rPr>
        <rFont val="Calibri"/>
        <i/>
        <color theme="1"/>
        <sz val="12.0"/>
      </rPr>
      <t>Technology status of hydrogen production from fossil fuels w / CCS. Workshop on Hydrogen Production with CCS organised by CSLF, IEAGHG, IEA Hydrogen TCP and Equinor. November 6th, Paris, France.</t>
    </r>
  </si>
  <si>
    <t>Steam reforming. (2020). Retrieved 28 July 2020, from https://en.wikipedia.org/wiki/Steam_reforming#cite_note-10</t>
  </si>
  <si>
    <t>Pressure Swing Adsorption Design And Construction Psa Equipment - Buy Pressure Swing Adsorption Design,Psa,Psa Equipment Product on Alibaba.com. (2020). Retrieved 9 October 2020, from https://www.alibaba.com/product-detail/Pressure-Swing-Adsorption-Design-and-Construction_60728246607.html?spm=a2700.7724857.normalList.142.5c027934q1K9M1</t>
  </si>
  <si>
    <t>ETHYLENE OXIDE AND ETHYLENE GLYCOL PRODUCTION</t>
  </si>
  <si>
    <t>198 kt/y ethylene oxide &amp; 135 kt/y monoethylene glycol</t>
  </si>
  <si>
    <t>Ethylene oxide is an important chemical intermediate used in the production of ethylene glycols and also used for detergent ethoxylates, ethanolamines, glycol  ethers and polyols [1]. Ethylene oxide is produced by the oxidation of ethylene. Most of the plants in Europe use oxygen for the oxidation purpose to reduce the purge gas emissions. Although ethylene oxide (EO) and ethylene glycol (EG) can be produced separately, nearly all European installations produce a mix of products in integrated plants [1].  Integrated plants are common because EO production is mainly exothermic and EG production requires a lot of energy for subsequent product distillations steps, hence, the integrated plants utilise the excess heat which makes this configuration highly desirable. 
Ethylene glycol is produced by reacting ethylene oxide with water. Ethylene glycol is a collective term that refers to monoethylene glycol (MEG), diethylene glycol (DEG) and triethylene glycol (TEG)[1]. MEG is mainly used as anti-freeze in cooling systems, for the manufacture of polyester fibres and polyethylene terephthalate (PET). DEG is used mainly for production of unsaturated polyester resins and in polyurethane systems and TEG is mainly used in the production of polybutylene terephthalate foils, for drying, etc [4].</t>
  </si>
  <si>
    <t xml:space="preserve">The main feedstocks required for the production of ethylene oxide are; Ethylene and oxygen, and the main feedstocks required for ethylene glycol production are ethylene oxide and water [2]. 
In a solid-silver containing catalyst bed, 99.5% pure ethylene and 99% pure oxygen are reacted at 200-300 °C and 15-25 bar pressure to produce ethylene oxide[2][3]. The reaction is exothermic and the selectivity of the reaction is 75-90 wt% with an ethylene conversion of 8-10% [2].The overall reactions are as follows:
            Ethylene + 0,5 Oxygen → Ethylene oxide; main reaction
            Ethylene + 3 Oxygen → 2 CO2 + 2 H2O; side reaction
As the ethylene oxygen mixture is highly explosive in the given conditions, a diluent is generally used to safe guard the process, and methane is generally used for this purpose. Hence, the concentration at the reactor inlet is maintained as follows [2]:
           Ethylene= 15-40 vol%
           Oxygen= 5-9 vol%
           CO2= 5-15 vol%
           Ethane= 0.2 vol%
           Argon= 5-15 vol%
           Methane= 1-60 vol%
 As the ethylene oxide reaction is exothermic, excess steam is produced from the process. The reactor outlet is then subsequently cooled to near atmospheric temperature followed by scrubbing the ethylene oxide using water in an ethylene scrubber. The gases from the ethylene oxide scrubber contain most of the unreacted reactants, by-products like CO2, diluent and impurities like ethane, argon and nitrogen. This gas stream is splitted into three streams: one is recycled to the oxidation reaction, a purge stream of about 0,1-0,2 wt% is taken to maintain the impurities level and another part is separately scrubbed using potassium carbonate solution to remove the excess CO2 from the recycle stream. The CO2 scrubbing loop includes mainly the absorber column and the CO2 desorber column, which are needed to regenerate the absorbent liquid. The CO2 rich stream obtained along with the purge gas are generally incinerated to safely discharge the off-gas, and to produce excess steam.
On the other hand, the liquid from the ethylene oxide scrubber is sent to an ethylene oxide desorber to regenerate the scrubbing water and separate the ethylene oxide product. The ethylene oxide product is further subjected to steam stripping to remove other light ends from the product. The ethylene oxide is then subjected to distillation to obtain pure ethylene oxide[2]. These downstream purification steps generally occur at a pressure of 3-5 bar [3]. The water concentration of the final ethylene oxide stream recovered at the bottom of the ethylene oxide distillation column can be maintained since this mixture can be further processed directly in the ethylene glycol unit [2].
In the ethylene glycol section, the bottom of the ethylene distillation unit which contains mainly ethylene oxide and water is further processed to obtain ethylene glycol. This mixture should contain about 10-20 folds molar excess water at reactor inlet [4] or 80% water mass fraction at reactor outlet [3] to avoid ethylene glycol polymerization. The reaction occurs at a temperature of 200 °C and a pressure of 10-40 bar[1,3]. The glycol distribution is essentially unaffected by change in pressure and temperature in the given range [5] and the pressure is maintained so as to ensure liquid phase reaction conditions[4]. The reaction at the given conditions is spontaneous and the reactions are as follows[4]:
                              Ethylene oxide + Water → Monoethylene glycol (MEG)
                              Monoethylene glycol + Ethylene oxide → Diethylene glycol (DEG)
                              Diethylene glycol + Ethylene oxide → Triethylene glycol (TEG)
The excess water after the reactor is separated at lower pressure or atmospheric conditions in drying columns, and the water is recycled back together with the purge to maintain the purity of the recycled water. The crude glycol from the drying column bottom contains about 87% MEG, 12% DEG and 1% TEG [3]. This crude glycol is then further subjected to vacuum distillation to separate the MEG, DEG and TEG products[6]. This is done in order to maintain a temperature below 220 °C to avoid thermal degradation[6]. 
The main products of the process are Ethylene oxide and crude ethylene glycol (or MEG, DEG and TEG) and the main by-products of the overall process are effluent water and off-gas. </t>
  </si>
  <si>
    <t>Figure 1. Process Flow Diagram- Ethylene Oxide and Ethylene Glycol Production</t>
  </si>
  <si>
    <t>99% O2, 0,5% N2, 0,5% AR</t>
  </si>
  <si>
    <t>99,14% EO, 0,86% CO2</t>
  </si>
  <si>
    <t>99,5% Ethylene, 0,5% Ethane</t>
  </si>
  <si>
    <t>Mono Ethylene glycol</t>
  </si>
  <si>
    <t>99,97% MEG, 0,03% water</t>
  </si>
  <si>
    <t>Diluent</t>
  </si>
  <si>
    <t>100% Methane</t>
  </si>
  <si>
    <t>Di Ethylene glycol</t>
  </si>
  <si>
    <t>99,% DEG, 0,37% MEG, 0,1% TEG</t>
  </si>
  <si>
    <t>21 mol% O2, 79 mol% N2</t>
  </si>
  <si>
    <t>Tri Ethylene glycol</t>
  </si>
  <si>
    <t>98,95% TEG, 1% DEG, 0,05% TEEG</t>
  </si>
  <si>
    <t>Stripping steam</t>
  </si>
  <si>
    <t>Tetra Ethylene glycol</t>
  </si>
  <si>
    <t>99,83% TEEG, 0,17% TEG</t>
  </si>
  <si>
    <t>Effluent water</t>
  </si>
  <si>
    <t>Purge water</t>
  </si>
  <si>
    <t>99,75% water, 0,25% MEG</t>
  </si>
  <si>
    <t>66% N2, 20% CO2, 9% water, 5% O2</t>
  </si>
  <si>
    <t>Purge potassium carbonate solution (calculated)</t>
  </si>
  <si>
    <t>98% CO2, 2% EO</t>
  </si>
  <si>
    <t>8629,24 kW*</t>
  </si>
  <si>
    <t>E1-P3</t>
  </si>
  <si>
    <t>Potassium carbonate solution feed pump</t>
  </si>
  <si>
    <t>E3-P3</t>
  </si>
  <si>
    <t>MEG product pump</t>
  </si>
  <si>
    <t>E3-P4</t>
  </si>
  <si>
    <t>DEG product pump</t>
  </si>
  <si>
    <t>E3-P5</t>
  </si>
  <si>
    <t>TEG product pump</t>
  </si>
  <si>
    <t>E1-E2</t>
  </si>
  <si>
    <t>Ethylene oxide cooler-1</t>
  </si>
  <si>
    <t>E3-P1</t>
  </si>
  <si>
    <t>Ethylene glycol feed pump</t>
  </si>
  <si>
    <t>E1-E6</t>
  </si>
  <si>
    <t>Flue-gas cooler-2</t>
  </si>
  <si>
    <t>E3-P2</t>
  </si>
  <si>
    <t>Recycle feed pump</t>
  </si>
  <si>
    <t>E3-E6</t>
  </si>
  <si>
    <t>TEEG product cooler-1</t>
  </si>
  <si>
    <t>E1-P1</t>
  </si>
  <si>
    <t>Ethylene oxide scrubber water pump</t>
  </si>
  <si>
    <t>E1-T6</t>
  </si>
  <si>
    <t>CO2 desorber</t>
  </si>
  <si>
    <t>E1-P2</t>
  </si>
  <si>
    <t>Make-up water pump</t>
  </si>
  <si>
    <t>E1-E8</t>
  </si>
  <si>
    <t>Recycle gas heater</t>
  </si>
  <si>
    <t>E1-C1</t>
  </si>
  <si>
    <t>Oxygen feed compressor</t>
  </si>
  <si>
    <t>E1-T4</t>
  </si>
  <si>
    <t>Ethylene oxide distillation</t>
  </si>
  <si>
    <t>E1-C2</t>
  </si>
  <si>
    <t>Ethylene feed compressor</t>
  </si>
  <si>
    <t>E1-T3</t>
  </si>
  <si>
    <t>Steam stripper</t>
  </si>
  <si>
    <t>Duty value calculated from mass flow</t>
  </si>
  <si>
    <t>E1-C3</t>
  </si>
  <si>
    <t>Diluent compressor</t>
  </si>
  <si>
    <t>E3-P6</t>
  </si>
  <si>
    <t>TEEG product pump</t>
  </si>
  <si>
    <t>E1-E7</t>
  </si>
  <si>
    <t>Recycle potassium carbonate solution cooler</t>
  </si>
  <si>
    <t>E1-E5</t>
  </si>
  <si>
    <t>Flue-gas cooler-1</t>
  </si>
  <si>
    <t>E3-E3</t>
  </si>
  <si>
    <t>MEG product cooler</t>
  </si>
  <si>
    <t>E1-R1</t>
  </si>
  <si>
    <t>Ethylene oxide reactor</t>
  </si>
  <si>
    <t>E3-E4</t>
  </si>
  <si>
    <t>DEG product cooler</t>
  </si>
  <si>
    <t>E3-E1</t>
  </si>
  <si>
    <t>Ethylene glycol feed heater</t>
  </si>
  <si>
    <t>E3-E5</t>
  </si>
  <si>
    <t>TEG column</t>
  </si>
  <si>
    <t>E3-T1</t>
  </si>
  <si>
    <t>Drying column</t>
  </si>
  <si>
    <t>E3-E2</t>
  </si>
  <si>
    <t>Recycle cooler</t>
  </si>
  <si>
    <t>E3-T2</t>
  </si>
  <si>
    <t>MEG column</t>
  </si>
  <si>
    <t>E3-T3</t>
  </si>
  <si>
    <t>DEG column</t>
  </si>
  <si>
    <t>E3-T4</t>
  </si>
  <si>
    <t>E1-T2</t>
  </si>
  <si>
    <t>Ethylene oxide desorber</t>
  </si>
  <si>
    <t>E1-E3</t>
  </si>
  <si>
    <t>Ethylene oxide cooler-2</t>
  </si>
  <si>
    <t>E1-E4</t>
  </si>
  <si>
    <t>Water recycle cooler</t>
  </si>
  <si>
    <t>E1-FU1B</t>
  </si>
  <si>
    <t>Incinerator radiative section</t>
  </si>
  <si>
    <t>E1-E1</t>
  </si>
  <si>
    <t>Feed heater</t>
  </si>
  <si>
    <t>Air</t>
  </si>
  <si>
    <t>E3-E7</t>
  </si>
  <si>
    <t>TEEG product cooler-2</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</si>
  <si>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</si>
  <si>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Heino Falcke, Simon Holbrook, Iain Clenahan, Alfredo Lopez Carretero, Teoman Sanalan, Thomas Brinkmann, Joze Roth, Benoit Zerger Serge Roudier and Luis Delgado Sancho, "Best Available Techniques (BAT) Reference Document for the Production of Large Volume Organic Chemicals," JRC, European Commission, 2017.</t>
  </si>
  <si>
    <t>Siegfried Rebsdat and Dieter Mayer, "Ethylene Oxide," in Ullmann's Encyclopaedia of Industrial Chemistry, Wiley-VCH Verlag GmbH &amp; Co. KGaA, Weinheim, 2012, pp. 547-572.</t>
  </si>
  <si>
    <t>Ineos NV, "MER voor de capaciteitsuitbreiding en hervergunning bij Ineos te Zwijndrecht," Ineos NV, 2007.</t>
  </si>
  <si>
    <t>Siegfried Rebsdat and Dieter Mayer, "Ethylene Glycol," in Ullmann's Encyclopaedia of Industrial Chemistry, Wiley-VCH Verlag GmbH &amp; Co. KGaA, Weinheim, 2012, pp. 531-546.</t>
  </si>
  <si>
    <t xml:space="preserve">Emaad T. Bakir, Ethylene glycol production. </t>
  </si>
  <si>
    <t>BIODIESEL PRODUCTION</t>
  </si>
  <si>
    <t>374 kt/y Biodiesel</t>
  </si>
  <si>
    <t xml:space="preserve">Biodiesel is produced using vegetable oils from rapeseed, sunflower and soybean [2]. Most of the biodiesel is currently produced using base catalysed transesterification processes, with a yield efficency of about 98% [1]. It is most economical process route and uses moderate temperature and pressure conditions [1]. Lurgi’s transesterification process is widely used in large capacity plants [4]. The Lurgi process begins with intensive mixing of oil and methanol, in presence of a catalyst (preferably a base) and reaction occuring in a settling tank for about 90min at 60˚C [3]. A second stage reactor maximizes the biodiesel yield and quality [3]. The reactors promote separation of the lighter methyl ester and oil phase from the heavier glycerol and methanol in water [3]. 
The vegetable oils used in this process might contain Free Fatty Acids (FFAs) and thus  a pretreatment with NaOH is needed. In cases where FFA content of the oil is above 1%, difficulties arise due to the formation of soap, which promotes emulsification during the water washing stage [3]. In the current sheet, rapeseed oil is used as a feedstock, composed of the following significant triglycerides- Trioleic acid (67,9%), Trilinoleic acid (23,5%), Trilinolenic acid (8,6%) excluding the small amounts of stearic, palmitic and other minority acids [5].
The reaction of triglycerides with methanol to give methyl esters and glycerine is presented below:
The transesterification process uses a homogenous alkali catalyst like sodium methoxide (NAOCH3) [2]. The reaction product is washed with water in an extractor to recover methanol and glycerol from the stream. Methanol is separated from this stream and recycled back to the reactor, and the glycerine is further purified in another column to obtain glycerine with a purity of  80- 85 wt% [2]. This stream can be further processed to obtain a pharmaceutical grade glycerine [3, 6]. The transesterification process is used with a closed loop water wash to minimize the production of waste water [7]. 
The main product is a mixture of fatty acid methyl esters which is dried in a vacuum dryer to obtain a water-free product.
</t>
  </si>
  <si>
    <t>The current sheet is designed to produce ~375 kton/yr biodiesel (mixture of fatty acid methyl esters or FAME) from a similar amount of rapeseed oil with a composition of triglycerides as- Trioleic acid (67,9%), Trilinoleic acid (23,5%) and Trilinolenic acid (8,6%) (excluding minority acids) [3]. The feedstock oil is assumed to have no free fatty acids. Thus, a sodium hydroxide pretreatment is not modeled here. A high purity methanol is used for transesterification of the triglycerides, which is mixed with sodium methoxide, as a homogenous alkali catalyst, before inlet to the reactor.
The flowsheet begins with an intense mixing of the oil and methanol at ambient conditions and the mix feed is inlet to the reactor.  In  large scale production plants (&gt;4 mn lt/yr), CSTRs and Plug flow reactors are used instead of a batch transesterification process [8]. The reactor is a settling tank which operates at 60˚C and ambient pressures for 90min and allows the lighter methyl esters and oils to be separated from the water-methanol phase [2,4]. The heavy stream containing water, methanol and glycerol is sent to a recovery column where most of the methanol is recovered and recycled back to the first reactor. A second reactor in series increases the yield and quality of the product [3]. The water-methanol phase recovered from the second reactor is sent back to the first reactor. The product stream from this reactor goes to a water washer (an extraction column), where the methanol-glycerol from the product is recovered and sent to the methanol recovery column. The purified FAME stream is then sent to a vacuum dryer to remove the excess water. The product- FAME is treated to storage conditions. The bottoms  of the methanol recovery column is sent to a neutralisation chamber to remove sodium methoxide catalyst from the glycerol-concentrated stream, and the recovered methanol at the top is recycled back to the first reactor.
After the neutralisation, further vacuum evaporators remove water and methanol traces from the glycerol-rich stream [9] and the solid catalyst is removed from the liquid using centrifuge separator. The stream is further sent to a glycerol unit, where a crude glycerol product is produced. This bottom glycerine product in this column is 80-85 wt% pure and can be further purified for pharmaceutical requirements [7]. The water recovered from the glycerol column is recycled back to the water washing column.</t>
  </si>
  <si>
    <t>Figure 1. Process Flow Diagram- Biodiesel Production</t>
  </si>
  <si>
    <t>S-TRIGLY (Rapeseed oil)</t>
  </si>
  <si>
    <t>TRIOLEIN (67,9%), TRILINOL (23,5%), Trilinolenin (8,6%)</t>
  </si>
  <si>
    <t>S-FAME (Biodiesel)</t>
  </si>
  <si>
    <t>METHY-01 (67,2%), METHY-02 (23,2%), METHY-03 (8,5%), WATER (0,2%)</t>
  </si>
  <si>
    <t>S-METHANOL</t>
  </si>
  <si>
    <t>METHANOL (100%)</t>
  </si>
  <si>
    <t>S-GLYCEROL</t>
  </si>
  <si>
    <t>GLYC (83%), METHY-01 (8,1%), METHY-02 (2,7%) WATER (2,9%), H2SO4 (1,5%), METHY-03 (1,1%)</t>
  </si>
  <si>
    <t>S-NAOCH3</t>
  </si>
  <si>
    <t>NAOCH3 (100%)</t>
  </si>
  <si>
    <t>*METHY-# refers to Fatty Acid Methyl Esters (FAME)</t>
  </si>
  <si>
    <t>S-H2SO4</t>
  </si>
  <si>
    <t>H2SO4 (98%)</t>
  </si>
  <si>
    <t>S-WASH</t>
  </si>
  <si>
    <t>H2O (100%)</t>
  </si>
  <si>
    <t>S-WW1</t>
  </si>
  <si>
    <t>H2O (99,4%), METHY-01 (0,2%), METHY-02 (0,1%)</t>
  </si>
  <si>
    <t>S-WW2</t>
  </si>
  <si>
    <t>H2O (99,3%)</t>
  </si>
  <si>
    <t>S-WW3</t>
  </si>
  <si>
    <t>METHANOL (99,1%)</t>
  </si>
  <si>
    <t>S-WW4</t>
  </si>
  <si>
    <t>H2O (98,8%), METHANOL (0,9%), METHY-01 (0,1%)</t>
  </si>
  <si>
    <t>S-WW5</t>
  </si>
  <si>
    <t>H2O (99,2%), NAOCH3 (0,8%)</t>
  </si>
  <si>
    <t>S-SOLCAT</t>
  </si>
  <si>
    <t>NA2SO4 (100%)</t>
  </si>
  <si>
    <t>S-PURG</t>
  </si>
  <si>
    <t>GLYCEROL (65%), WATER (23,7%)</t>
  </si>
  <si>
    <t>3,65 kW*</t>
  </si>
  <si>
    <t>B1-E7</t>
  </si>
  <si>
    <t>B1-E1</t>
  </si>
  <si>
    <t>B1-D4</t>
  </si>
  <si>
    <t>B1-D5</t>
  </si>
  <si>
    <t>B1-T2</t>
  </si>
  <si>
    <t>B1-P1</t>
  </si>
  <si>
    <t>B1-P2</t>
  </si>
  <si>
    <t>B1-P3</t>
  </si>
  <si>
    <t>B1-P4</t>
  </si>
  <si>
    <t>B1-P5</t>
  </si>
  <si>
    <t>B1-E2</t>
  </si>
  <si>
    <t>B1-E3</t>
  </si>
  <si>
    <t>B1-E4</t>
  </si>
  <si>
    <t>B1-E5</t>
  </si>
  <si>
    <t>B1-E6</t>
  </si>
  <si>
    <t>B1-E8</t>
  </si>
  <si>
    <t>B1-E9</t>
  </si>
  <si>
    <t>B1-E10</t>
  </si>
  <si>
    <t>B1-T3</t>
  </si>
  <si>
    <t>B1-R1</t>
  </si>
  <si>
    <t>B1-R2</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</si>
  <si>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</si>
  <si>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Achten, W.M.J., Verchot, L., Franken, Y.J., Mathijs, E., Singh, V.P., Aerts, R., Muys, B., 2008. Jatropha bio-diesel production and use, a review. Biomass Bioenergy 32, 1063-1084</t>
  </si>
  <si>
    <t>Khandelwal, M., van Dril, T. (2020). Decarbonisation options for the Dutch biofuels industry | PBL Planbureau voor de Leefomgeving. The Hague, 2020, PBL Publication Number: 3887, April, 67.</t>
  </si>
  <si>
    <t>Luna, D., Calero, J., Sancho, E. D., Luna, C., Posadillo, A., Bautista, F. M., Romero, A. A., Berbel, J., &amp; Verdugo, C. (2014). Technological challenges for the production of biodiesel in arid lands. Journal of Arid Environments, 102, 127–138. https://doi.org/10.1016/j.jaridenv.2013.11.014</t>
  </si>
  <si>
    <t>Lurgi, 2004a. “Life Science: Brochures.” Lurgi Life Science. (Online). Available: http://www.lurgi-lifescience.com/lurgi_ls/english/nbsp/menu/media/brochures/
biodiesel_en.pdf [Mar. 27, 2004a]</t>
  </si>
  <si>
    <t>Encinar, J. M., Pardal, A., Sánchez, N., &amp; Nogales, S. (2018). Biodiesel by transesterification of rapeseed oil using ultrasound: A kinetic study of base-catalysed reactions. Energies, 11(9). https://doi.org/10.3390/en11092229</t>
  </si>
  <si>
    <t>Georgogianni, K. G., Katsoulidis, A. K., Pomonis, P. J., Manos, G., &amp; Kontominas, M. G. (2009). Transesterification of rapeseed oil for the production of biodiesel using homogeneous and heterogeneous catalysis. Fuel Processing Technology, 90(7–8), 1016–1022. https://doi.org/10.1016/J.FUPROC.2009.03.002</t>
  </si>
  <si>
    <t>Air Liquide. (2017). BIODIESEL ULTRA LOW IN PRECIPITATES. Retrieved from https://www.engineering-airliquide.com/sites/activity_eandc/files/2017/11/22/air-liquide-e-c-biodiesel-september-2017.pdf</t>
  </si>
  <si>
    <t>https://farm-energy.extension.org/commercial-and-large-scale-biodiesel-production-systems/</t>
  </si>
  <si>
    <t>Stevens, R., &amp; Scouting, V. P. T. Decarbonize. "Separation method of sodium sulfate salt and glycerol in 12-hydroxytearic acid production waste liquid", 2009</t>
  </si>
  <si>
    <t>Dhar, B. R., &amp; Kirtania, K. (2009). Excess Methanol Recovery in Biodiesel Production Process Using a Distillation Column: A Simulation Study. Chemical Engineering Research Bulletin, 13(2). https://doi.org/10.3329/cerb.v13i2.3538</t>
  </si>
  <si>
    <t>PET PLANT</t>
  </si>
  <si>
    <t>1 kt PTA and 1 kt PET</t>
  </si>
  <si>
    <t>Note: You can scale up to desired PTA and PET production</t>
  </si>
  <si>
    <r>
      <rPr>
        <rFont val="Calibri"/>
        <b/>
        <color theme="1"/>
        <sz val="11.0"/>
      </rPr>
      <t>Purified Terephthalic Acid (PTA) Production</t>
    </r>
    <r>
      <rPr>
        <rFont val="Calibri"/>
        <color theme="1"/>
        <sz val="11.0"/>
      </rPr>
      <t xml:space="preserve">
Terephthalic acid is used mainly to make saturated polyesters with aliphatic diols as co-monomers. Terephthalic acid is produced by the oxidation of methyl groups on the corresponding p-xylene. Most of the terephthalate feedstock used worldwide is produced with a catalytic system consisting of a soluble cobalt-manganese-bromine system. Acetic acid is generally used as the solvent and oxygen in compressed air as the oxidant [1]. The crude Terephthalic acid formed by this process is unsuitable as feedstock for polyester owing to the 4-formylbenzoic acid impurities. Hence, the crude Terephthalic acid undergoes a further hydrogenation purification step to form Purified Terephthalic acid [1].  The main raw materials required are p-xylene, hydrogen and acetic acid. 
</t>
    </r>
    <r>
      <rPr>
        <rFont val="Calibri"/>
        <b/>
        <color theme="1"/>
        <sz val="11.0"/>
      </rPr>
      <t>PET Production</t>
    </r>
    <r>
      <rPr>
        <rFont val="Calibri"/>
        <color theme="1"/>
        <sz val="11.0"/>
      </rPr>
      <t xml:space="preserve">
Polyesters are polymers containing an ester group in the repeating unit of the main polymer chain and are formed by poly-condensation using step-growth reaction [2].  PET is a thermoplastic polyester resin used mainly for polyester fibres, food packaging and PET bottles [3]. PET is commercially produced from ethylene glycol and either dimethyl terephthalate (DMT) or Terephthalic acid (PTA) [3] by batch-wise or continuous processes [2] [4].  The process occurs at vacuum conditions to ensure complete condensation and recovery of ethylene glycol [2].  The polymer formed is further processed for crystallization generally using solid state post condensation techniques under inert conditions [4] [5].  In this datasheet, only the PTA route to form PET is considered. Hence, the main raw materials are PTA and ethylene glycol. 
</t>
    </r>
  </si>
  <si>
    <r>
      <rPr>
        <rFont val="Calibri"/>
        <b/>
        <color theme="1"/>
        <sz val="11.0"/>
      </rPr>
      <t>PTA Production</t>
    </r>
    <r>
      <rPr>
        <rFont val="Calibri"/>
        <color theme="1"/>
        <sz val="11.0"/>
      </rPr>
      <t xml:space="preserve">
The main feedstock required for the production of Purified Terephthalic Acid (PTA) are: p-xylene, acetic acid (solvent), hydrogen and oxygen (air) [1, 6]. 
 Terephthalic Acid (TA) is produced by the air oxidation of p-xylene in the presence of cobalt-manganese-bromine catalyst system with acetic acid as solvent. The reaction occurs at 20 bar and 200 °C, as presented as follows [6]:
                                       p-xylene + 3 O2 → TA + 2 H2O
The reaction yield of Terephthalic acid is about 95 mol% and the remaining p-xylene is converted to CO2 by complete oxidation and oxidation intermediates like 4-formyl benzoic acid (FBA) [1].  These side reactions are as follows:
                                       p-xylene + 2.5 O2 → FBA + 2 H2O
                                       p-xylene + 10.5 O2 → 8 CO2 + 5 H2O
The acetic acid flow is maintained such that the solvent to p-xylene weight ratio at the reactor inlet is less than 5 [7].  A small part of the solvent reacts with oxygen to form methyl acetate as by-product, and the reaction is such that around 10-40g methyl acetate is formed per kg of p-xylene used. The methyl acetate production is according to the following reaction [8]:
                                      2 Acetic acid + 0.5 O2 → Methyl acetate + H2O + CO2
The p-xylene oxidation reactor temperature is maintained at 200 °C through solvent evaporation and solvent recycle from the overhead condenser. The off-gas from the oxidation reactor is scrubbed in a high pressure absorber column using water. The recovered solvent-water mixture from the high pressure absorber is sent to a dehydration column. As the solvent (acetic acid)-water mixture is azeotropic, propyl acetate is used for extractive distillation technique with single phase reflux. Acetic acid is obtained as bottom product , water is obtained as top product from overhead separator and a mixture of methyl acetate- propyl acetate is obtained as organic phase from overhead separator. The methyl acetate-propyl acetate mixture is further distilled in the solvent recovery column to obtain propyl acetate as bottom product and methyl acetate as top product. The methyl acetate is sent to the incinerator and the propyl acetate is recycled back to the extractive distillation column with a make-up stream [6, 9]. 
The oxidation reactor bottom contains mainly TA, FBA and acetic acid and it is sent to a surge vessel to reduce the pressure and for crystallization of the terephthalic acid. The crystallised TA has a particle size distribution of D50% as 60 microns [10]. This stream is further processed in a centrifuge/dryer to remove liquid from the crystallised TA. The liquid from the centrifuge/dryer  is sent to the dehydration column in which the acetic acid is recovered and sent back as solvent feed. The water from the top of the dehydration column is further distilled in a water recovery column to remove unwanted dissolved gases, and these gases are incinerated. The water from the bottom of the water recovery column is recycled back to the high pressure absorber and a part of it is purged out to remove excess water formed in the system [1, 6].
The crude terephthalic acid from the centrifuge has impurities like FBA, which makes it unsuitable for further applications, such as PET production. Hence, it is further purified in a hydrogenation section. The crude terephthalic acid is first mixed with water to produce a solution of 15 weight % Terephthalic acid [1], and then this mixture is hydrogenated over a palladium containing catalyst at about 232 °C [6]. The pressure of the hydrogenation reactor is maintained at very high values to minimize vaporization of water. In the hydrogenation reactor, FBA is converted to p-toluic acid, as presented as follows [1]:
                           FBA + 2 H2 → p-Toluic acid + H2O
p-Toluic acid is soluble in water compared to FBA and thus, it is easily removed from terephthalic acid after pressure reduction in a centrifuge [1]. The recovered water from the centrifuge is recycled back, and the off-gas from the depressurisation drum is incinerated. The outlet from the centrifuge is purified Terephthalic acid (PTA) which can be used for PET process.	
</t>
    </r>
    <r>
      <rPr>
        <rFont val="Calibri"/>
        <b/>
        <color theme="1"/>
        <sz val="11.0"/>
      </rPr>
      <t>PET Production</t>
    </r>
    <r>
      <rPr>
        <rFont val="Calibri"/>
        <color theme="1"/>
        <sz val="11.0"/>
      </rPr>
      <t xml:space="preserve">
PET is commercially produced by the esterification of PTA with diols like Monoethylene glycol (MEG), which is followed by a polycondensation step. First, PTA in powder form is mixed with MEG to form a paste which is fed to the esterification reactor using gear pumps [3]. The esterification reaction occurs generally in two reactors in series at a pressure of 4 bar [3] and 250 °C [11], and 1 bar [3] and 260 °C [3], respectively. The reaction is as follows:
                                            PTA + 2 MEG → bis (2-hydroxyethyl) terephthalate + 2 H2O
In the esterification reactor, at the inlet the MEG to PTA ratio is maintained at a molar ratio of less than 1.5 as it helps to suppress diethylene glycol formation. From the two esterification reactors in series, the bis (2-hydroxyethyl) terephthalate (BHET) formed is the monomer for PET. The BHET is  pumped to the low  polymerization reactor to produce low viscosity Poly-Ethylene Terephthalate (PET). The low polymerisation reactor operates at about 30 mmHg and 270 °C [3]. During the polymerization reaction, MEG is released and the reaction takes place as follows:
                                               BHET → PET + Ethylene glycol
The recovered MEG is sent to a central glycol recovery unit to remove water, and the recovered glycol is recycled back to the process. The PET polymer formed from this process is amorphous PET solids. The product PET It is cooled and stored [4]. </t>
    </r>
  </si>
  <si>
    <t>Figure 1. Process Flow Diagram- PTA Production</t>
  </si>
  <si>
    <t>Figure 2. Process Flow Diagram- PET Production</t>
  </si>
  <si>
    <t xml:space="preserve">PTA Production </t>
  </si>
  <si>
    <t>kt/kt PTA</t>
  </si>
  <si>
    <t>PTA</t>
  </si>
  <si>
    <t>99.99% Terephthalic acid, 0.01% H2O</t>
  </si>
  <si>
    <t>99.78% p-xylene, 0.11% EB, 0.11% o-xylene</t>
  </si>
  <si>
    <t>100% Acetic acid</t>
  </si>
  <si>
    <t>Oxidation air</t>
  </si>
  <si>
    <t>23.13% O2, 75.27% N2, 0.05% CO2, 0.27% H2O, 1.28% Argon</t>
  </si>
  <si>
    <t>Solvent water</t>
  </si>
  <si>
    <t>Excess water</t>
  </si>
  <si>
    <t>83.82% water, 16.18% acetic acid</t>
  </si>
  <si>
    <t>Vent gas</t>
  </si>
  <si>
    <t>0.51% P-xylene, 0.61% HOAC, 80.37% N2, 6.5% water, 0.21% CO2, 0.41% O2, 0.27% MEOAC, 9.69% NPAC, 1.37% Ar, 0.03% EB, 0.03% O-xylene</t>
  </si>
  <si>
    <t>Extractive distillation solvent</t>
  </si>
  <si>
    <t>100% propyl acetate</t>
  </si>
  <si>
    <t>Wastewater</t>
  </si>
  <si>
    <t>97.35% water, 2.65% PTA</t>
  </si>
  <si>
    <t xml:space="preserve">PET Production </t>
  </si>
  <si>
    <t>kt/kt PET</t>
  </si>
  <si>
    <t>100% PET</t>
  </si>
  <si>
    <t>PTA feed</t>
  </si>
  <si>
    <t>MEG feed</t>
  </si>
  <si>
    <t>99.953% MEG, 0.047% H2O</t>
  </si>
  <si>
    <t>64% water, 36% MEG</t>
  </si>
  <si>
    <t>Input - TJ/kt PTA</t>
  </si>
  <si>
    <t>Input - kt/kt PTA</t>
  </si>
  <si>
    <t>Output - TJ/kt PTA</t>
  </si>
  <si>
    <t>Output - kt/kt PTA</t>
  </si>
  <si>
    <t>Net - TJ/kt PTA</t>
  </si>
  <si>
    <t>Net - kt/kt PTA</t>
  </si>
  <si>
    <t>29,94 kW*</t>
  </si>
  <si>
    <t>Input - TJ/kt PET</t>
  </si>
  <si>
    <t>Input - kt/kt PET</t>
  </si>
  <si>
    <t>Output - TJ/kt PET</t>
  </si>
  <si>
    <t>Output - kt/kt PET</t>
  </si>
  <si>
    <t>Net - TJ/kt PET</t>
  </si>
  <si>
    <t>Net - kt/kt PET</t>
  </si>
  <si>
    <t>2,88 kW*</t>
  </si>
  <si>
    <t>Power - kW</t>
  </si>
  <si>
    <t>A3-P5</t>
  </si>
  <si>
    <t>Azeotropic solvent feed pump</t>
  </si>
  <si>
    <t>PET.E6-P1</t>
  </si>
  <si>
    <t>MEG feed pump</t>
  </si>
  <si>
    <t>PET.E6-P2</t>
  </si>
  <si>
    <t>PET feed pump</t>
  </si>
  <si>
    <t>PET.E6-P3</t>
  </si>
  <si>
    <t>Recycle MEG pump</t>
  </si>
  <si>
    <t>A3-T1</t>
  </si>
  <si>
    <t>Azeotropic Solvent recovery column</t>
  </si>
  <si>
    <t>PET.E6-C1</t>
  </si>
  <si>
    <t>Vacuum compressor</t>
  </si>
  <si>
    <t>A3-T4</t>
  </si>
  <si>
    <t>Extractive distillation solvent recovery</t>
  </si>
  <si>
    <t>A3-P1</t>
  </si>
  <si>
    <t>PTA feed pump</t>
  </si>
  <si>
    <t>A3-T3</t>
  </si>
  <si>
    <t>Water recovery column</t>
  </si>
  <si>
    <t>A3-P2</t>
  </si>
  <si>
    <t>Hydrogenation section water pump</t>
  </si>
  <si>
    <t>E6-E8</t>
  </si>
  <si>
    <t>PET esterification reactor-2 overhead cooler-2</t>
  </si>
  <si>
    <t>A3-P3</t>
  </si>
  <si>
    <t>Hydrogenation section feed pump</t>
  </si>
  <si>
    <t>E6-E10</t>
  </si>
  <si>
    <t>Low polymerisation reactor overhead cooler-2</t>
  </si>
  <si>
    <t>A3-P4</t>
  </si>
  <si>
    <t>High pressure water recycle pump</t>
  </si>
  <si>
    <t>A3-C1</t>
  </si>
  <si>
    <t>Oxidation air compressor</t>
  </si>
  <si>
    <t>PET.E6-T1</t>
  </si>
  <si>
    <t>MEG recovery column</t>
  </si>
  <si>
    <t>A3-E1</t>
  </si>
  <si>
    <t>PTA feed heater</t>
  </si>
  <si>
    <t>A3-DR1</t>
  </si>
  <si>
    <t>PTA flash dryer</t>
  </si>
  <si>
    <t>A3-E6</t>
  </si>
  <si>
    <t>Extractive distillation overhead cooler</t>
  </si>
  <si>
    <t>E6-E6</t>
  </si>
  <si>
    <t>PET esterification reactor-1 overhead cooler-1</t>
  </si>
  <si>
    <t>A3-E7</t>
  </si>
  <si>
    <t>Recycle acetic acid solvent cooler</t>
  </si>
  <si>
    <t>E6-E7</t>
  </si>
  <si>
    <t>PET esterification reactor-2 overhead cooler-1</t>
  </si>
  <si>
    <t>E6-E9</t>
  </si>
  <si>
    <t>Low polymerisation reactor overhead cooler-1</t>
  </si>
  <si>
    <t>PET.E6-E1</t>
  </si>
  <si>
    <t>PET esterification reactor-1 overhead cooler-2</t>
  </si>
  <si>
    <t>PET.E6-E2</t>
  </si>
  <si>
    <t>PET esterification reactor-2 overhead cooler-3</t>
  </si>
  <si>
    <t>PET.E6-E3</t>
  </si>
  <si>
    <t>MEG recovery overhead cooler</t>
  </si>
  <si>
    <t>PET.E6-E4</t>
  </si>
  <si>
    <t>Low polymerisation reactor overhead cooler-3</t>
  </si>
  <si>
    <t>PET.E6-R1</t>
  </si>
  <si>
    <t>PET esterification reactor-1</t>
  </si>
  <si>
    <t>PET.E6-E5</t>
  </si>
  <si>
    <t>PET product cooler</t>
  </si>
  <si>
    <t>A3-E2</t>
  </si>
  <si>
    <t>Hydrogenation section heater</t>
  </si>
  <si>
    <t>A3-E3</t>
  </si>
  <si>
    <t>Hydrogen feed heater</t>
  </si>
  <si>
    <t>A3-E4</t>
  </si>
  <si>
    <t>High pressure water recycle cooler</t>
  </si>
  <si>
    <t>A3-E5</t>
  </si>
  <si>
    <t>PTA product cooler</t>
  </si>
  <si>
    <t xml:space="preserve">Heat stream </t>
  </si>
  <si>
    <t>A3-E8</t>
  </si>
  <si>
    <t>Waste water cooler</t>
  </si>
  <si>
    <t>A3-R1</t>
  </si>
  <si>
    <t>PTA oxidation reactor</t>
  </si>
  <si>
    <t>PET.E6-R2</t>
  </si>
  <si>
    <t>PET esterification reactor-2</t>
  </si>
  <si>
    <t>HS-1</t>
  </si>
  <si>
    <t>A3-CR1</t>
  </si>
  <si>
    <t>PTA crystallisation reactor</t>
  </si>
  <si>
    <t>PET.E6-R3</t>
  </si>
  <si>
    <t>Low polymerisation reactor</t>
  </si>
  <si>
    <t>HS-2</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</si>
  <si>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</si>
  <si>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r>
      <rPr>
        <rFont val="Calibri"/>
        <color rgb="FF000000"/>
        <sz val="11.0"/>
      </rPr>
      <t xml:space="preserve">Richard J Sheehan, "Terephthalic Acid, Dimethyl Terephthalate, and Isophthalic Acid," in </t>
    </r>
    <r>
      <rPr>
        <rFont val="Calibri"/>
        <i/>
        <color rgb="FF000000"/>
        <sz val="11.0"/>
      </rPr>
      <t>Ullmann's Encyclopedia of Industrial Chemistry</t>
    </r>
    <r>
      <rPr>
        <rFont val="Calibri"/>
        <color rgb="FF000000"/>
        <sz val="11.0"/>
      </rPr>
      <t>, Wiley-VCH Verlag GmbH &amp; Co. KGaA, 2012, pp. 17-28.</t>
    </r>
  </si>
  <si>
    <r>
      <rPr>
        <rFont val="Calibri"/>
        <color rgb="FF000000"/>
        <sz val="11.0"/>
      </rPr>
      <t xml:space="preserve"> ERIK GUBBELS, THOMAS HEITZ, MOTONORI YAMAMOTO, VINIT CHILEKAR, SIRUS ZARBAKHSH, MICHAEL GEPRAEGS, HORST KÖPNICK, MANFRED SCHMIDT, WILHELM BRÜGGING, JÖRN RÜTER and WALTER KAMINSKY, "Polyesters," in </t>
    </r>
    <r>
      <rPr>
        <rFont val="Calibri"/>
        <i/>
        <color rgb="FF000000"/>
        <sz val="11.0"/>
      </rPr>
      <t>Ullmann's Encyclopedia of Industrial Chemistry</t>
    </r>
    <r>
      <rPr>
        <rFont val="Calibri"/>
        <color rgb="FF000000"/>
        <sz val="11.0"/>
      </rPr>
      <t>, Wiley-VCH Verlag GmbH &amp; Co. KGaA, Weinheim, 2018, pp. 1-30.</t>
    </r>
  </si>
  <si>
    <t xml:space="preserve"> US Environmental Protection Agency , "Organic Chemical Process Industry/Poly(ethylene Terephthalate)".</t>
  </si>
  <si>
    <t>European Commission, "Reference document on Best Available Techniques in the Production of Polymers," JRC European Commission , 2007.</t>
  </si>
  <si>
    <t xml:space="preserve"> Indorama, "Annual Report 2019," 2019.</t>
  </si>
  <si>
    <t xml:space="preserve"> US Environmental Protection Agency, "Organic Chemical Process Industry/Terephthalic Acid".</t>
  </si>
  <si>
    <t>Milan HRONEC, Hussain Al Ghatta and R. Ruggieri, "A process for preparing high purity Terephthalic acid". World Intellectual Property Organization 2007.</t>
  </si>
  <si>
    <r>
      <rPr>
        <rFont val="Calibri"/>
        <color rgb="FF000000"/>
        <sz val="11.0"/>
      </rPr>
      <t xml:space="preserve"> Paolo Roffia, Pierangelo Calini and Sergio Tonti, "Methyl Acetate: Byproduct in the Terephthalic Acid production process. Mechanisms and Rates of Formation and Decomposition in Oxidation," </t>
    </r>
    <r>
      <rPr>
        <rFont val="Calibri"/>
        <i/>
        <color rgb="FF000000"/>
        <sz val="11.0"/>
      </rPr>
      <t xml:space="preserve">Ind. Eng. Chem., </t>
    </r>
    <r>
      <rPr>
        <rFont val="Calibri"/>
        <color rgb="FF000000"/>
        <sz val="11.0"/>
      </rPr>
      <t xml:space="preserve">vol. 27, pp. 765-770, 1988. </t>
    </r>
  </si>
  <si>
    <t xml:space="preserve"> William David Parten and A. M. Ure, "Dehydration of acetic acid by azeotropic distillation in the production of aromatic acid". United States Patent Patent 5,980,696, 1999.</t>
  </si>
  <si>
    <r>
      <rPr>
        <rFont val="Calibri"/>
        <color rgb="FF000000"/>
        <sz val="11.0"/>
      </rPr>
      <t xml:space="preserve"> Indorama, </t>
    </r>
    <r>
      <rPr>
        <rFont val="Calibri"/>
        <i/>
        <color rgb="FF000000"/>
        <sz val="11.0"/>
      </rPr>
      <t xml:space="preserve">Sales Specification/Polymer grade Terephthalic acid (PTA), </t>
    </r>
    <r>
      <rPr>
        <rFont val="Calibri"/>
        <color rgb="FF000000"/>
        <sz val="11.0"/>
      </rPr>
      <t xml:space="preserve">2017. </t>
    </r>
  </si>
  <si>
    <t xml:space="preserve"> Tebodin B V, "Startnotitie voor een milieu-effectrapportage voor een chemische fabriek te Rotterdam Europoort/Eastman Chemical, Netherlands B V," 1995.</t>
  </si>
  <si>
    <t xml:space="preserve"> MatWeb, "Indorama Auriga Polymers Invista™ Polyclear™ Crystal™ 3302 PET Resin," [Online]. Available: http://www.matweb.com/search/datasheet.aspx?matguid=6d3aafaeb12445369cc37c531945af42&amp;n=1&amp;ckck=1.</t>
  </si>
  <si>
    <t>A. Tran and K.J. West, "Decarbonisation options for the Dutch bottle-grade PET industry," MIDDEN (Manufacturing Industry Decarbonisation Data Exchange Network), PBL Netherlands Environmental Assessment Agency, 2021.</t>
  </si>
  <si>
    <t>CYCLOHEXANE PRODUCTION</t>
  </si>
  <si>
    <t>273 kt/y cyclohexane</t>
  </si>
  <si>
    <t>The cyclohexane plant has a 273 kton/yr production capacity [1]. Most of the cyclohexane  is produced by hydrogenation of benzene [2, 3, 4] in presence of a Raney Nickel catalyst. Thus, cyclohexane accounts for 11,4% of the global demand for Benzene [5]. The benzene hydrogenation reaction is highly exothermic with ΔH(500 K) = -216.37 kJ/mol) [5], and is depicted as follows:
The hydrogenation reaction occurs in liquid or vapor phase at elevated pressures in the range of 20-30 bar and temperatures of up to 300˚C [3, 4]. For the process, high purity benzene (&gt;99,5 wt%) and high-purity hydrogen are required. A series of reactors are employed for hydrogenation, to obtain a very high benzene conversion to cyclohexane (&gt;99 mol%) [3]. Finally, a flash and stabilizing units are used to recover the main product and give a 99,5 wt% pure cyclohexane product.</t>
  </si>
  <si>
    <t>A typical cyclohexane manufacturing plant consists of feed preparation for vapor-phase or liquid-phase reaction, a series of hydrogenation reactors, followed by a flash for H2 removal and a product stabilizing unit. The current process has been designed for vapor-phase reaction and thus, the benzene feed mixed with hydrogen is vaporized in an evaporator. The mixing with hydrogen lowers the evaporation temperature for  benzene [3].  The vaporized benzene feed is compressed to 30 bar in a multi-stage compressor [3] and exchanges heat with the hot reactor outlet stream. It is then heated to 35˚C and fed to  the main hydrogenation reactor. In the first reactor, 80% conversion is assumed and a portion of the product stream is sent to a secondary reactor and the remaining product (10% assumed) is recycled back to the first reactor to maintain a cyclohexane phase in the main reactor. The recycled  cyclohexane enables higher conversion in the reactors by absorbing the heat of reaction in the hydrogenation chamber [4]. The second reactor is a finishing reactor, which allows a very high overall conversion of benzene, &gt;99 mol% [6]. 
The hot product stream from the second reactor then exchanges heat with the feed stream of  the first reactor to reach  an outlet temperature of 250˚C. Then, it is further cooled to 190˚C (to produce LPS) and then 120˚C. At these conditions, the stream is adiabatically flashed to recover the unreacted hydrogen in the vapor stream, along with some cyclohexane and benzene. This vapor stream is recycled back to the first reactor after a  2% purge. The purge stream is cooled to 40˚C to discharge conditions.
The bottoms stream from the flash is sent to a stabilizer unit to further purify the cyclohexane by removing the hydrogen and  other light componentsat the top of the column and  obtain a 99,6 wt% cyclohexane product at the bottom of the stabilizer. The top and the bottom streams are then de-pressurized and cooled to suitable discharge conditions [2, 3, 4].</t>
  </si>
  <si>
    <t>Figure 1. Process Flow Diagram- Cyclohexane Production</t>
  </si>
  <si>
    <t>S-BENZ</t>
  </si>
  <si>
    <t>99,9% Benzene, 0,1%MCP</t>
  </si>
  <si>
    <t>S-CYCHEX</t>
  </si>
  <si>
    <t>99,6% Cyclohexane, 0,3% Benzene</t>
  </si>
  <si>
    <t>S-H2</t>
  </si>
  <si>
    <t>100% H2</t>
  </si>
  <si>
    <t>71,8% H2, 28% Cyclohexane</t>
  </si>
  <si>
    <t>S-PURG2</t>
  </si>
  <si>
    <t>77,7% Cyclohexane, 21,9% H2, 0,3% Benzene</t>
  </si>
  <si>
    <t>15359,8551 KW*</t>
  </si>
  <si>
    <t>A2-E1</t>
  </si>
  <si>
    <t>A2-T1</t>
  </si>
  <si>
    <t>A2-E4</t>
  </si>
  <si>
    <t>A2-E10</t>
  </si>
  <si>
    <t>A2-E11</t>
  </si>
  <si>
    <t>A2-R1</t>
  </si>
  <si>
    <t>A2-R2</t>
  </si>
  <si>
    <t>Low-Low pressure steam</t>
  </si>
  <si>
    <t>A2-E5</t>
  </si>
  <si>
    <t>A2-P1</t>
  </si>
  <si>
    <t>A2-E8</t>
  </si>
  <si>
    <t>A2-C1</t>
  </si>
  <si>
    <t>A2-E6</t>
  </si>
  <si>
    <t>A2-E7</t>
  </si>
  <si>
    <t>A2-E9</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</si>
  <si>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</si>
  <si>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Advani, V., &amp; van Dril, T. (2020). Decarbonisation options for ExxonMobil Chemicals Rotterdam. August, 1–40. https://www.pbl.nl/en/publications/decarbonisation-options-for-exxonmobil-chemicals-rotterdam</t>
  </si>
  <si>
    <t>Chinju PT, Syama S, PROCESS SIMULATION AND OPTIMIZATION OF CYCLOHEXANE MANUFACTURING PLANT USING UniSim AND HINT, GEC, Thrissur</t>
  </si>
  <si>
    <t>Garcia Villaluenga, J. P., &amp; Tabe-Mohammadi, A. (2000). A review on the separation of benzene/cyclohexane mixtures by pervaporation processes. Journal of Membrane Science, 169(2), 159–174. https://doi.org/10.1016/S0376-7388(99)00337-3</t>
  </si>
  <si>
    <t>Campbell, M. L. A., Co, E. C., &amp; Park, F. (2012). Cyclohexane. https://doi.org/10.1002/14356007.a08</t>
  </si>
  <si>
    <t>https://en.wikipedia.org/wiki/Cyclohexane</t>
  </si>
  <si>
    <t>Gobin, O. C., &amp; Holub, N. (2017). (12) Patent Application Publication (10) Pub. No.: US 2017/0121240 A1. 1(19).</t>
  </si>
  <si>
    <t>AMMONIA PRODUCTION</t>
  </si>
  <si>
    <t>618 kt/y ammonia</t>
  </si>
  <si>
    <t>8000 h</t>
  </si>
  <si>
    <t>Ammonia, with a production of 618 kilotonnes per year, is the backbone of the entire fertilizer industry. The commercial ammonia production process was devised by Fritz Haber and Carl Bosch and commercialized by BASF in 1913. The hydrogen required for the process is produced using the conventional steam methane reforming (SMR) process and the nitrogen is obtained from the combustion of an air stream [1]. The entire process is composed of SMR and ammoniation steps.
The process takes place according to the following significant steps-
1. Steam Methane Reforming 		CH4 + H2O ⇌ CO + 3H2
			CO + H2O ⇌ CO2 + H2
2. Air Reforming of Methane		CH4 + 0,5 O2 ⟶  CO + 2 H2
			C2H6 + H2O   ⟶   CO2 + 4 H2
			H2 + 0,5 O2    ⟶   H2O
3. Water Gas Shift reaction 		CO + H2O ⇌ CO2 + H2
4. Removal of carbon compounds	CO2 absorption in amines and methanation
5. Synthesis Gas purification		Removal of residual methane, hydrogen, carbon oxides, argon and excess nitrogen
6. Ammoniation 		N2 + 3H2 ⇌  2NH3</t>
  </si>
  <si>
    <t xml:space="preserve">In the current flowsheet,  methane and high pressure steam enter the primary reformer (steam:methane ratio of 3:1) [2]. Then, heated compressed air is fed to the secondary (air) reformer to maintain sufficient nitrogen for the ammoniation step, as well as oxygen for combustion. A methane furnace is needed to provide the high temperature heating required in the SMR.  After the reformers, the shift reactors (N1-R3 &amp; N1-R4) produce additional hydrogen and convert CO to CO2. The produced synthesis gas is then purified and concentrated for the ammoniation step.
In the series of separation steps, CO2 is absorbed into a MDEA solvent (45% MDEA, 5% Piperazine, 50% water by weight) [3] and this solvent is then regenerated in a stripper section. The CO2  exhaust from the system is concentrated using flash separation and then consider as a by-product of the system. The by-product CO2 amounts to 731 ktonne/year production. The synthesis gas is further refined through low temperature drying (to remove water) and cryogenic distillation (to remove  primarily argon, as also methane, ethane, MDEA, solvent, carbon oxides and other impurities). The distillate stream rich in hydrogen and nitrogen is fed to the recycle loop, so as to maintain a H2:N2 ratio of  3:1 in the ammoniation reactor [2].  The inert argon is purged out of the system to keep the impurities from building up. Since a 1-pass ammoniation conversion is low (20-30%) [4], therefore,  96-98% of the gas is recycled to obtain more than 99% conversion. A total production of 618 ktonne/year  ammonia product with 99,4% mass purity is obtained in the process.
</t>
  </si>
  <si>
    <t>Temp (°C)</t>
  </si>
  <si>
    <t>FS-METH</t>
  </si>
  <si>
    <t>Methane (93%), Ethane (2.5%), N2 (4.5%)</t>
  </si>
  <si>
    <t>Ammonia (PS-AMM)</t>
  </si>
  <si>
    <t>NH3(99.4%), H2(666 ppm), N2(0.5%), Ar (2.41 ppm), O2 (998 ppm), CO(trace)</t>
  </si>
  <si>
    <t>FS-HPS</t>
  </si>
  <si>
    <t>CO2-Rich exhaust (PS-CO2)</t>
  </si>
  <si>
    <t>CO2(98,8%), H2O(0.5%), N2(0.5%), H2 (0.1%)</t>
  </si>
  <si>
    <t>FS-AIR2</t>
  </si>
  <si>
    <t>N2 (75.3%), O2 (23.1%), Ar (1.3%), CO2 (457 ppm), H2O (0.3%)</t>
  </si>
  <si>
    <t>FS-MDMKP</t>
  </si>
  <si>
    <t>MDEA (45%), Piperazine (5%), water (50%)</t>
  </si>
  <si>
    <t>FS-LPS</t>
  </si>
  <si>
    <t>Purge after ammoniation (WS-PURG1)</t>
  </si>
  <si>
    <t>N2(71.87%), H2(22.56%), NH3(5.47%), Ar (510 ppm), CO (320 ppm), O2(32 ppm)</t>
  </si>
  <si>
    <t>Drying bottoms (WS-WW3)</t>
  </si>
  <si>
    <t>Water(99.98%)</t>
  </si>
  <si>
    <t>Water flash bottom (WS-WW1)</t>
  </si>
  <si>
    <t>Water(99.91%), CO2(0.09%)</t>
  </si>
  <si>
    <t>Cryogenic bottoms (WS-PURG2)</t>
  </si>
  <si>
    <t>N2(75.9%), Ar(13.5%), O2(5.8%), CH4(2.9%), CO2 (0.2%), H2O (0.5%),CO (0.1%), C2H6 (0.5%),  Piperazine (0.5%)</t>
  </si>
  <si>
    <t>Stripper bottom
(WS-WW2)</t>
  </si>
  <si>
    <t>H2O(88.2%), CO2(4.66%), MDEA(2.33%), Piperazine(4.8%)</t>
  </si>
  <si>
    <t>46337,8 kW*</t>
  </si>
  <si>
    <t>N1-E15</t>
  </si>
  <si>
    <t>Heater</t>
  </si>
  <si>
    <t>N1-E10</t>
  </si>
  <si>
    <t>N1-E19</t>
  </si>
  <si>
    <t>N1-E6</t>
  </si>
  <si>
    <t>N1-E20</t>
  </si>
  <si>
    <t>N1-E25</t>
  </si>
  <si>
    <t>N1-E21</t>
  </si>
  <si>
    <t>N1-R6</t>
  </si>
  <si>
    <t>N1-T3</t>
  </si>
  <si>
    <t>N1-E7</t>
  </si>
  <si>
    <t>N1-E12</t>
  </si>
  <si>
    <t>N1-E26</t>
  </si>
  <si>
    <t>N1-E18</t>
  </si>
  <si>
    <t>N1-E1</t>
  </si>
  <si>
    <t>Natural Gas mass flow rate divided proportionately as per the duty</t>
  </si>
  <si>
    <t>N1-E24</t>
  </si>
  <si>
    <t>N1-E2</t>
  </si>
  <si>
    <t>N1-E3</t>
  </si>
  <si>
    <t>N1-E9</t>
  </si>
  <si>
    <t>N1-R1</t>
  </si>
  <si>
    <t>Reformer 1</t>
  </si>
  <si>
    <t>Refrigerant R134a</t>
  </si>
  <si>
    <t>N1-E8</t>
  </si>
  <si>
    <t>N1-E13</t>
  </si>
  <si>
    <t>N1-T2</t>
  </si>
  <si>
    <t>Stripping tower condenser</t>
  </si>
  <si>
    <t>N1-C1</t>
  </si>
  <si>
    <t>Multistage compressor</t>
  </si>
  <si>
    <t>N1-C2</t>
  </si>
  <si>
    <t xml:space="preserve">N1-E22 </t>
  </si>
  <si>
    <t xml:space="preserve">N1-E11 </t>
  </si>
  <si>
    <t>Refrigerant LIN</t>
  </si>
  <si>
    <t>N1-E17</t>
  </si>
  <si>
    <t>N1-E14</t>
  </si>
  <si>
    <t>Cryogenic tower condenser</t>
  </si>
  <si>
    <t>Power (kW)</t>
  </si>
  <si>
    <t>N1-P1</t>
  </si>
  <si>
    <t>Pump</t>
  </si>
  <si>
    <t>N1-P2</t>
  </si>
  <si>
    <t>N1-C3</t>
  </si>
  <si>
    <t>Compressor</t>
  </si>
  <si>
    <t>Batool, M., &amp; Wetzels, W. (2019). Decarbonisation Options for the Dutch Fertiliser Industry, (October). Retrieved from www.pbl.nl/en.</t>
  </si>
  <si>
    <t>Bernard, G., &amp; Langel, A. E. A. (1984). United States Patent (19). 19.</t>
  </si>
  <si>
    <t>Meerman, J. C., Hamborg, E. S., van Keulen, T., Ramírez, A., Turkenburg, W. C., &amp; Faaij, A. P. C. (2012). Techno-economic assessment of CO 2 capture at steam methane reforming facilities using commercially available technology. International Journal of Greenhouse Gas Control, 9, 160–171. https://doi.org/10.1016/j.ijggc.2012.02.018</t>
  </si>
  <si>
    <t>Synthesis, A. (1991). Ammonia synthesis. Applied Catalysis, 67(2), N18–N19. https://doi.org/10.1016/s0166-9834(00)83351-5</t>
  </si>
  <si>
    <t>ETHYLBENZENE PRODUCTION</t>
  </si>
  <si>
    <t>758 kt/y ethylbenzene</t>
  </si>
  <si>
    <t xml:space="preserve">Ethylbenzene is industrially produced by the alkylation of benzene with ethylene. Nearly all produced ethylbenzene worldwide is used for the production of styrene monomer. 
Ethylene is alkylated to benzene, resulting in ethylbenzene and polyethylbenzenes. The polyethylbenzenes are transalkylated with additional benzene to ethylbenzene._x000b_</t>
  </si>
  <si>
    <t xml:space="preserve">Ethylene is first preheated and split into two equal fractions. The first fraction is send to the first alkylation reactor (E2-R01), and the second fraction is send to the second alkylation reactor 
(E2-R02). At the first alkylation reactor, ethylene is alkylated with benzene in the presence of a zeolite catalyst, resulting into ethylbenzene (EB) and polyethylbenzenes (PEB). 
The reactor outlet stream is then send to the second alkylation reactor, where the same reactions as in the first reactor are performed. Both alkylation reactors are operated adiabatically with an exit temperature of 260 °C and 29 and 27 bar, respectively. The resulting mixture stream, consisting of EB, excess benzene and PEB are send to the benzene removal column. _x000b_
At the benzene column (E2-T01), light components and some benzene leave the top of the column as a vapor and are send to the light column. Benzene is withdrawn from the benzene column from a sidedraw at the the top of the column, a large fraction of this benzene is send to the alkylation reactor while the remaining fraction is send to the transalkylation reactor. EB and PEB leave the bottom of the benzene column as liquid and are send to EB recovery column (E2-T02).
Benzene and the light components are separated at the light column (E2-T04). Additionally to the stream from the benzene column, makeup benzene is fed to the column. The light components leave the top of the column, whereas benzene leaves the bottom of the column and is recirculated back to benzene column ( E2-T01). 
The EB and PEB stream exitting the benzene column are also separeted by distillation at the EB column (E2-T02), PEB leaves the bottom of the column and is transported to the PEB column. EB leaves the top of the column and is cooled before being send to storage. _x000b__x000b_At the PEB column, PEB are separated from the heavier component. The topstream containing PEB is send to the transalkylation reactor (E2-R03), where the PEB are transalkylated with excess benzene over a zeolite catayst bed at 23 bar and 215 °C:_x000b_
_x000b_Afterwards, the transalkylation reactor outlet stream is send to the benzene column. </t>
  </si>
  <si>
    <t>Figure 1. Process Flow Diagram- Ethylbenzene Production</t>
  </si>
  <si>
    <t>FS-BNZN</t>
  </si>
  <si>
    <t xml:space="preserve">100% Benzene </t>
  </si>
  <si>
    <t>PS-EB</t>
  </si>
  <si>
    <t>100% Ethylbenzene</t>
  </si>
  <si>
    <t>FS-ETHYL</t>
  </si>
  <si>
    <t>100% Ethylene</t>
  </si>
  <si>
    <t>WS-LIGHTS</t>
  </si>
  <si>
    <t xml:space="preserve">50,26% Benzene, 49,74% Ethane </t>
  </si>
  <si>
    <t>WS-HEAVIES</t>
  </si>
  <si>
    <t>99,93% Bibenzyl, 0,07% Terbutylalcohol</t>
  </si>
  <si>
    <t>297,58 kW*</t>
  </si>
  <si>
    <t>Ethylbenzene production</t>
  </si>
  <si>
    <t>E2-T01</t>
  </si>
  <si>
    <t>Benzene column</t>
  </si>
  <si>
    <t>E2-P01</t>
  </si>
  <si>
    <t>Benzene pump 1</t>
  </si>
  <si>
    <t>E2-T02</t>
  </si>
  <si>
    <t>EB column</t>
  </si>
  <si>
    <t>E2-P02</t>
  </si>
  <si>
    <t>PEB pump</t>
  </si>
  <si>
    <t>E2-T03</t>
  </si>
  <si>
    <t>PEB column</t>
  </si>
  <si>
    <t>E2-P03</t>
  </si>
  <si>
    <t>Benzene pump 2</t>
  </si>
  <si>
    <t>E2-P04</t>
  </si>
  <si>
    <t>Benzene feed pump</t>
  </si>
  <si>
    <t>E2-05</t>
  </si>
  <si>
    <t>Benzene cooler</t>
  </si>
  <si>
    <t>E2-E05</t>
  </si>
  <si>
    <t>Ethylene preheater</t>
  </si>
  <si>
    <t>E2-E06</t>
  </si>
  <si>
    <t>EB cooler</t>
  </si>
  <si>
    <t>E2-T04</t>
  </si>
  <si>
    <t xml:space="preserve">Refrigerant </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</si>
  <si>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</si>
  <si>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Tebodin, Veiligheidsrapport - Gesterde delen. Lyondell Chemie Nederland B.V. locatie Maasvlakte Deel 0 en 1.</t>
  </si>
  <si>
    <t>Heinz Zimmermann: "Ethylene", Ullmann's Encyclopedia of Industrial Chemistry, Electronic Release, Wiley-VCH, Weinheim 2012.</t>
  </si>
  <si>
    <t>SRI Consulting: "Production of Ethylbenzene from Benzene and Ethylene by Liquid-Phase Alkylation using Zeolite Catalysts. Aspen Model Documentation", 1999</t>
  </si>
  <si>
    <t>UREA PRODUCTION</t>
  </si>
  <si>
    <t>1233 kt/y Urea</t>
  </si>
  <si>
    <t xml:space="preserve">Carbonic diamide or carbamide, commercially known as Urea, is a widely used nitrogen-based fertilizer for agriculture and a commodity chemical for the production of urea-formaldehyde resins and urea-formaldehyde-melamine [3]. It is colourless, odourless, highly soluble in water, and neither acidic nor alkaline. From the total urea produced, 90% goes to making fertilizers. The manufacturing of urea is described below.
In the first step of industrial manufacturing of urea, CO2 and NH3 react to make an ammonium carbamate slurry, as depicted in the following reaction:
	2 NH3 + CO2 ⇌ H2N-COONH4 		(ΔH= -117kJ/mol at 110 atm and 160°C)
This is an exothermic reaction, which essentially goes to completion under industrial operating conditions. In this reaction, an excess of NH3 is fed to the reactor to push the equilibrium towards the product side (Le Chatelier's principle).
The second reation is to convert the ammonium carbamate to urea according to the following reaction: 
	H2N-COONH4 ⇌ (NH2)2CO + H2O 	(ΔH= +15.5 kJ/mol at 160-180°C)
This is a slow endothermic reaction and the heat required is supplied from that produced in the first reaction. Due to the slow pace of the reaction, a large pressure vessel is employed as a reactor in industries. The extent of the reactions depends primarily on the reactor temperature and ammonia excess ratio.
Amidst these reactions, the slurry consisting of urea, ammonium carbamate and unreacted NH3 and CO2 has to be recovered, as the unchanged ammonium carbamate needs to be separated from the urea synthesis mixture. In the early "straight-through" setups, this separation was done using a series of mid-pressure and low-pressure flash drums to decompose the unchanged ammonium carbamate as also to release the unreacted CO2 and NH3 from the mixture. But there were high energy penalties to recompress the mixture after the "Total Recycle". Thus, a new "stripping process" was introduced to remove the unreacted gases from the slurry without dropping the process stream pressures (known as Stamicarbon process).  The conventional 'total recycle' process considering stripping to remove unreacted gases has been modelled in the current sheet.
The sheet is divided into 3 sections- high pressure (HP) reaction and stripping, medium pressure (MP) decomposition and ammonium carbamate separation, followed by a low pressure (LP) decomposition and evaporators to form a concentrated urea melt [5]. After the urea reaction in the HP reactor, the subsequent steps of stripping, MP and LP decomposers aim at recovering and reusing CO2, NH3 and ammonium carbamate in the series of steps as presented in the flow diagram flowsheet.
</t>
  </si>
  <si>
    <t>The conventional "total recycling" urea process followed in the Netherlands has 3 important sections- high pressure (HP) reaction and stripping, medium pressure (MP) decomposition and ammonium carbamate separation, followed by a low pressure (LP) decomposition and evaporators to form a concentrated urea melt [5,6].
In this process, 740 kt/yr (98%) CO2 is compressed at 140 bar in a multi-stage compressor with interstage cooling and then fed to the urea reactor. The feed is mixed with the ammonia entering the process through a receiver followed  by a pump and a cooler. The urea reactor operates at 180˚C, 140 bar [1,2,4] and 2 reactions in series are carried out in the same vessel. First, CO2 and NH3 react to form ammonium carbamate(AC), which is a fast, exothermic reaction and almost goes to completion. In the second reaction, AC dehydrates to form urea, which is a slow, endothermic reaction and the heat required here is supplied by the first reaction.The overall conversion of CO2 to urea is ~65-70% [1,2] when an ammonia excess of about 2,8 to 3 times the stoichiometric amount  is maintained in the reactor [1,2,5]. The reactor is followed by a steam stripper operating in the same high pressure zone, in which a very high  pressure steam is used to strip out ammonia and CO2 from the reaction mixture. In this column, about 41% of carbamate is decomposed to CO2 and ammonia [4]. The stripper vapor is then condensed to form carbamate (98% CO2  conversion) [4] and then separated in a carbamate separator to separate the urea rich stream from the carbamate stream, which is then recycled to the reactor.
The urea product stream is further decomposed in a medium pressure decomposer and the bottom stream is further processed in a  low pressure decomposer. The vapor stream from MP decomposer, combined with the recycle stream from LP section (after removal of water in a flash unit), is sent to the shell side of a heat exchanger, where (the recovered) CO2 and ammonia form carbamate, and the subsequent heat released is utilised for the evaporation of some NH3 and CO2 from the urea solution  in the tube-side [4]. The vapor from the LP decomposer is sent to a carbamate receiver, along with the water recovered from the wastewater  treatment plant.This mixture is further cooled and flashed off to recover the ammonia and CO2 from the stream. This recovered stream is then mixed with the MP decomposer vapor stream  (as mentioned above)  and sent to the shell-side of the heat exchanger. The hot outlet stream is repressurized and sent to a carbamate separator in the MP section to recover the ammonia, which is sent to the ammonia receiver for the initial HP reaction.
 The bottom product achieved from the LP decomposer is a urea-water mix which is heated in the exchanger and the water is evaporated to get a concentrated urea melt. In the final stage, two vacuum evaporators in series are employed to remove water from the urea melt, operating at 0,3 bar and 0,03 bar, respectively [4]. The end product is about 99,6% (wt) pure urea.</t>
  </si>
  <si>
    <t>Main application: Fertilizer</t>
  </si>
  <si>
    <t>Figure 1. Process Flow Diagram- Urea Production</t>
  </si>
  <si>
    <t>FS-NH3</t>
  </si>
  <si>
    <t xml:space="preserve">NH3 (99.4%), H2 (0.098%), </t>
  </si>
  <si>
    <t>PS-UREA</t>
  </si>
  <si>
    <t>UREA (100%)</t>
  </si>
  <si>
    <t>CO2 (98.9%), N2 (0.5%), H2 (0.1%), H2O (0.5%)</t>
  </si>
  <si>
    <t>FS-WWTP</t>
  </si>
  <si>
    <t>WS-PURG1</t>
  </si>
  <si>
    <t>N2 (28.93%), AMBIC (39.83%), NH3 (20.8%), CO2 (0.16%),H2 (5.8%), H2O (4.1%)</t>
  </si>
  <si>
    <t>WS-PURG2</t>
  </si>
  <si>
    <t>H2O (85.3%), UREA (10.2%), NH3 (4.1%), CO2 (0.4%)</t>
  </si>
  <si>
    <t>WS-PURG3</t>
  </si>
  <si>
    <t>H2O (52.3%), AMBIC (39%), NH3 (8.7%)</t>
  </si>
  <si>
    <t>WS-WW1</t>
  </si>
  <si>
    <t>H2O (93.6%), UREA (6.3%), NH3 (0.1%)</t>
  </si>
  <si>
    <t>WS-WW2</t>
  </si>
  <si>
    <t>H2O (93.5%), NH3 (6.5%)</t>
  </si>
  <si>
    <t>WS-WW3</t>
  </si>
  <si>
    <t>H2O (98.3%), UREA (1.4%), NH3 (0.3%)</t>
  </si>
  <si>
    <t>*AMBIC- Ammonium carbonate</t>
  </si>
  <si>
    <t>35235,78 kW*</t>
  </si>
  <si>
    <t>N2-E2</t>
  </si>
  <si>
    <t>N2-E7</t>
  </si>
  <si>
    <t>N2-R1</t>
  </si>
  <si>
    <t>N2-T2</t>
  </si>
  <si>
    <t>High pressure hot steam</t>
  </si>
  <si>
    <t>N2-T1</t>
  </si>
  <si>
    <t>N2-E5</t>
  </si>
  <si>
    <t>N2-P1</t>
  </si>
  <si>
    <t>N2-E6</t>
  </si>
  <si>
    <t>N2-P2</t>
  </si>
  <si>
    <t>N2-E9</t>
  </si>
  <si>
    <t>N2-P3</t>
  </si>
  <si>
    <t>N2-E10</t>
  </si>
  <si>
    <t>N2-P4</t>
  </si>
  <si>
    <t>N2-E11</t>
  </si>
  <si>
    <t>N2-P5</t>
  </si>
  <si>
    <t>N2-E12</t>
  </si>
  <si>
    <t>N2-C1</t>
  </si>
  <si>
    <t>N2-E13</t>
  </si>
  <si>
    <t>N2-C2</t>
  </si>
  <si>
    <t>N2-E14</t>
  </si>
  <si>
    <t>N2-C3</t>
  </si>
  <si>
    <t>N2-E15</t>
  </si>
  <si>
    <t>N2-E16</t>
  </si>
  <si>
    <t>N2-R2</t>
  </si>
  <si>
    <t>N2-R3</t>
  </si>
  <si>
    <t>N2-E1</t>
  </si>
  <si>
    <t>N2-E3</t>
  </si>
  <si>
    <t>N2-E8</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</si>
  <si>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</si>
  <si>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http://www.angelfire.com/vamp/saravanan/project/UREA_PROCESS_DESCRIPTION.htm</t>
  </si>
  <si>
    <t xml:space="preserve">United Nations Industrial Development Organisation. (2016). 50 Years Together for a Sustainable Future (Chp IX Urea). Vienna.
https://open.unido.org/api/documents/4819812/download/FERTILIZER%20MANUAL.%20UREA.%20A%20DRAFT%20REPORT%20(19837.en) </t>
  </si>
  <si>
    <t xml:space="preserve">
https://en.wikipedia.org/wiki/Urea
</t>
  </si>
  <si>
    <t>Section wise description of UREA Process Flow Diagram, obtained from the medium pressure section”. (n.d.). 1102(15), 2–4.</t>
  </si>
  <si>
    <t>Prevention, I. P. (2007). Integrated Pollution Prevention and Control Large Volume Inorganic Chemicals - Ammonia , Acids and Fertilisers. Animals, I(August).</t>
  </si>
  <si>
    <t>https://www.yara.com/chemical-and-environmental-solutions/animal-nutrition/animal-grade-urea/</t>
  </si>
  <si>
    <t>GREENHOUSES</t>
  </si>
  <si>
    <t>Greenhouse requirements</t>
  </si>
  <si>
    <r>
      <rPr>
        <rFont val="Calibri"/>
        <color theme="1"/>
        <sz val="11.0"/>
      </rPr>
      <t xml:space="preserve">Assume </t>
    </r>
    <r>
      <rPr>
        <rFont val="Calibri"/>
        <b/>
        <i/>
        <color theme="1"/>
        <sz val="11.0"/>
      </rPr>
      <t>X number</t>
    </r>
    <r>
      <rPr>
        <rFont val="Calibri"/>
        <color theme="1"/>
        <sz val="11.0"/>
      </rPr>
      <t xml:space="preserve"> of greenhouses, each of 1 hectare, cultivating tomatoes.
Typical CO₂ requirement: 2500 kg CO₂/ha/day during growing season (~100 days/year).
Energy demand for heating: 2,260.5 MWh per year per greenhouse (for winter operation). 
The required temperature for a greenhouse growing tomatoes is 21–27 °C  during the day and 15–20 °C at night</t>
    </r>
  </si>
  <si>
    <t>REMARKS</t>
  </si>
  <si>
    <t xml:space="preserve">If you are considering greenhouses as part of your industrial park, we recommend taking the following aspects into account when performing your assessment: 
1. Calculate Total CO₂ Demand:
-Estimate total annual CO₂ needed (kg or tonnes).
-Determine average daily and hourly CO₂ flows (kg/h).
2. Identify Potential CO₂ Sources and assess technical feasibility (purity, continuity of CO₂ flow, capture method).
3. Assess Logistics and Integration:
-Distance from CO₂ source to greenhouses (assume 5–10 km).
-Required compression, purification, and transport (pipeline or truck).
-Possibility to reuse residual heat from the same source for greenhouse heating.  </t>
  </si>
  <si>
    <t>HOUSEHOLDS</t>
  </si>
  <si>
    <t>Household details</t>
  </si>
  <si>
    <t xml:space="preserve">
Household heat demand   		Qₕ     		12 MWh/year
Number of households         		Nₕ	        	3000
Public buildings (heat)	              	Qₚ	      	800 MWh/year each
Number of public buildings       		Nₚ	        	10
Average number of people per household	          	3
Average food waste generation per person	           	79 kg/y
Average cooking oil consumption per person         	19 kg/y</t>
  </si>
  <si>
    <t>Raw materials/ Outputs</t>
  </si>
  <si>
    <t>Chemical formula</t>
  </si>
  <si>
    <t>C</t>
  </si>
  <si>
    <t>Amount of carbon in g/mol</t>
  </si>
  <si>
    <t>Chemical molecular weight g/mol</t>
  </si>
  <si>
    <t>Carbon content (%)</t>
  </si>
  <si>
    <t>Carbon flow (kt)</t>
  </si>
  <si>
    <t>C8H10</t>
  </si>
  <si>
    <t>CH3CO2H</t>
  </si>
  <si>
    <t>C5H10O2</t>
  </si>
  <si>
    <t>C8H6O4</t>
  </si>
  <si>
    <t>C8H10, CH3CO2H, CO2, C3H6O2, C5H10O2, C8H10, C8H10</t>
  </si>
  <si>
    <t>8, 2, 1, 3, 5, 8, 8</t>
  </si>
  <si>
    <t>96,
24,
12, 
36, 
60, 
96, 
96</t>
  </si>
  <si>
    <t>106,17
60,05
44,01
74,08
102,13
106,17
106,17</t>
  </si>
  <si>
    <t>0,904
0,39
0,27
0,48
0,58
0,904
0,904</t>
  </si>
  <si>
    <t>0,011
0,005781
0,001378
0,003149
0,136571
0,000659
0,000659</t>
  </si>
  <si>
    <t>Total carbon in</t>
  </si>
  <si>
    <t>Total carbon out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</si>
</sst>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0.000000"/>
    <numFmt numFmtId="166" formatCode="0.000"/>
    <numFmt numFmtId="167" formatCode="0.0000"/>
    <numFmt numFmtId="168" formatCode="_ * #,##0.00_ ;_ * \-#,##0.00_ ;_ * &quot;-&quot;??_ ;_ @_ "/>
    <numFmt numFmtId="169" formatCode="0.000000"/>
    <numFmt numFmtId="170" formatCode="0.00000"/>
  </numFmts>
  <fonts count="26">
    <font>
      <sz val="11.0"/>
      <color theme="1"/>
      <name val="Calibri"/>
      <scheme val="minor"/>
    </font>
    <font>
      <b/>
      <sz val="15.0"/>
      <color theme="1"/>
      <name val="Calibri"/>
      <scheme val="minor"/>
    </font>
    <font>
      <color theme="1"/>
      <name val="Calibri"/>
      <scheme val="minor"/>
    </font>
    <font>
      <b/>
      <color theme="1"/>
      <name val="Calibri"/>
      <scheme val="minor"/>
    </font>
    <font/>
    <font>
      <sz val="11.0"/>
      <color theme="1"/>
      <name val="Calibri"/>
    </font>
    <font>
      <b/>
      <sz val="22.0"/>
      <color theme="1"/>
      <name val="Calibri"/>
    </font>
    <font>
      <sz val="20.0"/>
      <color theme="1"/>
      <name val="Calibri"/>
    </font>
    <font>
      <b/>
      <sz val="12.0"/>
      <color theme="1"/>
      <name val="Calibri"/>
    </font>
    <font>
      <b/>
      <sz val="12.0"/>
      <color theme="0"/>
      <name val="Calibri"/>
    </font>
    <font>
      <sz val="12.0"/>
      <color theme="0"/>
      <name val="Calibri"/>
    </font>
    <font>
      <b/>
      <sz val="11.0"/>
      <color theme="1"/>
      <name val="Calibri"/>
    </font>
    <font>
      <sz val="12.0"/>
      <color theme="1"/>
      <name val="Calibri"/>
    </font>
    <font>
      <sz val="12.0"/>
      <color rgb="FF000000"/>
      <name val="Calibri"/>
    </font>
    <font>
      <sz val="11.0"/>
      <color rgb="FF000000"/>
      <name val="Calibri"/>
    </font>
    <font>
      <sz val="12.0"/>
      <color rgb="FFFF0000"/>
      <name val="Calibri"/>
    </font>
    <font>
      <sz val="11.0"/>
      <color rgb="FF202124"/>
      <name val="Calibri"/>
    </font>
    <font>
      <u/>
      <sz val="11.0"/>
      <color rgb="FF0000FF"/>
      <name val="Calibri"/>
    </font>
    <font>
      <sz val="11.0"/>
      <color rgb="FF3F3C30"/>
      <name val="Calibri"/>
    </font>
    <font>
      <u/>
      <sz val="11.0"/>
      <color theme="10"/>
      <name val="Calibri"/>
    </font>
    <font>
      <i/>
      <sz val="11.0"/>
      <color rgb="FF000000"/>
      <name val="Calibri"/>
    </font>
    <font>
      <u/>
      <sz val="11.0"/>
      <color theme="10"/>
      <name val="Calibri"/>
    </font>
    <font>
      <u/>
      <sz val="11.0"/>
      <color theme="10"/>
      <name val="Calibri"/>
    </font>
    <font>
      <sz val="12.0"/>
      <color rgb="FF0070C0"/>
      <name val="Calibri"/>
    </font>
    <font>
      <u/>
      <sz val="11.0"/>
      <color theme="10"/>
      <name val="Calibri"/>
    </font>
    <font>
      <u/>
      <sz val="11.0"/>
      <color theme="10"/>
      <name val="Calibri"/>
    </font>
  </fonts>
  <fills count="18">
    <fill>
      <patternFill patternType="none"/>
    </fill>
    <fill>
      <patternFill patternType="lightGray"/>
    </fill>
    <fill>
      <patternFill patternType="solid">
        <fgColor rgb="FFFFE599"/>
        <bgColor rgb="FFFFE599"/>
      </patternFill>
    </fill>
    <fill>
      <patternFill patternType="solid">
        <fgColor rgb="FFFFFF00"/>
        <bgColor rgb="FFFFFF00"/>
      </patternFill>
    </fill>
    <fill>
      <patternFill patternType="solid">
        <fgColor rgb="FFD9D9D9"/>
        <bgColor rgb="FFD9D9D9"/>
      </patternFill>
    </fill>
    <fill>
      <patternFill patternType="solid">
        <fgColor rgb="FFDBE5F1"/>
        <bgColor rgb="FFDBE5F1"/>
      </patternFill>
    </fill>
    <fill>
      <patternFill patternType="solid">
        <fgColor rgb="FFB8CCE4"/>
        <bgColor rgb="FFB8CCE4"/>
      </patternFill>
    </fill>
    <fill>
      <patternFill patternType="solid">
        <fgColor rgb="FFF2F2F2"/>
        <bgColor rgb="FFF2F2F2"/>
      </patternFill>
    </fill>
    <fill>
      <patternFill patternType="solid">
        <fgColor theme="0"/>
        <bgColor theme="0"/>
      </patternFill>
    </fill>
    <fill>
      <patternFill patternType="solid">
        <fgColor rgb="FF95B3D7"/>
        <bgColor rgb="FF95B3D7"/>
      </patternFill>
    </fill>
    <fill>
      <patternFill patternType="solid">
        <fgColor rgb="FFEAF1DD"/>
        <bgColor rgb="FFEAF1DD"/>
      </patternFill>
    </fill>
    <fill>
      <patternFill patternType="solid">
        <fgColor rgb="FFE5B8B7"/>
        <bgColor rgb="FFE5B8B7"/>
      </patternFill>
    </fill>
    <fill>
      <patternFill patternType="solid">
        <fgColor rgb="FFE0DBF1"/>
        <bgColor rgb="FFE0DBF1"/>
      </patternFill>
    </fill>
    <fill>
      <patternFill patternType="solid">
        <fgColor rgb="FFD9D2E9"/>
        <bgColor rgb="FFD9D2E9"/>
      </patternFill>
    </fill>
    <fill>
      <patternFill patternType="solid">
        <fgColor rgb="FFB2A1C7"/>
        <bgColor rgb="FFB2A1C7"/>
      </patternFill>
    </fill>
    <fill>
      <patternFill patternType="solid">
        <fgColor rgb="FF0070C0"/>
        <bgColor rgb="FF0070C0"/>
      </patternFill>
    </fill>
    <fill>
      <patternFill patternType="solid">
        <fgColor rgb="FFDCE6F1"/>
        <bgColor rgb="FFDCE6F1"/>
      </patternFill>
    </fill>
    <fill>
      <patternFill patternType="solid">
        <fgColor theme="4"/>
        <bgColor theme="4"/>
      </patternFill>
    </fill>
  </fills>
  <borders count="10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top/>
      <bottom/>
    </border>
    <border>
      <top/>
      <bottom/>
    </border>
    <border>
      <right/>
      <top/>
      <bottom/>
    </border>
    <border>
      <left style="thin">
        <color rgb="FF000000"/>
      </left>
      <right style="thin">
        <color rgb="FF000000"/>
      </right>
      <top style="thin">
        <color rgb="FF000000"/>
      </top>
      <bottom style="thin">
        <color rgb="FF000000"/>
      </bottom>
    </border>
    <border>
      <left/>
      <top/>
    </border>
    <border>
      <top/>
    </border>
    <border>
      <right/>
      <top/>
    </border>
    <border>
      <left/>
      <bottom/>
    </border>
    <border>
      <bottom/>
    </border>
    <border>
      <right/>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right/>
      <top/>
    </border>
    <border>
      <left/>
      <top/>
      <bottom/>
    </border>
    <border>
      <left/>
      <right/>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right/>
    </border>
    <border>
      <left/>
    </border>
    <border>
      <left style="thin">
        <color rgb="FF000000"/>
      </left>
      <right style="thin">
        <color rgb="FF000000"/>
      </right>
      <top/>
      <bottom/>
    </border>
    <border>
      <left style="thin">
        <color rgb="FF000000"/>
      </left>
      <top style="thin">
        <color rgb="FF000000"/>
      </top>
      <bottom/>
    </border>
    <border>
      <right style="thin">
        <color rgb="FF000000"/>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right style="medium">
        <color rgb="FF000000"/>
      </right>
      <top/>
      <bottom/>
    </border>
    <border>
      <top style="thin">
        <color rgb="FF000000"/>
      </top>
      <bottom/>
    </border>
    <border>
      <left/>
      <top style="thin">
        <color rgb="FF000000"/>
      </top>
      <bottom/>
    </border>
    <border>
      <left style="thin">
        <color rgb="FF000000"/>
      </left>
      <right/>
      <top/>
      <bottom/>
    </border>
    <border>
      <right style="thin">
        <color rgb="FF000000"/>
      </right>
      <top/>
      <bottom/>
    </border>
    <border>
      <left style="thin">
        <color rgb="FF000000"/>
      </left>
      <right/>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right style="thin">
        <color rgb="FF000000"/>
      </right>
      <bottom/>
    </border>
    <border>
      <left style="thin">
        <color rgb="FF000000"/>
      </left>
      <right style="thin">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thin">
        <color rgb="FF000000"/>
      </left>
      <right style="medium">
        <color rgb="FF000000"/>
      </right>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top/>
    </border>
    <border>
      <left style="thin">
        <color rgb="FF000000"/>
      </left>
      <right style="thin">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border>
    <border>
      <left style="medium">
        <color rgb="FF000000"/>
      </left>
      <right/>
      <top style="medium">
        <color rgb="FF000000"/>
      </top>
      <bottom style="thin">
        <color rgb="FF000000"/>
      </bottom>
    </border>
    <border>
      <left/>
      <right style="thin">
        <color rgb="FF000000"/>
      </right>
      <top style="medium">
        <color rgb="FF000000"/>
      </top>
      <bottom style="thin">
        <color rgb="FF000000"/>
      </bottom>
    </border>
    <border>
      <left/>
      <right/>
      <top style="medium">
        <color rgb="FF000000"/>
      </top>
      <bottom/>
    </border>
    <border>
      <left style="thin">
        <color rgb="FF000000"/>
      </left>
      <top/>
      <bottom style="thin">
        <color rgb="FF000000"/>
      </bottom>
    </border>
    <border>
      <right style="medium">
        <color rgb="FF000000"/>
      </right>
      <top/>
      <bottom style="thin">
        <color rgb="FF000000"/>
      </bottom>
    </border>
    <border>
      <left style="medium">
        <color rgb="FF000000"/>
      </left>
      <right style="thin">
        <color rgb="FF000000"/>
      </right>
      <top/>
      <bottom/>
    </border>
    <border>
      <left style="thin">
        <color rgb="FF000000"/>
      </left>
      <right style="medium">
        <color rgb="FF000000"/>
      </right>
      <top style="thin">
        <color rgb="FF000000"/>
      </top>
      <bottom style="thin">
        <color rgb="FF000000"/>
      </bottom>
    </border>
    <border>
      <left style="medium">
        <color rgb="FF000000"/>
      </left>
      <right/>
      <top/>
      <bottom/>
    </border>
    <border>
      <left/>
      <right/>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right style="medium">
        <color rgb="FF000000"/>
      </righ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right style="medium">
        <color rgb="FF000000"/>
      </right>
      <top style="medium">
        <color rgb="FF000000"/>
      </top>
      <bottom/>
    </border>
    <border>
      <left style="medium">
        <color rgb="FF000000"/>
      </left>
      <right/>
      <top style="thin">
        <color rgb="FF000000"/>
      </top>
      <bottom style="thin">
        <color rgb="FF000000"/>
      </bottom>
    </border>
    <border>
      <left/>
      <right/>
      <top/>
      <bottom style="thin">
        <color rgb="FF000000"/>
      </bottom>
    </border>
    <border>
      <right/>
      <top style="thin">
        <color rgb="FF000000"/>
      </top>
      <bottom/>
    </border>
    <border>
      <left style="thin">
        <color rgb="FF000000"/>
      </left>
      <right/>
      <top style="thin">
        <color rgb="FF000000"/>
      </top>
    </border>
    <border>
      <left style="thin">
        <color rgb="FF000000"/>
      </left>
      <right/>
    </border>
    <border>
      <left style="thin">
        <color rgb="FF000000"/>
      </left>
      <right/>
      <bottom style="thin">
        <color rgb="FF000000"/>
      </bottom>
    </border>
    <border>
      <left/>
      <top style="medium">
        <color rgb="FF000000"/>
      </top>
      <bottom/>
    </border>
    <border>
      <left style="thin">
        <color rgb="FF000000"/>
      </left>
      <right style="medium">
        <color rgb="FF000000"/>
      </right>
      <top style="thin">
        <color rgb="FF000000"/>
      </top>
      <bottom/>
    </border>
    <border>
      <left/>
      <right style="thin">
        <color rgb="FF000000"/>
      </right>
      <top/>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s>
  <cellStyleXfs count="1">
    <xf borderId="0" fillId="0" fontId="0" numFmtId="0" applyAlignment="1" applyFont="1"/>
  </cellStyleXfs>
  <cellXfs count="666">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Font="1"/>
    <xf borderId="0" fillId="2" fontId="3" numFmtId="0" xfId="0" applyAlignment="1" applyFont="1">
      <alignment horizontal="center" readingOrder="0"/>
    </xf>
    <xf borderId="0" fillId="0" fontId="3" numFmtId="0" xfId="0" applyAlignment="1" applyFont="1">
      <alignment horizontal="center" readingOrder="0"/>
    </xf>
    <xf borderId="0" fillId="0" fontId="2" numFmtId="0" xfId="0" applyAlignment="1" applyFont="1">
      <alignment readingOrder="0"/>
    </xf>
    <xf borderId="0" fillId="2" fontId="2" numFmtId="0" xfId="0" applyFont="1"/>
    <xf borderId="0" fillId="0" fontId="2" numFmtId="0" xfId="0" applyFont="1"/>
    <xf borderId="0" fillId="2" fontId="2" numFmtId="2" xfId="0" applyFont="1" applyNumberFormat="1"/>
    <xf borderId="0" fillId="0" fontId="2" numFmtId="2" xfId="0" applyFont="1" applyNumberFormat="1"/>
    <xf borderId="0" fillId="0" fontId="2" numFmtId="4" xfId="0" applyFont="1" applyNumberFormat="1"/>
    <xf borderId="0" fillId="0" fontId="2" numFmtId="2" xfId="0" applyAlignment="1" applyFont="1" applyNumberFormat="1">
      <alignment readingOrder="0"/>
    </xf>
    <xf borderId="0" fillId="2" fontId="2" numFmtId="0" xfId="0" applyAlignment="1" applyFont="1">
      <alignment readingOrder="0"/>
    </xf>
    <xf borderId="0" fillId="0" fontId="2" numFmtId="4" xfId="0" applyAlignment="1" applyFont="1" applyNumberFormat="1">
      <alignment readingOrder="0"/>
    </xf>
    <xf borderId="0" fillId="2" fontId="2" numFmtId="2" xfId="0" applyAlignment="1" applyFont="1" applyNumberFormat="1">
      <alignment readingOrder="0"/>
    </xf>
    <xf borderId="0" fillId="0" fontId="2" numFmtId="1" xfId="0" applyFont="1" applyNumberFormat="1"/>
    <xf borderId="0" fillId="2" fontId="2" numFmtId="0" xfId="0" applyFont="1"/>
    <xf borderId="1" fillId="0" fontId="3" numFmtId="0" xfId="0" applyAlignment="1" applyBorder="1" applyFont="1">
      <alignment horizontal="center" readingOrder="0"/>
    </xf>
    <xf borderId="2" fillId="0" fontId="3" numFmtId="0" xfId="0" applyAlignment="1" applyBorder="1" applyFont="1">
      <alignment horizontal="center" readingOrder="0"/>
    </xf>
    <xf borderId="3" fillId="0" fontId="3" numFmtId="0" xfId="0" applyAlignment="1" applyBorder="1" applyFont="1">
      <alignment horizontal="center" readingOrder="0"/>
    </xf>
    <xf borderId="4" fillId="0" fontId="3" numFmtId="0" xfId="0" applyAlignment="1" applyBorder="1" applyFont="1">
      <alignment horizontal="center" readingOrder="0"/>
    </xf>
    <xf borderId="1" fillId="0" fontId="3" numFmtId="0" xfId="0" applyAlignment="1" applyBorder="1" applyFont="1">
      <alignment horizontal="center" readingOrder="0" vertical="center"/>
    </xf>
    <xf borderId="5" fillId="0" fontId="3" numFmtId="0" xfId="0" applyAlignment="1" applyBorder="1" applyFont="1">
      <alignment horizontal="center" readingOrder="0" vertical="center"/>
    </xf>
    <xf borderId="6" fillId="3" fontId="2" numFmtId="0" xfId="0" applyAlignment="1" applyBorder="1" applyFill="1" applyFont="1">
      <alignment readingOrder="0"/>
    </xf>
    <xf borderId="6" fillId="3" fontId="2" numFmtId="0" xfId="0" applyBorder="1" applyFont="1"/>
    <xf borderId="6" fillId="3" fontId="2" numFmtId="0" xfId="0" applyBorder="1" applyFont="1"/>
    <xf borderId="7" fillId="0" fontId="2" numFmtId="0" xfId="0" applyAlignment="1" applyBorder="1" applyFont="1">
      <alignment shrinkToFit="0" wrapText="1"/>
    </xf>
    <xf borderId="8" fillId="0" fontId="4" numFmtId="0" xfId="0" applyBorder="1" applyFont="1"/>
    <xf borderId="9" fillId="0" fontId="4" numFmtId="0" xfId="0" applyBorder="1" applyFont="1"/>
    <xf borderId="10" fillId="0" fontId="4" numFmtId="0" xfId="0" applyBorder="1" applyFont="1"/>
    <xf borderId="0" fillId="3" fontId="2" numFmtId="0" xfId="0" applyAlignment="1" applyFont="1">
      <alignment readingOrder="0"/>
    </xf>
    <xf borderId="0" fillId="3" fontId="2" numFmtId="4" xfId="0" applyFont="1" applyNumberFormat="1"/>
    <xf borderId="0" fillId="3" fontId="2" numFmtId="0" xfId="0" applyFont="1"/>
    <xf borderId="11" fillId="0" fontId="4" numFmtId="0" xfId="0" applyBorder="1" applyFont="1"/>
    <xf borderId="12" fillId="0" fontId="4" numFmtId="0" xfId="0" applyBorder="1" applyFont="1"/>
    <xf borderId="13" fillId="3" fontId="2" numFmtId="0" xfId="0" applyAlignment="1" applyBorder="1" applyFont="1">
      <alignment readingOrder="0"/>
    </xf>
    <xf borderId="13" fillId="3" fontId="2" numFmtId="4" xfId="0" applyBorder="1" applyFont="1" applyNumberFormat="1"/>
    <xf borderId="13" fillId="3" fontId="2" numFmtId="0" xfId="0" applyBorder="1" applyFont="1"/>
    <xf borderId="14" fillId="0" fontId="4" numFmtId="0" xfId="0" applyBorder="1" applyFont="1"/>
    <xf borderId="11" fillId="0" fontId="3" numFmtId="0" xfId="0" applyAlignment="1" applyBorder="1" applyFont="1">
      <alignment horizontal="center" readingOrder="0"/>
    </xf>
    <xf borderId="3" fillId="0" fontId="2" numFmtId="0" xfId="0" applyAlignment="1" applyBorder="1" applyFont="1">
      <alignment readingOrder="0"/>
    </xf>
    <xf borderId="3" fillId="0" fontId="2" numFmtId="4" xfId="0" applyBorder="1" applyFont="1" applyNumberFormat="1"/>
    <xf borderId="3" fillId="0" fontId="2" numFmtId="0" xfId="0" applyBorder="1" applyFont="1"/>
    <xf borderId="6" fillId="0" fontId="2" numFmtId="0" xfId="0" applyBorder="1" applyFont="1"/>
    <xf borderId="4" fillId="0" fontId="2" numFmtId="0" xfId="0" applyAlignment="1" applyBorder="1" applyFont="1">
      <alignment shrinkToFit="0" wrapText="1"/>
    </xf>
    <xf borderId="6" fillId="0" fontId="2" numFmtId="0" xfId="0" applyAlignment="1" applyBorder="1" applyFont="1">
      <alignment readingOrder="0"/>
    </xf>
    <xf borderId="7" fillId="0" fontId="2" numFmtId="0" xfId="0" applyAlignment="1" applyBorder="1" applyFont="1">
      <alignment horizontal="center" readingOrder="0" shrinkToFit="0" vertical="center" wrapText="1"/>
    </xf>
    <xf borderId="13" fillId="0" fontId="2" numFmtId="0" xfId="0" applyAlignment="1" applyBorder="1" applyFont="1">
      <alignment readingOrder="0"/>
    </xf>
    <xf borderId="13" fillId="0" fontId="2" numFmtId="0" xfId="0" applyBorder="1" applyFont="1"/>
    <xf borderId="5" fillId="4" fontId="3" numFmtId="0" xfId="0" applyAlignment="1" applyBorder="1" applyFill="1" applyFont="1">
      <alignment horizontal="center" readingOrder="0" vertical="center"/>
    </xf>
    <xf borderId="6" fillId="4" fontId="2" numFmtId="0" xfId="0" applyAlignment="1" applyBorder="1" applyFont="1">
      <alignment readingOrder="0"/>
    </xf>
    <xf borderId="6" fillId="4" fontId="2" numFmtId="0" xfId="0" applyBorder="1" applyFont="1"/>
    <xf borderId="7" fillId="4" fontId="2" numFmtId="0" xfId="0" applyAlignment="1" applyBorder="1" applyFont="1">
      <alignment horizontal="center" readingOrder="0" shrinkToFit="0" vertical="center" wrapText="1"/>
    </xf>
    <xf borderId="0" fillId="4" fontId="2" numFmtId="0" xfId="0" applyAlignment="1" applyFont="1">
      <alignment readingOrder="0"/>
    </xf>
    <xf borderId="0" fillId="4" fontId="2" numFmtId="0" xfId="0" applyFont="1"/>
    <xf borderId="13" fillId="4" fontId="2" numFmtId="0" xfId="0" applyAlignment="1" applyBorder="1" applyFont="1">
      <alignment readingOrder="0"/>
    </xf>
    <xf borderId="13" fillId="4" fontId="2" numFmtId="0" xfId="0" applyBorder="1" applyFont="1"/>
    <xf borderId="2" fillId="4" fontId="3" numFmtId="0" xfId="0" applyAlignment="1" applyBorder="1" applyFont="1">
      <alignment horizontal="center" readingOrder="0"/>
    </xf>
    <xf borderId="13" fillId="4" fontId="2" numFmtId="2" xfId="0" applyBorder="1" applyFont="1" applyNumberFormat="1"/>
    <xf borderId="4" fillId="4" fontId="2" numFmtId="0" xfId="0" applyAlignment="1" applyBorder="1" applyFont="1">
      <alignment readingOrder="0" shrinkToFit="0" wrapText="1"/>
    </xf>
    <xf borderId="6" fillId="4" fontId="2" numFmtId="2" xfId="0" applyBorder="1" applyFont="1" applyNumberFormat="1"/>
    <xf borderId="0" fillId="4" fontId="2" numFmtId="4" xfId="0" applyFont="1" applyNumberFormat="1"/>
    <xf borderId="13" fillId="4" fontId="2" numFmtId="4" xfId="0" applyBorder="1" applyFont="1" applyNumberFormat="1"/>
    <xf borderId="13" fillId="0" fontId="2" numFmtId="2" xfId="0" applyBorder="1" applyFont="1" applyNumberFormat="1"/>
    <xf borderId="4" fillId="0" fontId="2" numFmtId="0" xfId="0" applyAlignment="1" applyBorder="1" applyFont="1">
      <alignment readingOrder="0" shrinkToFit="0" wrapText="1"/>
    </xf>
    <xf borderId="3" fillId="0" fontId="2" numFmtId="2" xfId="0" applyBorder="1" applyFont="1" applyNumberFormat="1"/>
    <xf borderId="6" fillId="0" fontId="2" numFmtId="4" xfId="0" applyBorder="1" applyFont="1" applyNumberFormat="1"/>
    <xf borderId="13" fillId="0" fontId="2" numFmtId="4" xfId="0" applyBorder="1" applyFont="1" applyNumberForma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4" xfId="0" applyAlignment="1" applyFont="1" applyNumberFormat="1">
      <alignment shrinkToFit="0" vertical="center" wrapText="0"/>
    </xf>
    <xf borderId="15" fillId="5" fontId="5" numFmtId="0" xfId="0" applyBorder="1" applyFill="1" applyFont="1"/>
    <xf borderId="16" fillId="6" fontId="6" numFmtId="0" xfId="0" applyAlignment="1" applyBorder="1" applyFill="1" applyFont="1">
      <alignment horizontal="center"/>
    </xf>
    <xf borderId="17" fillId="0" fontId="4" numFmtId="0" xfId="0" applyBorder="1" applyFont="1"/>
    <xf borderId="18" fillId="0" fontId="4" numFmtId="0" xfId="0" applyBorder="1" applyFont="1"/>
    <xf borderId="16" fillId="6" fontId="7" numFmtId="0" xfId="0" applyAlignment="1" applyBorder="1" applyFont="1">
      <alignment horizontal="center"/>
    </xf>
    <xf borderId="2" fillId="5" fontId="8" numFmtId="0" xfId="0" applyAlignment="1" applyBorder="1" applyFont="1">
      <alignment horizontal="center"/>
    </xf>
    <xf borderId="4" fillId="0" fontId="4" numFmtId="0" xfId="0" applyBorder="1" applyFont="1"/>
    <xf borderId="19" fillId="5" fontId="5" numFmtId="0" xfId="0" applyBorder="1" applyFont="1"/>
    <xf borderId="20" fillId="5" fontId="8" numFmtId="0" xfId="0" applyAlignment="1" applyBorder="1" applyFont="1">
      <alignment horizontal="center"/>
    </xf>
    <xf borderId="21" fillId="0" fontId="4" numFmtId="0" xfId="0" applyBorder="1" applyFont="1"/>
    <xf borderId="22" fillId="0" fontId="4" numFmtId="0" xfId="0" applyBorder="1" applyFont="1"/>
    <xf borderId="23" fillId="0" fontId="4" numFmtId="0" xfId="0" applyBorder="1" applyFont="1"/>
    <xf borderId="24" fillId="0" fontId="4" numFmtId="0" xfId="0" applyBorder="1" applyFont="1"/>
    <xf borderId="25" fillId="0" fontId="4" numFmtId="0" xfId="0" applyBorder="1" applyFont="1"/>
    <xf borderId="26" fillId="5" fontId="8" numFmtId="0" xfId="0" applyBorder="1" applyFont="1"/>
    <xf borderId="15" fillId="5" fontId="8" numFmtId="0" xfId="0" applyBorder="1" applyFont="1"/>
    <xf borderId="15" fillId="5" fontId="9" numFmtId="0" xfId="0" applyBorder="1" applyFont="1"/>
    <xf borderId="15" fillId="5" fontId="10" numFmtId="0" xfId="0" applyBorder="1" applyFont="1"/>
    <xf borderId="5" fillId="7" fontId="5" numFmtId="0" xfId="0" applyAlignment="1" applyBorder="1" applyFill="1" applyFont="1">
      <alignment horizontal="center" shrinkToFit="0" wrapText="1"/>
    </xf>
    <xf borderId="6" fillId="0" fontId="4" numFmtId="0" xfId="0" applyBorder="1" applyFont="1"/>
    <xf borderId="7" fillId="0" fontId="4" numFmtId="0" xfId="0" applyBorder="1" applyFont="1"/>
    <xf borderId="13" fillId="0" fontId="4" numFmtId="0" xfId="0" applyBorder="1" applyFont="1"/>
    <xf borderId="15" fillId="5" fontId="5" numFmtId="0" xfId="0" applyAlignment="1" applyBorder="1" applyFont="1">
      <alignment vertical="center"/>
    </xf>
    <xf borderId="5" fillId="7" fontId="5" numFmtId="0" xfId="0" applyAlignment="1" applyBorder="1" applyFont="1">
      <alignment horizontal="center" shrinkToFit="0" vertical="center" wrapText="1"/>
    </xf>
    <xf borderId="15" fillId="8" fontId="5" numFmtId="0" xfId="0" applyBorder="1" applyFill="1" applyFont="1"/>
    <xf borderId="15" fillId="8" fontId="11" numFmtId="0" xfId="0" applyBorder="1" applyFont="1"/>
    <xf borderId="15" fillId="9" fontId="11" numFmtId="0" xfId="0" applyBorder="1" applyFill="1" applyFont="1"/>
    <xf borderId="15" fillId="9" fontId="5" numFmtId="0" xfId="0" applyBorder="1" applyFont="1"/>
    <xf borderId="15" fillId="8" fontId="8" numFmtId="0" xfId="0" applyAlignment="1" applyBorder="1" applyFont="1">
      <alignment horizontal="center" shrinkToFit="0" vertical="center" wrapText="1"/>
    </xf>
    <xf borderId="15" fillId="8" fontId="5" numFmtId="0" xfId="0" applyAlignment="1" applyBorder="1" applyFont="1">
      <alignment horizontal="center"/>
    </xf>
    <xf borderId="15" fillId="5" fontId="5" numFmtId="2" xfId="0" applyAlignment="1" applyBorder="1" applyFont="1" applyNumberFormat="1">
      <alignment horizontal="center"/>
    </xf>
    <xf borderId="15" fillId="5" fontId="5" numFmtId="0" xfId="0" applyAlignment="1" applyBorder="1" applyFont="1">
      <alignment horizontal="center" shrinkToFit="0" vertical="center" wrapText="1"/>
    </xf>
    <xf borderId="15" fillId="8" fontId="5" numFmtId="1" xfId="0" applyAlignment="1" applyBorder="1" applyFont="1" applyNumberFormat="1">
      <alignment horizontal="center"/>
    </xf>
    <xf borderId="15" fillId="8" fontId="5" numFmtId="0" xfId="0" applyAlignment="1" applyBorder="1" applyFont="1">
      <alignment horizontal="center" shrinkToFit="0" vertical="center" wrapText="1"/>
    </xf>
    <xf borderId="15" fillId="5" fontId="5" numFmtId="2" xfId="0" applyAlignment="1" applyBorder="1" applyFont="1" applyNumberFormat="1">
      <alignment horizontal="center" shrinkToFit="0" vertical="center" wrapText="1"/>
    </xf>
    <xf borderId="15" fillId="5" fontId="5" numFmtId="164" xfId="0" applyAlignment="1" applyBorder="1" applyFont="1" applyNumberFormat="1">
      <alignment horizontal="center" shrinkToFit="0" vertical="center" wrapText="1"/>
    </xf>
    <xf borderId="19" fillId="5" fontId="8" numFmtId="0" xfId="0" applyBorder="1" applyFont="1"/>
    <xf borderId="15" fillId="5" fontId="8" numFmtId="0" xfId="0" applyAlignment="1" applyBorder="1" applyFont="1">
      <alignment horizontal="center" vertical="center"/>
    </xf>
    <xf borderId="15" fillId="5" fontId="10" numFmtId="0" xfId="0" applyAlignment="1" applyBorder="1" applyFont="1">
      <alignment shrinkToFit="0" wrapText="1"/>
    </xf>
    <xf borderId="15" fillId="5" fontId="11" numFmtId="0" xfId="0" applyBorder="1" applyFont="1"/>
    <xf borderId="19" fillId="9" fontId="8" numFmtId="0" xfId="0" applyAlignment="1" applyBorder="1" applyFont="1">
      <alignment horizontal="center" vertical="center"/>
    </xf>
    <xf borderId="27" fillId="9" fontId="8" numFmtId="0" xfId="0" applyAlignment="1" applyBorder="1" applyFont="1">
      <alignment horizontal="center" shrinkToFit="0" vertical="center" wrapText="1"/>
    </xf>
    <xf borderId="28" fillId="9" fontId="8" numFmtId="0" xfId="0" applyAlignment="1" applyBorder="1" applyFont="1">
      <alignment horizontal="center" shrinkToFit="0" vertical="center" wrapText="1"/>
    </xf>
    <xf borderId="15" fillId="5" fontId="12" numFmtId="0" xfId="0" applyBorder="1" applyFont="1"/>
    <xf borderId="19" fillId="9" fontId="8" numFmtId="0" xfId="0" applyBorder="1" applyFont="1"/>
    <xf borderId="27" fillId="9" fontId="8" numFmtId="0" xfId="0" applyAlignment="1" applyBorder="1" applyFont="1">
      <alignment horizontal="center"/>
    </xf>
    <xf borderId="28" fillId="9" fontId="8" numFmtId="0" xfId="0" applyAlignment="1" applyBorder="1" applyFont="1">
      <alignment horizontal="center"/>
    </xf>
    <xf borderId="19" fillId="9" fontId="8" numFmtId="0" xfId="0" applyAlignment="1" applyBorder="1" applyFont="1">
      <alignment horizontal="center" shrinkToFit="0" vertical="center" wrapText="1"/>
    </xf>
    <xf borderId="19" fillId="9" fontId="8" numFmtId="0" xfId="0" applyAlignment="1" applyBorder="1" applyFont="1">
      <alignment shrinkToFit="0" vertical="center" wrapText="1"/>
    </xf>
    <xf borderId="19" fillId="5" fontId="13" numFmtId="0" xfId="0" applyAlignment="1" applyBorder="1" applyFont="1">
      <alignment horizontal="center" shrinkToFit="0" vertical="center" wrapText="1"/>
    </xf>
    <xf borderId="19" fillId="5" fontId="12" numFmtId="164" xfId="0" applyAlignment="1" applyBorder="1" applyFont="1" applyNumberFormat="1">
      <alignment horizontal="center" shrinkToFit="0" vertical="center" wrapText="1"/>
    </xf>
    <xf borderId="19" fillId="5" fontId="12" numFmtId="164" xfId="0" applyAlignment="1" applyBorder="1" applyFont="1" applyNumberFormat="1">
      <alignment horizontal="center" vertical="center"/>
    </xf>
    <xf borderId="15" fillId="5" fontId="12" numFmtId="0" xfId="0" applyAlignment="1" applyBorder="1" applyFont="1">
      <alignment horizontal="center" vertical="center"/>
    </xf>
    <xf borderId="19" fillId="5" fontId="12" numFmtId="1" xfId="0" applyAlignment="1" applyBorder="1" applyFont="1" applyNumberFormat="1">
      <alignment horizontal="center" shrinkToFit="0" vertical="center" wrapText="1"/>
    </xf>
    <xf borderId="19" fillId="5" fontId="12" numFmtId="0" xfId="0" applyAlignment="1" applyBorder="1" applyFont="1">
      <alignment horizontal="center" shrinkToFit="0" vertical="center" wrapText="1"/>
    </xf>
    <xf borderId="15" fillId="5" fontId="12" numFmtId="0" xfId="0" applyAlignment="1" applyBorder="1" applyFont="1">
      <alignment horizontal="center"/>
    </xf>
    <xf borderId="15" fillId="5" fontId="12" numFmtId="0" xfId="0" applyAlignment="1" applyBorder="1" applyFont="1">
      <alignment horizontal="center" shrinkToFit="0" vertical="center" wrapText="1"/>
    </xf>
    <xf borderId="15" fillId="5" fontId="12" numFmtId="2" xfId="0" applyAlignment="1" applyBorder="1" applyFont="1" applyNumberFormat="1">
      <alignment horizontal="center" shrinkToFit="0" vertical="center" wrapText="1"/>
    </xf>
    <xf borderId="15" fillId="5" fontId="12" numFmtId="164" xfId="0" applyAlignment="1" applyBorder="1" applyFont="1" applyNumberFormat="1">
      <alignment horizontal="center" shrinkToFit="0" vertical="center" wrapText="1"/>
    </xf>
    <xf borderId="15" fillId="5" fontId="12" numFmtId="1" xfId="0" applyAlignment="1" applyBorder="1" applyFont="1" applyNumberFormat="1">
      <alignment horizontal="center" shrinkToFit="0" vertical="center" wrapText="1"/>
    </xf>
    <xf borderId="15" fillId="5" fontId="12" numFmtId="0" xfId="0" applyAlignment="1" applyBorder="1" applyFont="1">
      <alignment shrinkToFit="0" vertical="center" wrapText="1"/>
    </xf>
    <xf borderId="19" fillId="5" fontId="8" numFmtId="0" xfId="0" applyAlignment="1" applyBorder="1" applyFont="1">
      <alignment shrinkToFit="0" vertical="center" wrapText="1"/>
    </xf>
    <xf borderId="15" fillId="5" fontId="8" numFmtId="0" xfId="0" applyAlignment="1" applyBorder="1" applyFont="1">
      <alignment shrinkToFit="0" vertical="center" wrapText="1"/>
    </xf>
    <xf borderId="15" fillId="5" fontId="5" numFmtId="0" xfId="0" applyAlignment="1" applyBorder="1" applyFont="1">
      <alignment readingOrder="0"/>
    </xf>
    <xf borderId="2" fillId="9" fontId="8" numFmtId="0" xfId="0" applyAlignment="1" applyBorder="1" applyFont="1">
      <alignment horizontal="center"/>
    </xf>
    <xf borderId="29" fillId="0" fontId="4" numFmtId="0" xfId="0" applyBorder="1" applyFont="1"/>
    <xf borderId="30" fillId="9" fontId="5" numFmtId="0" xfId="0" applyBorder="1" applyFont="1"/>
    <xf borderId="28" fillId="9" fontId="5" numFmtId="0" xfId="0" applyBorder="1" applyFont="1"/>
    <xf borderId="19" fillId="10" fontId="8" numFmtId="0" xfId="0" applyBorder="1" applyFill="1" applyFont="1"/>
    <xf borderId="19" fillId="11" fontId="8" numFmtId="0" xfId="0" applyBorder="1" applyFill="1" applyFont="1"/>
    <xf borderId="19" fillId="9" fontId="8" numFmtId="0" xfId="0" applyAlignment="1" applyBorder="1" applyFont="1">
      <alignment horizontal="center"/>
    </xf>
    <xf borderId="19" fillId="5" fontId="12" numFmtId="0" xfId="0" applyBorder="1" applyFont="1"/>
    <xf borderId="19" fillId="5" fontId="12" numFmtId="2" xfId="0" applyBorder="1" applyFont="1" applyNumberFormat="1"/>
    <xf borderId="19" fillId="5" fontId="12" numFmtId="0" xfId="0" applyAlignment="1" applyBorder="1" applyFont="1">
      <alignment horizontal="center"/>
    </xf>
    <xf borderId="31" fillId="9" fontId="8" numFmtId="0" xfId="0" applyAlignment="1" applyBorder="1" applyFont="1">
      <alignment shrinkToFit="0" wrapText="1"/>
    </xf>
    <xf borderId="19" fillId="5" fontId="5" numFmtId="1" xfId="0" applyAlignment="1" applyBorder="1" applyFont="1" applyNumberFormat="1">
      <alignment horizontal="center" shrinkToFit="0" vertical="center" wrapText="1"/>
    </xf>
    <xf borderId="31" fillId="9" fontId="8" numFmtId="0" xfId="0" applyBorder="1" applyFont="1"/>
    <xf borderId="19" fillId="5" fontId="5" numFmtId="164" xfId="0" applyAlignment="1" applyBorder="1" applyFont="1" applyNumberFormat="1">
      <alignment horizontal="center" shrinkToFit="0" vertical="center" wrapText="1"/>
    </xf>
    <xf borderId="19" fillId="5" fontId="12" numFmtId="2" xfId="0" applyAlignment="1" applyBorder="1" applyFont="1" applyNumberFormat="1">
      <alignment horizontal="right"/>
    </xf>
    <xf borderId="19" fillId="9" fontId="8" numFmtId="0" xfId="0" applyAlignment="1" applyBorder="1" applyFont="1">
      <alignment horizontal="left" shrinkToFit="0" vertical="center" wrapText="1"/>
    </xf>
    <xf borderId="19" fillId="5" fontId="5" numFmtId="0" xfId="0" applyAlignment="1" applyBorder="1" applyFont="1">
      <alignment horizontal="center" shrinkToFit="0" vertical="center" wrapText="1"/>
    </xf>
    <xf borderId="19" fillId="5" fontId="13" numFmtId="164" xfId="0" applyAlignment="1" applyBorder="1" applyFont="1" applyNumberFormat="1">
      <alignment horizontal="center" shrinkToFit="0" vertical="center" wrapText="1"/>
    </xf>
    <xf borderId="19" fillId="5" fontId="12" numFmtId="2" xfId="0" applyAlignment="1" applyBorder="1" applyFont="1" applyNumberFormat="1">
      <alignment horizontal="right" readingOrder="0"/>
    </xf>
    <xf borderId="19" fillId="5" fontId="12" numFmtId="49" xfId="0" applyAlignment="1" applyBorder="1" applyFont="1" applyNumberFormat="1">
      <alignment horizontal="right" readingOrder="0"/>
    </xf>
    <xf borderId="19" fillId="5" fontId="12" numFmtId="0" xfId="0" applyAlignment="1" applyBorder="1" applyFont="1">
      <alignment horizontal="center" readingOrder="0" shrinkToFit="0" wrapText="1"/>
    </xf>
    <xf borderId="19" fillId="5" fontId="5" numFmtId="1" xfId="0" applyAlignment="1" applyBorder="1" applyFont="1" applyNumberFormat="1">
      <alignment horizontal="center"/>
    </xf>
    <xf borderId="19" fillId="5" fontId="5" numFmtId="2" xfId="0" applyAlignment="1" applyBorder="1" applyFont="1" applyNumberFormat="1">
      <alignment horizontal="center"/>
    </xf>
    <xf borderId="15" fillId="5" fontId="5" numFmtId="2" xfId="0" applyBorder="1" applyFont="1" applyNumberFormat="1"/>
    <xf borderId="32" fillId="5" fontId="5" numFmtId="0" xfId="0" applyBorder="1" applyFont="1"/>
    <xf borderId="33" fillId="5" fontId="5" numFmtId="0" xfId="0" applyBorder="1" applyFont="1"/>
    <xf borderId="19" fillId="9" fontId="12" numFmtId="0" xfId="0" applyBorder="1" applyFont="1"/>
    <xf borderId="18" fillId="5" fontId="5" numFmtId="0" xfId="0" applyBorder="1" applyFont="1"/>
    <xf borderId="19" fillId="12" fontId="5" numFmtId="0" xfId="0" applyAlignment="1" applyBorder="1" applyFill="1" applyFont="1">
      <alignment readingOrder="0" shrinkToFit="0" wrapText="1"/>
    </xf>
    <xf borderId="19" fillId="12" fontId="5" numFmtId="0" xfId="0" applyBorder="1" applyFont="1"/>
    <xf borderId="19" fillId="12" fontId="5" numFmtId="0" xfId="0" applyAlignment="1" applyBorder="1" applyFont="1">
      <alignment readingOrder="0"/>
    </xf>
    <xf borderId="15" fillId="12" fontId="5" numFmtId="4" xfId="0" applyAlignment="1" applyBorder="1" applyFont="1" applyNumberFormat="1">
      <alignment readingOrder="0"/>
    </xf>
    <xf borderId="34" fillId="5" fontId="5" numFmtId="0" xfId="0" applyBorder="1" applyFont="1"/>
    <xf borderId="19" fillId="12" fontId="8" numFmtId="0" xfId="0" applyAlignment="1" applyBorder="1" applyFont="1">
      <alignment readingOrder="0"/>
    </xf>
    <xf borderId="15" fillId="12" fontId="5" numFmtId="0" xfId="0" applyAlignment="1" applyBorder="1" applyFont="1">
      <alignment readingOrder="0"/>
    </xf>
    <xf borderId="15" fillId="13" fontId="5" numFmtId="0" xfId="0" applyAlignment="1" applyBorder="1" applyFill="1" applyFont="1">
      <alignment readingOrder="0"/>
    </xf>
    <xf borderId="15" fillId="13" fontId="5" numFmtId="0" xfId="0" applyBorder="1" applyFont="1"/>
    <xf borderId="15" fillId="12" fontId="5" numFmtId="0" xfId="0" applyBorder="1" applyFont="1"/>
    <xf borderId="0" fillId="13" fontId="5" numFmtId="0" xfId="0" applyFont="1"/>
    <xf borderId="19" fillId="12" fontId="12" numFmtId="0" xfId="0" applyBorder="1" applyFont="1"/>
    <xf borderId="19" fillId="3" fontId="12" numFmtId="2" xfId="0" applyBorder="1" applyFont="1" applyNumberFormat="1"/>
    <xf borderId="19" fillId="12" fontId="12" numFmtId="2" xfId="0" applyBorder="1" applyFont="1" applyNumberFormat="1"/>
    <xf borderId="19" fillId="12" fontId="12" numFmtId="0" xfId="0" applyAlignment="1" applyBorder="1" applyFont="1">
      <alignment horizontal="center"/>
    </xf>
    <xf borderId="19" fillId="12" fontId="12" numFmtId="2" xfId="0" applyAlignment="1" applyBorder="1" applyFont="1" applyNumberFormat="1">
      <alignment readingOrder="0"/>
    </xf>
    <xf borderId="19" fillId="12" fontId="12" numFmtId="0" xfId="0" applyAlignment="1" applyBorder="1" applyFont="1">
      <alignment horizontal="center" readingOrder="0" shrinkToFit="0" wrapText="1"/>
    </xf>
    <xf borderId="15" fillId="12" fontId="5" numFmtId="2" xfId="0" applyBorder="1" applyFont="1" applyNumberFormat="1"/>
    <xf borderId="0" fillId="12" fontId="11" numFmtId="0" xfId="0" applyAlignment="1" applyFont="1">
      <alignment readingOrder="0"/>
    </xf>
    <xf borderId="15" fillId="3" fontId="5" numFmtId="0" xfId="0" applyBorder="1" applyFont="1"/>
    <xf borderId="0" fillId="12" fontId="5" numFmtId="0" xfId="0" applyFont="1"/>
    <xf borderId="0" fillId="12" fontId="5" numFmtId="0" xfId="0" applyAlignment="1" applyFont="1">
      <alignment readingOrder="0"/>
    </xf>
    <xf borderId="15" fillId="5" fontId="13" numFmtId="0" xfId="0" applyBorder="1" applyFont="1"/>
    <xf borderId="19" fillId="6" fontId="8" numFmtId="0" xfId="0" applyAlignment="1" applyBorder="1" applyFont="1">
      <alignment horizontal="center" vertical="center"/>
    </xf>
    <xf borderId="2" fillId="6" fontId="8" numFmtId="0" xfId="0" applyAlignment="1" applyBorder="1" applyFont="1">
      <alignment horizontal="center" vertical="center"/>
    </xf>
    <xf borderId="3" fillId="0" fontId="4" numFmtId="0" xfId="0" applyBorder="1" applyFont="1"/>
    <xf borderId="9" fillId="0" fontId="5" numFmtId="0" xfId="0" applyAlignment="1" applyBorder="1" applyFont="1">
      <alignment vertical="center"/>
    </xf>
    <xf borderId="6" fillId="0" fontId="5" numFmtId="0" xfId="0" applyAlignment="1" applyBorder="1" applyFont="1">
      <alignment shrinkToFit="0" vertical="center" wrapText="1"/>
    </xf>
    <xf borderId="0" fillId="0" fontId="5" numFmtId="0" xfId="0" applyAlignment="1" applyFont="1">
      <alignment shrinkToFit="0" vertical="center" wrapText="1"/>
    </xf>
    <xf borderId="0" fillId="0" fontId="5" numFmtId="0" xfId="0" applyAlignment="1" applyFont="1">
      <alignment vertical="center"/>
    </xf>
    <xf borderId="12" fillId="0" fontId="5" numFmtId="0" xfId="0" applyAlignment="1" applyBorder="1" applyFont="1">
      <alignment vertical="center"/>
    </xf>
    <xf borderId="13" fillId="0" fontId="5" numFmtId="0" xfId="0" applyAlignment="1" applyBorder="1" applyFont="1">
      <alignment shrinkToFit="0" vertical="center" wrapText="1"/>
    </xf>
    <xf borderId="19" fillId="5" fontId="5" numFmtId="0" xfId="0" applyAlignment="1" applyBorder="1" applyFont="1">
      <alignment shrinkToFit="0" wrapText="1"/>
    </xf>
    <xf borderId="15" fillId="5" fontId="8" numFmtId="0" xfId="0" applyAlignment="1" applyBorder="1" applyFont="1">
      <alignment horizontal="center" shrinkToFit="0" vertical="center" wrapText="1"/>
    </xf>
    <xf borderId="15" fillId="5" fontId="5" numFmtId="0" xfId="0" applyAlignment="1" applyBorder="1" applyFont="1">
      <alignment horizontal="center"/>
    </xf>
    <xf borderId="15" fillId="5" fontId="5" numFmtId="1" xfId="0" applyAlignment="1" applyBorder="1" applyFont="1" applyNumberFormat="1">
      <alignment horizontal="center"/>
    </xf>
    <xf borderId="19" fillId="9" fontId="8" numFmtId="0" xfId="0" applyAlignment="1" applyBorder="1" applyFont="1">
      <alignment horizontal="left" vertical="center"/>
    </xf>
    <xf borderId="2" fillId="9" fontId="8" numFmtId="0" xfId="0" applyAlignment="1" applyBorder="1" applyFont="1">
      <alignment horizontal="center" shrinkToFit="0" vertical="center" wrapText="1"/>
    </xf>
    <xf borderId="19" fillId="14" fontId="8" numFmtId="0" xfId="0" applyAlignment="1" applyBorder="1" applyFill="1" applyFont="1">
      <alignment shrinkToFit="0" vertical="center" wrapText="1"/>
    </xf>
    <xf borderId="35" fillId="5" fontId="5" numFmtId="0" xfId="0" applyAlignment="1" applyBorder="1" applyFont="1">
      <alignment shrinkToFit="0" vertical="center" wrapText="1"/>
    </xf>
    <xf borderId="19" fillId="5" fontId="5" numFmtId="9" xfId="0" applyAlignment="1" applyBorder="1" applyFont="1" applyNumberFormat="1">
      <alignment shrinkToFit="0" vertical="center" wrapText="1"/>
    </xf>
    <xf borderId="19" fillId="5" fontId="5" numFmtId="1" xfId="0" applyAlignment="1" applyBorder="1" applyFont="1" applyNumberFormat="1">
      <alignment shrinkToFit="0" vertical="center" wrapText="1"/>
    </xf>
    <xf borderId="19" fillId="8" fontId="5" numFmtId="0" xfId="0" applyAlignment="1" applyBorder="1" applyFont="1">
      <alignment shrinkToFit="0" vertical="center" wrapText="1"/>
    </xf>
    <xf borderId="19" fillId="5" fontId="5" numFmtId="0" xfId="0" applyAlignment="1" applyBorder="1" applyFont="1">
      <alignment shrinkToFit="0" vertical="center" wrapText="1"/>
    </xf>
    <xf borderId="19" fillId="5" fontId="5" numFmtId="2" xfId="0" applyAlignment="1" applyBorder="1" applyFont="1" applyNumberFormat="1">
      <alignment shrinkToFit="0" vertical="center" wrapText="1"/>
    </xf>
    <xf borderId="19" fillId="5" fontId="5" numFmtId="164" xfId="0" applyAlignment="1" applyBorder="1" applyFont="1" applyNumberFormat="1">
      <alignment shrinkToFit="0" vertical="center" wrapText="1"/>
    </xf>
    <xf borderId="27" fillId="9" fontId="5" numFmtId="0" xfId="0" applyAlignment="1" applyBorder="1" applyFont="1">
      <alignment horizontal="center"/>
    </xf>
    <xf borderId="28" fillId="9" fontId="5" numFmtId="0" xfId="0" applyAlignment="1" applyBorder="1" applyFont="1">
      <alignment horizontal="center"/>
    </xf>
    <xf borderId="35" fillId="9" fontId="8" numFmtId="0" xfId="0" applyAlignment="1" applyBorder="1" applyFont="1">
      <alignment shrinkToFit="0" vertical="center" wrapText="1"/>
    </xf>
    <xf borderId="36" fillId="5" fontId="5" numFmtId="0" xfId="0" applyAlignment="1" applyBorder="1" applyFont="1">
      <alignment shrinkToFit="0" vertical="center" wrapText="1"/>
    </xf>
    <xf borderId="26" fillId="5" fontId="5" numFmtId="0" xfId="0" applyAlignment="1" applyBorder="1" applyFont="1">
      <alignment shrinkToFit="0" vertical="center" wrapText="1"/>
    </xf>
    <xf borderId="26" fillId="5" fontId="5" numFmtId="1" xfId="0" applyAlignment="1" applyBorder="1" applyFont="1" applyNumberFormat="1">
      <alignment shrinkToFit="0" vertical="center" wrapText="1"/>
    </xf>
    <xf borderId="26" fillId="8" fontId="5" numFmtId="0" xfId="0" applyAlignment="1" applyBorder="1" applyFont="1">
      <alignment shrinkToFit="0" vertical="center" wrapText="1"/>
    </xf>
    <xf borderId="37" fillId="5" fontId="5" numFmtId="0" xfId="0" applyAlignment="1" applyBorder="1" applyFont="1">
      <alignment shrinkToFit="0" vertical="center" wrapText="1"/>
    </xf>
    <xf borderId="38" fillId="5" fontId="5" numFmtId="0" xfId="0" applyAlignment="1" applyBorder="1" applyFont="1">
      <alignment shrinkToFit="0" vertical="center" wrapText="1"/>
    </xf>
    <xf borderId="38" fillId="5" fontId="5" numFmtId="1" xfId="0" applyAlignment="1" applyBorder="1" applyFont="1" applyNumberFormat="1">
      <alignment shrinkToFit="0" vertical="center" wrapText="1"/>
    </xf>
    <xf borderId="38" fillId="8" fontId="5" numFmtId="0" xfId="0" applyAlignment="1" applyBorder="1" applyFont="1">
      <alignment shrinkToFit="0" vertical="center" wrapText="1"/>
    </xf>
    <xf borderId="19" fillId="5" fontId="12" numFmtId="0" xfId="0" applyAlignment="1" applyBorder="1" applyFont="1">
      <alignment horizontal="center" readingOrder="0"/>
    </xf>
    <xf borderId="19" fillId="9" fontId="11" numFmtId="0" xfId="0" applyBorder="1" applyFont="1"/>
    <xf borderId="15" fillId="5" fontId="12" numFmtId="2" xfId="0" applyBorder="1" applyFont="1" applyNumberFormat="1"/>
    <xf borderId="19" fillId="13" fontId="8" numFmtId="0" xfId="0" applyAlignment="1" applyBorder="1" applyFont="1">
      <alignment readingOrder="0"/>
    </xf>
    <xf borderId="15" fillId="13" fontId="12" numFmtId="0" xfId="0" applyAlignment="1" applyBorder="1" applyFont="1">
      <alignment readingOrder="0"/>
    </xf>
    <xf borderId="15" fillId="13" fontId="12" numFmtId="165" xfId="0" applyAlignment="1" applyBorder="1" applyFont="1" applyNumberFormat="1">
      <alignment readingOrder="0"/>
    </xf>
    <xf borderId="15" fillId="13" fontId="5" numFmtId="4" xfId="0" applyAlignment="1" applyBorder="1" applyFont="1" applyNumberFormat="1">
      <alignment readingOrder="0"/>
    </xf>
    <xf borderId="15" fillId="13" fontId="12" numFmtId="0" xfId="0" applyBorder="1" applyFont="1"/>
    <xf borderId="19" fillId="13" fontId="12" numFmtId="0" xfId="0" applyBorder="1" applyFont="1"/>
    <xf borderId="19" fillId="13" fontId="12" numFmtId="2" xfId="0" applyBorder="1" applyFont="1" applyNumberFormat="1"/>
    <xf borderId="19" fillId="13" fontId="12" numFmtId="0" xfId="0" applyAlignment="1" applyBorder="1" applyFont="1">
      <alignment horizontal="center"/>
    </xf>
    <xf borderId="19" fillId="13" fontId="12" numFmtId="0" xfId="0" applyAlignment="1" applyBorder="1" applyFont="1">
      <alignment horizontal="center" readingOrder="0"/>
    </xf>
    <xf borderId="15" fillId="13" fontId="12" numFmtId="2" xfId="0" applyBorder="1" applyFont="1" applyNumberFormat="1"/>
    <xf borderId="15" fillId="13" fontId="5" numFmtId="2" xfId="0" applyBorder="1" applyFont="1" applyNumberFormat="1"/>
    <xf borderId="24" fillId="5" fontId="5" numFmtId="0" xfId="0" applyBorder="1" applyFont="1"/>
    <xf borderId="24" fillId="5" fontId="5" numFmtId="2" xfId="0" applyBorder="1" applyFont="1" applyNumberFormat="1"/>
    <xf borderId="24" fillId="5" fontId="12" numFmtId="0" xfId="0" applyAlignment="1" applyBorder="1" applyFont="1">
      <alignment horizontal="center"/>
    </xf>
    <xf borderId="39" fillId="14" fontId="8" numFmtId="0" xfId="0" applyAlignment="1" applyBorder="1" applyFont="1">
      <alignment horizontal="center"/>
    </xf>
    <xf borderId="40" fillId="0" fontId="4" numFmtId="0" xfId="0" applyBorder="1" applyFont="1"/>
    <xf borderId="41" fillId="0" fontId="4" numFmtId="0" xfId="0" applyBorder="1" applyFont="1"/>
    <xf borderId="2" fillId="14" fontId="8" numFmtId="0" xfId="0" applyAlignment="1" applyBorder="1" applyFont="1">
      <alignment horizontal="left"/>
    </xf>
    <xf borderId="19" fillId="15" fontId="5" numFmtId="0" xfId="0" applyBorder="1" applyFill="1" applyFont="1"/>
    <xf borderId="15" fillId="15" fontId="5" numFmtId="0" xfId="0" applyBorder="1" applyFont="1"/>
    <xf borderId="19" fillId="14" fontId="8" numFmtId="0" xfId="0" applyBorder="1" applyFont="1"/>
    <xf borderId="19" fillId="8" fontId="5" numFmtId="1" xfId="0" applyAlignment="1" applyBorder="1" applyFont="1" applyNumberFormat="1">
      <alignment horizontal="center" shrinkToFit="0" vertical="center" wrapText="1"/>
    </xf>
    <xf borderId="19" fillId="8" fontId="5" numFmtId="0" xfId="0" applyAlignment="1" applyBorder="1" applyFont="1">
      <alignment horizontal="center"/>
    </xf>
    <xf borderId="19" fillId="8" fontId="5" numFmtId="0" xfId="0" applyAlignment="1" applyBorder="1" applyFont="1">
      <alignment horizontal="center" shrinkToFit="0" wrapText="1"/>
    </xf>
    <xf borderId="19" fillId="8" fontId="5" numFmtId="1" xfId="0" applyAlignment="1" applyBorder="1" applyFont="1" applyNumberFormat="1">
      <alignment horizontal="center"/>
    </xf>
    <xf borderId="19" fillId="8" fontId="5" numFmtId="164" xfId="0" applyAlignment="1" applyBorder="1" applyFont="1" applyNumberFormat="1">
      <alignment horizontal="center"/>
    </xf>
    <xf borderId="19" fillId="8" fontId="5" numFmtId="2" xfId="0" applyAlignment="1" applyBorder="1" applyFont="1" applyNumberFormat="1">
      <alignment horizontal="center"/>
    </xf>
    <xf borderId="19" fillId="8" fontId="5" numFmtId="2" xfId="0" applyAlignment="1" applyBorder="1" applyFont="1" applyNumberFormat="1">
      <alignment horizontal="center" shrinkToFit="0" vertical="center" wrapText="1"/>
    </xf>
    <xf borderId="19" fillId="8" fontId="5" numFmtId="166" xfId="0" applyAlignment="1" applyBorder="1" applyFont="1" applyNumberFormat="1">
      <alignment horizontal="center"/>
    </xf>
    <xf borderId="19" fillId="8" fontId="5" numFmtId="164" xfId="0" applyAlignment="1" applyBorder="1" applyFont="1" applyNumberFormat="1">
      <alignment horizontal="center" vertical="center"/>
    </xf>
    <xf borderId="19" fillId="8" fontId="5" numFmtId="164" xfId="0" applyAlignment="1" applyBorder="1" applyFont="1" applyNumberFormat="1">
      <alignment horizontal="center" shrinkToFit="0" vertical="center" wrapText="1"/>
    </xf>
    <xf borderId="19" fillId="8" fontId="5" numFmtId="166" xfId="0" applyAlignment="1" applyBorder="1" applyFont="1" applyNumberFormat="1">
      <alignment horizontal="center" vertical="center"/>
    </xf>
    <xf borderId="19" fillId="8" fontId="5" numFmtId="1" xfId="0" applyAlignment="1" applyBorder="1" applyFont="1" applyNumberFormat="1">
      <alignment horizontal="center" vertical="center"/>
    </xf>
    <xf borderId="19" fillId="8" fontId="5" numFmtId="166" xfId="0" applyAlignment="1" applyBorder="1" applyFont="1" applyNumberFormat="1">
      <alignment horizontal="center" shrinkToFit="0" vertical="center" wrapText="1"/>
    </xf>
    <xf borderId="19" fillId="8" fontId="5" numFmtId="167" xfId="0" applyAlignment="1" applyBorder="1" applyFont="1" applyNumberFormat="1">
      <alignment horizontal="center" vertical="center"/>
    </xf>
    <xf borderId="15" fillId="15" fontId="5" numFmtId="1" xfId="0" applyBorder="1" applyFont="1" applyNumberFormat="1"/>
    <xf borderId="19" fillId="14" fontId="8" numFmtId="0" xfId="0" applyAlignment="1" applyBorder="1" applyFont="1">
      <alignment shrinkToFit="0" wrapText="1"/>
    </xf>
    <xf borderId="28" fillId="14" fontId="8" numFmtId="0" xfId="0" applyBorder="1" applyFont="1"/>
    <xf borderId="15" fillId="15" fontId="8" numFmtId="0" xfId="0" applyBorder="1" applyFont="1"/>
    <xf borderId="28" fillId="8" fontId="5" numFmtId="1" xfId="0" applyAlignment="1" applyBorder="1" applyFont="1" applyNumberFormat="1">
      <alignment horizontal="center" shrinkToFit="0" vertical="center" wrapText="1"/>
    </xf>
    <xf borderId="15" fillId="15" fontId="5" numFmtId="1" xfId="0" applyAlignment="1" applyBorder="1" applyFont="1" applyNumberFormat="1">
      <alignment horizontal="center" shrinkToFit="0" vertical="center" wrapText="1"/>
    </xf>
    <xf borderId="26" fillId="6" fontId="8" numFmtId="0" xfId="0" applyAlignment="1" applyBorder="1" applyFont="1">
      <alignment horizontal="center" vertical="center"/>
    </xf>
    <xf borderId="27" fillId="6" fontId="8" numFmtId="0" xfId="0" applyAlignment="1" applyBorder="1" applyFont="1">
      <alignment horizontal="center" vertical="center"/>
    </xf>
    <xf borderId="30" fillId="6" fontId="8" numFmtId="0" xfId="0" applyAlignment="1" applyBorder="1" applyFont="1">
      <alignment horizontal="center" vertical="center"/>
    </xf>
    <xf borderId="28" fillId="6" fontId="8" numFmtId="0" xfId="0" applyAlignment="1" applyBorder="1" applyFont="1">
      <alignment horizontal="center" vertical="center"/>
    </xf>
    <xf borderId="5" fillId="0" fontId="5" numFmtId="0" xfId="0" applyAlignment="1" applyBorder="1" applyFont="1">
      <alignment horizontal="center" vertical="center"/>
    </xf>
    <xf borderId="6" fillId="0" fontId="14" numFmtId="0" xfId="0" applyAlignment="1" applyBorder="1" applyFont="1">
      <alignment horizontal="center" shrinkToFit="0" wrapText="1"/>
    </xf>
    <xf borderId="9" fillId="0" fontId="5" numFmtId="0" xfId="0" applyAlignment="1" applyBorder="1" applyFont="1">
      <alignment horizontal="center" vertical="center"/>
    </xf>
    <xf borderId="0" fillId="0" fontId="14" numFmtId="0" xfId="0" applyAlignment="1" applyFont="1">
      <alignment horizontal="center" shrinkToFit="0" wrapText="1"/>
    </xf>
    <xf borderId="9" fillId="0" fontId="5" numFmtId="0" xfId="0" applyAlignment="1" applyBorder="1" applyFont="1">
      <alignment horizontal="center"/>
    </xf>
    <xf borderId="12" fillId="0" fontId="5" numFmtId="0" xfId="0" applyAlignment="1" applyBorder="1" applyFont="1">
      <alignment horizontal="center"/>
    </xf>
    <xf borderId="13" fillId="0" fontId="14" numFmtId="0" xfId="0" applyAlignment="1" applyBorder="1" applyFont="1">
      <alignment horizontal="center" shrinkToFit="0" wrapText="1"/>
    </xf>
    <xf borderId="2" fillId="5" fontId="8" numFmtId="0" xfId="0" applyAlignment="1" applyBorder="1" applyFont="1">
      <alignment horizontal="center" vertical="center"/>
    </xf>
    <xf borderId="15" fillId="8" fontId="5" numFmtId="2" xfId="0" applyAlignment="1" applyBorder="1" applyFont="1" applyNumberFormat="1">
      <alignment horizontal="center"/>
    </xf>
    <xf borderId="15" fillId="8" fontId="5" numFmtId="2" xfId="0" applyAlignment="1" applyBorder="1" applyFont="1" applyNumberFormat="1">
      <alignment horizontal="center" shrinkToFit="0" vertical="center" wrapText="1"/>
    </xf>
    <xf borderId="2" fillId="9" fontId="5" numFmtId="0" xfId="0" applyAlignment="1" applyBorder="1" applyFont="1">
      <alignment horizontal="center"/>
    </xf>
    <xf borderId="19" fillId="9" fontId="5" numFmtId="0" xfId="0" applyAlignment="1" applyBorder="1" applyFont="1">
      <alignment horizontal="center"/>
    </xf>
    <xf borderId="19" fillId="14" fontId="8" numFmtId="0" xfId="0" applyAlignment="1" applyBorder="1" applyFont="1">
      <alignment horizontal="center" shrinkToFit="0" vertical="center" wrapText="1"/>
    </xf>
    <xf borderId="19" fillId="5" fontId="5" numFmtId="2" xfId="0" applyAlignment="1" applyBorder="1" applyFont="1" applyNumberFormat="1">
      <alignment horizontal="center" shrinkToFit="0" vertical="center" wrapText="1"/>
    </xf>
    <xf borderId="19" fillId="8" fontId="5" numFmtId="0" xfId="0" applyAlignment="1" applyBorder="1" applyFont="1">
      <alignment horizontal="center" shrinkToFit="0" vertical="center" wrapText="1"/>
    </xf>
    <xf borderId="19" fillId="5" fontId="5" numFmtId="0" xfId="0" applyAlignment="1" applyBorder="1" applyFont="1">
      <alignment horizontal="center"/>
    </xf>
    <xf borderId="15" fillId="5" fontId="5" numFmtId="2" xfId="0" applyAlignment="1" applyBorder="1" applyFont="1" applyNumberFormat="1">
      <alignment horizontal="center" vertical="center"/>
    </xf>
    <xf borderId="19" fillId="0" fontId="5" numFmtId="1" xfId="0" applyAlignment="1" applyBorder="1" applyFont="1" applyNumberFormat="1">
      <alignment horizontal="center"/>
    </xf>
    <xf borderId="19" fillId="0" fontId="5" numFmtId="0" xfId="0" applyAlignment="1" applyBorder="1" applyFont="1">
      <alignment horizontal="center"/>
    </xf>
    <xf borderId="19" fillId="0" fontId="5" numFmtId="1" xfId="0" applyAlignment="1" applyBorder="1" applyFont="1" applyNumberFormat="1">
      <alignment horizontal="center" shrinkToFit="0" vertical="center" wrapText="1"/>
    </xf>
    <xf borderId="19" fillId="0" fontId="5" numFmtId="0" xfId="0" applyAlignment="1" applyBorder="1" applyFont="1">
      <alignment horizontal="center" shrinkToFit="0" vertical="center" wrapText="1"/>
    </xf>
    <xf borderId="15" fillId="5" fontId="5" numFmtId="1" xfId="0" applyAlignment="1" applyBorder="1" applyFont="1" applyNumberFormat="1">
      <alignment horizontal="center" shrinkToFit="0" vertical="center" wrapText="1"/>
    </xf>
    <xf borderId="15" fillId="5" fontId="5" numFmtId="0" xfId="0" applyAlignment="1" applyBorder="1" applyFont="1">
      <alignment shrinkToFit="0" vertical="center" wrapText="1"/>
    </xf>
    <xf borderId="30" fillId="9" fontId="5" numFmtId="0" xfId="0" applyAlignment="1" applyBorder="1" applyFont="1">
      <alignment horizontal="center"/>
    </xf>
    <xf borderId="19" fillId="5" fontId="5" numFmtId="0" xfId="0" applyAlignment="1" applyBorder="1" applyFont="1">
      <alignment horizontal="center" shrinkToFit="0" wrapText="1"/>
    </xf>
    <xf borderId="19" fillId="0" fontId="5" numFmtId="2" xfId="0" applyAlignment="1" applyBorder="1" applyFont="1" applyNumberFormat="1">
      <alignment horizontal="center"/>
    </xf>
    <xf borderId="15" fillId="5" fontId="12" numFmtId="0" xfId="0" applyAlignment="1" applyBorder="1" applyFont="1">
      <alignment readingOrder="0"/>
    </xf>
    <xf borderId="19" fillId="5" fontId="5" numFmtId="2" xfId="0" applyBorder="1" applyFont="1" applyNumberFormat="1"/>
    <xf borderId="19" fillId="5" fontId="12" numFmtId="49" xfId="0" applyAlignment="1" applyBorder="1" applyFont="1" applyNumberFormat="1">
      <alignment horizontal="right"/>
    </xf>
    <xf borderId="15" fillId="13" fontId="5" numFmtId="165" xfId="0" applyAlignment="1" applyBorder="1" applyFont="1" applyNumberFormat="1">
      <alignment readingOrder="0"/>
    </xf>
    <xf borderId="0" fillId="13" fontId="12" numFmtId="0" xfId="0" applyFont="1"/>
    <xf borderId="19" fillId="13" fontId="5" numFmtId="0" xfId="0" applyBorder="1" applyFont="1"/>
    <xf borderId="19" fillId="3" fontId="5" numFmtId="2" xfId="0" applyAlignment="1" applyBorder="1" applyFont="1" applyNumberFormat="1">
      <alignment shrinkToFit="0" vertical="center" wrapText="1"/>
    </xf>
    <xf borderId="19" fillId="13" fontId="5" numFmtId="2" xfId="0" applyBorder="1" applyFont="1" applyNumberFormat="1"/>
    <xf borderId="19" fillId="3" fontId="5" numFmtId="2" xfId="0" applyBorder="1" applyFont="1" applyNumberFormat="1"/>
    <xf borderId="19" fillId="13" fontId="5" numFmtId="2" xfId="0" applyAlignment="1" applyBorder="1" applyFont="1" applyNumberFormat="1">
      <alignment shrinkToFit="0" vertical="center" wrapText="1"/>
    </xf>
    <xf borderId="42" fillId="13" fontId="12" numFmtId="2" xfId="0" applyBorder="1" applyFont="1" applyNumberFormat="1"/>
    <xf borderId="43" fillId="13" fontId="12" numFmtId="0" xfId="0" applyBorder="1" applyFont="1"/>
    <xf borderId="42" fillId="13" fontId="12" numFmtId="0" xfId="0" applyBorder="1" applyFont="1"/>
    <xf borderId="43" fillId="13" fontId="12" numFmtId="2" xfId="0" applyBorder="1" applyFont="1" applyNumberFormat="1"/>
    <xf borderId="43" fillId="3" fontId="12" numFmtId="0" xfId="0" applyBorder="1" applyFont="1"/>
    <xf borderId="15" fillId="3" fontId="12" numFmtId="0" xfId="0" applyBorder="1" applyFont="1"/>
    <xf borderId="27" fillId="14" fontId="8" numFmtId="0" xfId="0" applyBorder="1" applyFont="1"/>
    <xf borderId="30" fillId="14" fontId="8" numFmtId="0" xfId="0" applyBorder="1" applyFont="1"/>
    <xf borderId="28" fillId="14" fontId="5" numFmtId="0" xfId="0" applyBorder="1" applyFont="1"/>
    <xf borderId="15" fillId="15" fontId="8" numFmtId="0" xfId="0" applyAlignment="1" applyBorder="1" applyFont="1">
      <alignment horizontal="center" shrinkToFit="0" vertical="center" wrapText="1"/>
    </xf>
    <xf borderId="15" fillId="15" fontId="5" numFmtId="0" xfId="0" applyAlignment="1" applyBorder="1" applyFont="1">
      <alignment horizontal="center" shrinkToFit="0" vertical="center" wrapText="1"/>
    </xf>
    <xf borderId="44" fillId="14" fontId="8" numFmtId="0" xfId="0" applyBorder="1" applyFont="1"/>
    <xf borderId="15" fillId="14" fontId="8" numFmtId="0" xfId="0" applyBorder="1" applyFont="1"/>
    <xf borderId="2" fillId="14" fontId="8" numFmtId="0" xfId="0" applyAlignment="1" applyBorder="1" applyFont="1">
      <alignment horizontal="center"/>
    </xf>
    <xf borderId="19" fillId="0" fontId="5" numFmtId="0" xfId="0" applyBorder="1" applyFont="1"/>
    <xf borderId="19" fillId="0" fontId="5" numFmtId="2" xfId="0" applyBorder="1" applyFont="1" applyNumberFormat="1"/>
    <xf borderId="45" fillId="8" fontId="5" numFmtId="0" xfId="0" applyAlignment="1" applyBorder="1" applyFont="1">
      <alignment horizontal="center"/>
    </xf>
    <xf borderId="46" fillId="0" fontId="4" numFmtId="0" xfId="0" applyBorder="1" applyFont="1"/>
    <xf borderId="2" fillId="8" fontId="5" numFmtId="0" xfId="0" applyAlignment="1" applyBorder="1" applyFont="1">
      <alignment horizontal="center" vertical="center"/>
    </xf>
    <xf borderId="2" fillId="8" fontId="5" numFmtId="0" xfId="0" applyAlignment="1" applyBorder="1" applyFont="1">
      <alignment horizontal="center"/>
    </xf>
    <xf borderId="26" fillId="8" fontId="5" numFmtId="0" xfId="0" applyBorder="1" applyFont="1"/>
    <xf borderId="26" fillId="8" fontId="5" numFmtId="164" xfId="0" applyBorder="1" applyFont="1" applyNumberFormat="1"/>
    <xf borderId="15" fillId="15" fontId="5" numFmtId="164" xfId="0" applyBorder="1" applyFont="1" applyNumberFormat="1"/>
    <xf borderId="33" fillId="15" fontId="5" numFmtId="0" xfId="0" applyAlignment="1" applyBorder="1" applyFont="1">
      <alignment horizontal="center" vertical="center"/>
    </xf>
    <xf borderId="27" fillId="14" fontId="8" numFmtId="0" xfId="0" applyAlignment="1" applyBorder="1" applyFont="1">
      <alignment vertical="center"/>
    </xf>
    <xf borderId="19" fillId="14" fontId="8" numFmtId="0" xfId="0" applyAlignment="1" applyBorder="1" applyFont="1">
      <alignment vertical="center"/>
    </xf>
    <xf borderId="27" fillId="14" fontId="8" numFmtId="0" xfId="0" applyAlignment="1" applyBorder="1" applyFont="1">
      <alignment horizontal="center"/>
    </xf>
    <xf borderId="28" fillId="14" fontId="8" numFmtId="0" xfId="0" applyAlignment="1" applyBorder="1" applyFont="1">
      <alignment horizontal="center"/>
    </xf>
    <xf borderId="15" fillId="15" fontId="5" numFmtId="168" xfId="0" applyBorder="1" applyFont="1" applyNumberFormat="1"/>
    <xf borderId="27" fillId="8" fontId="8" numFmtId="0" xfId="0" applyAlignment="1" applyBorder="1" applyFont="1">
      <alignment horizontal="center"/>
    </xf>
    <xf borderId="28" fillId="8" fontId="8" numFmtId="0" xfId="0" applyAlignment="1" applyBorder="1" applyFont="1">
      <alignment horizontal="center"/>
    </xf>
    <xf borderId="31" fillId="14" fontId="8" numFmtId="0" xfId="0" applyAlignment="1" applyBorder="1" applyFont="1">
      <alignment horizontal="center" shrinkToFit="0" vertical="center" wrapText="1"/>
    </xf>
    <xf borderId="15" fillId="14" fontId="8" numFmtId="0" xfId="0" applyAlignment="1" applyBorder="1" applyFont="1">
      <alignment horizontal="center" shrinkToFit="0" vertical="center" wrapText="1"/>
    </xf>
    <xf borderId="3" fillId="0" fontId="5" numFmtId="0" xfId="0" applyAlignment="1" applyBorder="1" applyFont="1">
      <alignment horizontal="center"/>
    </xf>
    <xf borderId="27" fillId="8" fontId="5" numFmtId="0" xfId="0" applyAlignment="1" applyBorder="1" applyFont="1">
      <alignment horizontal="center"/>
    </xf>
    <xf borderId="28" fillId="8" fontId="5" numFmtId="0" xfId="0" applyAlignment="1" applyBorder="1" applyFont="1">
      <alignment horizontal="center"/>
    </xf>
    <xf borderId="30" fillId="8" fontId="8" numFmtId="0" xfId="0" applyAlignment="1" applyBorder="1" applyFont="1">
      <alignment horizontal="center"/>
    </xf>
    <xf borderId="19" fillId="8" fontId="5" numFmtId="0" xfId="0" applyBorder="1" applyFont="1"/>
    <xf borderId="19" fillId="8" fontId="5" numFmtId="164" xfId="0" applyBorder="1" applyFont="1" applyNumberFormat="1"/>
    <xf borderId="47" fillId="8" fontId="5" numFmtId="0" xfId="0" applyAlignment="1" applyBorder="1" applyFont="1">
      <alignment horizontal="center"/>
    </xf>
    <xf borderId="48" fillId="8" fontId="5" numFmtId="0" xfId="0" applyAlignment="1" applyBorder="1" applyFont="1">
      <alignment horizontal="center"/>
    </xf>
    <xf borderId="15" fillId="15" fontId="5" numFmtId="0" xfId="0" applyAlignment="1" applyBorder="1" applyFont="1">
      <alignment horizontal="center"/>
    </xf>
    <xf borderId="19" fillId="8" fontId="5" numFmtId="4" xfId="0" applyBorder="1" applyFont="1" applyNumberFormat="1"/>
    <xf borderId="49" fillId="8" fontId="5" numFmtId="0" xfId="0" applyAlignment="1" applyBorder="1" applyFont="1">
      <alignment horizontal="center"/>
    </xf>
    <xf borderId="27" fillId="8" fontId="5" numFmtId="0" xfId="0" applyBorder="1" applyFont="1"/>
    <xf borderId="28" fillId="8" fontId="5" numFmtId="0" xfId="0" applyBorder="1" applyFont="1"/>
    <xf borderId="2" fillId="8" fontId="15" numFmtId="0" xfId="0" applyAlignment="1" applyBorder="1" applyFont="1">
      <alignment horizontal="center"/>
    </xf>
    <xf borderId="27" fillId="8" fontId="15" numFmtId="0" xfId="0" applyAlignment="1" applyBorder="1" applyFont="1">
      <alignment horizontal="center"/>
    </xf>
    <xf borderId="28" fillId="8" fontId="15" numFmtId="0" xfId="0" applyAlignment="1" applyBorder="1" applyFont="1">
      <alignment horizontal="center"/>
    </xf>
    <xf borderId="30" fillId="8" fontId="5" numFmtId="0" xfId="0" applyAlignment="1" applyBorder="1" applyFont="1">
      <alignment horizontal="center"/>
    </xf>
    <xf borderId="50" fillId="8" fontId="5" numFmtId="0" xfId="0" applyAlignment="1" applyBorder="1" applyFont="1">
      <alignment horizontal="center"/>
    </xf>
    <xf borderId="51" fillId="8" fontId="5" numFmtId="0" xfId="0" applyAlignment="1" applyBorder="1" applyFont="1">
      <alignment horizontal="center"/>
    </xf>
    <xf borderId="52" fillId="8" fontId="5" numFmtId="0" xfId="0" applyAlignment="1" applyBorder="1" applyFont="1">
      <alignment horizontal="center"/>
    </xf>
    <xf borderId="19" fillId="8" fontId="5" numFmtId="2" xfId="0" applyBorder="1" applyFont="1" applyNumberFormat="1"/>
    <xf borderId="19" fillId="8" fontId="12" numFmtId="0" xfId="0" applyBorder="1" applyFont="1"/>
    <xf borderId="19" fillId="8" fontId="12" numFmtId="168" xfId="0" applyBorder="1" applyFont="1" applyNumberFormat="1"/>
    <xf borderId="2" fillId="8" fontId="12" numFmtId="0" xfId="0" applyAlignment="1" applyBorder="1" applyFont="1">
      <alignment horizontal="center"/>
    </xf>
    <xf borderId="19" fillId="8" fontId="15" numFmtId="0" xfId="0" applyBorder="1" applyFont="1"/>
    <xf borderId="19" fillId="8" fontId="15" numFmtId="164" xfId="0" applyBorder="1" applyFont="1" applyNumberFormat="1"/>
    <xf borderId="0" fillId="0" fontId="5" numFmtId="0" xfId="0" applyAlignment="1" applyFont="1">
      <alignment horizontal="left" vertical="center"/>
    </xf>
    <xf borderId="6"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vertical="center"/>
    </xf>
    <xf borderId="5" fillId="7" fontId="5" numFmtId="0" xfId="0" applyAlignment="1" applyBorder="1" applyFont="1">
      <alignment horizontal="left" readingOrder="0" shrinkToFit="0" vertical="center" wrapText="1"/>
    </xf>
    <xf borderId="15" fillId="5" fontId="13" numFmtId="0" xfId="0" applyAlignment="1" applyBorder="1" applyFont="1">
      <alignment horizontal="center" shrinkToFit="0" vertical="center" wrapText="1"/>
    </xf>
    <xf borderId="15" fillId="5" fontId="5" numFmtId="164" xfId="0" applyBorder="1" applyFont="1" applyNumberFormat="1"/>
    <xf borderId="19" fillId="5" fontId="12" numFmtId="2" xfId="0" applyAlignment="1" applyBorder="1" applyFont="1" applyNumberFormat="1">
      <alignment horizontal="center" shrinkToFit="0" vertical="center" wrapText="1"/>
    </xf>
    <xf borderId="15" fillId="5" fontId="8" numFmtId="0" xfId="0" applyAlignment="1" applyBorder="1" applyFont="1">
      <alignment horizontal="center"/>
    </xf>
    <xf borderId="15" fillId="5" fontId="12" numFmtId="2" xfId="0" applyAlignment="1" applyBorder="1" applyFont="1" applyNumberFormat="1">
      <alignment horizontal="right"/>
    </xf>
    <xf borderId="45" fillId="6" fontId="8" numFmtId="0" xfId="0" applyAlignment="1" applyBorder="1" applyFont="1">
      <alignment horizontal="center" vertical="center"/>
    </xf>
    <xf borderId="53" fillId="0" fontId="4" numFmtId="0" xfId="0" applyBorder="1" applyFont="1"/>
    <xf borderId="49" fillId="8" fontId="5" numFmtId="0" xfId="0" applyAlignment="1" applyBorder="1" applyFont="1">
      <alignment horizontal="center" vertical="center"/>
    </xf>
    <xf borderId="54" fillId="8" fontId="5" numFmtId="0" xfId="0" applyAlignment="1" applyBorder="1" applyFont="1">
      <alignment horizontal="center" shrinkToFit="0" wrapText="1"/>
    </xf>
    <xf borderId="55" fillId="8" fontId="5" numFmtId="0" xfId="0" applyAlignment="1" applyBorder="1" applyFont="1">
      <alignment horizontal="center" vertical="center"/>
    </xf>
    <xf borderId="33" fillId="8" fontId="5" numFmtId="0" xfId="0" applyAlignment="1" applyBorder="1" applyFont="1">
      <alignment horizontal="center" shrinkToFit="0" vertical="center" wrapText="1"/>
    </xf>
    <xf borderId="56" fillId="0" fontId="4" numFmtId="0" xfId="0" applyBorder="1" applyFont="1"/>
    <xf borderId="57" fillId="8" fontId="5" numFmtId="0" xfId="0" applyAlignment="1" applyBorder="1" applyFont="1">
      <alignment horizontal="center" vertical="center"/>
    </xf>
    <xf borderId="58" fillId="8" fontId="5" numFmtId="0" xfId="0" applyAlignment="1" applyBorder="1" applyFont="1">
      <alignment horizontal="center" shrinkToFit="0" vertical="center" wrapText="1"/>
    </xf>
    <xf borderId="59" fillId="0" fontId="4" numFmtId="0" xfId="0" applyBorder="1" applyFont="1"/>
    <xf borderId="60" fillId="0" fontId="4" numFmtId="0" xfId="0" applyBorder="1" applyFont="1"/>
    <xf borderId="15" fillId="5" fontId="5" numFmtId="0" xfId="0" applyAlignment="1" applyBorder="1" applyFont="1">
      <alignment horizontal="center" vertical="center"/>
    </xf>
    <xf borderId="33" fillId="5" fontId="5" numFmtId="0" xfId="0" applyAlignment="1" applyBorder="1" applyFont="1">
      <alignment horizontal="center" shrinkToFit="0" vertical="center" wrapText="1"/>
    </xf>
    <xf borderId="19" fillId="14" fontId="8" numFmtId="1" xfId="0" applyAlignment="1" applyBorder="1" applyFont="1" applyNumberFormat="1">
      <alignment vertical="center"/>
    </xf>
    <xf borderId="19" fillId="14" fontId="8" numFmtId="1" xfId="0" applyAlignment="1" applyBorder="1" applyFont="1" applyNumberFormat="1">
      <alignment shrinkToFit="0" vertical="center" wrapText="1"/>
    </xf>
    <xf borderId="1" fillId="5" fontId="5" numFmtId="0" xfId="0" applyBorder="1" applyFont="1"/>
    <xf borderId="1" fillId="5" fontId="12" numFmtId="164" xfId="0" applyAlignment="1" applyBorder="1" applyFont="1" applyNumberFormat="1">
      <alignment horizontal="center" shrinkToFit="0" vertical="center" wrapText="1"/>
    </xf>
    <xf borderId="1" fillId="5" fontId="5" numFmtId="1" xfId="0" applyBorder="1" applyFont="1" applyNumberFormat="1"/>
    <xf borderId="1" fillId="0" fontId="5" numFmtId="1" xfId="0" applyBorder="1" applyFont="1" applyNumberFormat="1"/>
    <xf borderId="1" fillId="0" fontId="5" numFmtId="2" xfId="0" applyBorder="1" applyFont="1" applyNumberFormat="1"/>
    <xf borderId="61" fillId="5" fontId="5" numFmtId="0" xfId="0" applyAlignment="1" applyBorder="1" applyFont="1">
      <alignment horizontal="center" vertical="center"/>
    </xf>
    <xf borderId="26" fillId="5" fontId="12" numFmtId="164" xfId="0" applyAlignment="1" applyBorder="1" applyFont="1" applyNumberFormat="1">
      <alignment horizontal="center" shrinkToFit="0" vertical="center" wrapText="1"/>
    </xf>
    <xf borderId="1" fillId="5" fontId="5" numFmtId="1" xfId="0" applyAlignment="1" applyBorder="1" applyFont="1" applyNumberFormat="1">
      <alignment horizontal="center" vertical="center"/>
    </xf>
    <xf borderId="62" fillId="0" fontId="4" numFmtId="0" xfId="0" applyBorder="1" applyFont="1"/>
    <xf borderId="44" fillId="5" fontId="12" numFmtId="164" xfId="0" applyAlignment="1" applyBorder="1" applyFont="1" applyNumberFormat="1">
      <alignment horizontal="center" shrinkToFit="0" vertical="center" wrapText="1"/>
    </xf>
    <xf borderId="19" fillId="5" fontId="5" numFmtId="1" xfId="0" applyBorder="1" applyFont="1" applyNumberFormat="1"/>
    <xf borderId="19" fillId="0" fontId="5" numFmtId="1" xfId="0" applyBorder="1" applyFont="1" applyNumberFormat="1"/>
    <xf borderId="63" fillId="0" fontId="4" numFmtId="0" xfId="0" applyBorder="1" applyFont="1"/>
    <xf borderId="31" fillId="5" fontId="12" numFmtId="164" xfId="0" applyAlignment="1" applyBorder="1" applyFont="1" applyNumberFormat="1">
      <alignment horizontal="center" shrinkToFit="0" vertical="center" wrapText="1"/>
    </xf>
    <xf borderId="35" fillId="5" fontId="5" numFmtId="0" xfId="0" applyAlignment="1" applyBorder="1" applyFont="1">
      <alignment horizontal="center" vertical="center"/>
    </xf>
    <xf borderId="19" fillId="5" fontId="5" numFmtId="1" xfId="0" applyAlignment="1" applyBorder="1" applyFont="1" applyNumberFormat="1">
      <alignment horizontal="center" vertical="center"/>
    </xf>
    <xf borderId="61" fillId="5" fontId="5" numFmtId="0" xfId="0" applyBorder="1" applyFont="1"/>
    <xf borderId="1" fillId="5" fontId="5" numFmtId="1" xfId="0" applyAlignment="1" applyBorder="1" applyFont="1" applyNumberFormat="1">
      <alignment horizontal="center"/>
    </xf>
    <xf borderId="64" fillId="0" fontId="4" numFmtId="0" xfId="0" applyBorder="1" applyFont="1"/>
    <xf borderId="26" fillId="5" fontId="5" numFmtId="1" xfId="0" applyBorder="1" applyFont="1" applyNumberFormat="1"/>
    <xf borderId="26" fillId="5" fontId="5" numFmtId="2" xfId="0" applyBorder="1" applyFont="1" applyNumberFormat="1"/>
    <xf borderId="65" fillId="0" fontId="4" numFmtId="0" xfId="0" applyBorder="1" applyFont="1"/>
    <xf borderId="66" fillId="5" fontId="5" numFmtId="0" xfId="0" applyBorder="1" applyFont="1"/>
    <xf borderId="67" fillId="5" fontId="5" numFmtId="1" xfId="0" applyBorder="1" applyFont="1" applyNumberFormat="1"/>
    <xf borderId="67" fillId="5" fontId="5" numFmtId="2" xfId="0" applyBorder="1" applyFont="1" applyNumberFormat="1"/>
    <xf borderId="68" fillId="5" fontId="5" numFmtId="1" xfId="0" applyAlignment="1" applyBorder="1" applyFont="1" applyNumberFormat="1">
      <alignment horizontal="center"/>
    </xf>
    <xf borderId="69" fillId="0" fontId="4" numFmtId="0" xfId="0" applyBorder="1" applyFont="1"/>
    <xf borderId="70" fillId="0" fontId="4" numFmtId="0" xfId="0" applyBorder="1" applyFont="1"/>
    <xf borderId="38" fillId="5" fontId="5" numFmtId="1" xfId="0" applyBorder="1" applyFont="1" applyNumberFormat="1"/>
    <xf borderId="38" fillId="5" fontId="5" numFmtId="2" xfId="0" applyBorder="1" applyFont="1" applyNumberFormat="1"/>
    <xf borderId="71" fillId="0" fontId="4" numFmtId="0" xfId="0" applyBorder="1" applyFont="1"/>
    <xf borderId="15" fillId="5" fontId="5" numFmtId="166" xfId="0" applyBorder="1" applyFont="1" applyNumberFormat="1"/>
    <xf borderId="72" fillId="5" fontId="5" numFmtId="0" xfId="0" applyBorder="1" applyFont="1"/>
    <xf borderId="31" fillId="5" fontId="5" numFmtId="1" xfId="0" applyBorder="1" applyFont="1" applyNumberFormat="1"/>
    <xf borderId="31" fillId="5" fontId="5" numFmtId="2" xfId="0" applyBorder="1" applyFont="1" applyNumberFormat="1"/>
    <xf borderId="73" fillId="5" fontId="5" numFmtId="1" xfId="0" applyAlignment="1" applyBorder="1" applyFont="1" applyNumberFormat="1">
      <alignment horizontal="center"/>
    </xf>
    <xf borderId="74" fillId="5" fontId="5" numFmtId="0" xfId="0" applyBorder="1" applyFont="1"/>
    <xf borderId="75" fillId="5" fontId="5" numFmtId="1" xfId="0" applyBorder="1" applyFont="1" applyNumberFormat="1"/>
    <xf borderId="75" fillId="5" fontId="5" numFmtId="2" xfId="0" applyBorder="1" applyFont="1" applyNumberFormat="1"/>
    <xf borderId="76" fillId="5" fontId="5" numFmtId="1" xfId="0" applyAlignment="1" applyBorder="1" applyFont="1" applyNumberFormat="1">
      <alignment horizontal="center"/>
    </xf>
    <xf borderId="0" fillId="9" fontId="8" numFmtId="0" xfId="0" applyFont="1"/>
    <xf borderId="0" fillId="5" fontId="5" numFmtId="1" xfId="0" applyAlignment="1" applyFont="1" applyNumberFormat="1">
      <alignment horizontal="center"/>
    </xf>
    <xf borderId="12" fillId="5" fontId="5" numFmtId="1" xfId="0" applyAlignment="1" applyBorder="1" applyFont="1" applyNumberFormat="1">
      <alignment horizontal="center"/>
    </xf>
    <xf borderId="12" fillId="5" fontId="5" numFmtId="2" xfId="0" applyAlignment="1" applyBorder="1" applyFont="1" applyNumberFormat="1">
      <alignment horizontal="center"/>
    </xf>
    <xf borderId="0" fillId="5" fontId="5" numFmtId="2" xfId="0" applyAlignment="1" applyFont="1" applyNumberFormat="1">
      <alignment horizontal="center"/>
    </xf>
    <xf borderId="19" fillId="3" fontId="5" numFmtId="1" xfId="0" applyAlignment="1" applyBorder="1" applyFont="1" applyNumberFormat="1">
      <alignment shrinkToFit="0" vertical="center" wrapText="1"/>
    </xf>
    <xf borderId="19" fillId="13" fontId="5" numFmtId="1" xfId="0" applyAlignment="1" applyBorder="1" applyFont="1" applyNumberFormat="1">
      <alignment shrinkToFit="0" vertical="center" wrapText="1"/>
    </xf>
    <xf borderId="77" fillId="13" fontId="12" numFmtId="0" xfId="0" applyBorder="1" applyFont="1"/>
    <xf borderId="43" fillId="13" fontId="12" numFmtId="1" xfId="0" applyBorder="1" applyFont="1" applyNumberFormat="1"/>
    <xf borderId="34" fillId="13" fontId="12" numFmtId="0" xfId="0" applyBorder="1" applyFont="1"/>
    <xf borderId="34" fillId="13" fontId="12" numFmtId="2" xfId="0" applyBorder="1" applyFont="1" applyNumberFormat="1"/>
    <xf borderId="77" fillId="13" fontId="12" numFmtId="0" xfId="0" applyAlignment="1" applyBorder="1" applyFont="1">
      <alignment readingOrder="0"/>
    </xf>
    <xf borderId="34" fillId="3" fontId="12" numFmtId="0" xfId="0" applyBorder="1" applyFont="1"/>
    <xf borderId="77" fillId="5" fontId="12" numFmtId="0" xfId="0" applyBorder="1" applyFont="1"/>
    <xf borderId="43" fillId="5" fontId="12" numFmtId="0" xfId="0" applyBorder="1" applyFont="1"/>
    <xf borderId="34" fillId="5" fontId="12" numFmtId="0" xfId="0" applyBorder="1" applyFont="1"/>
    <xf borderId="78" fillId="14" fontId="8" numFmtId="0" xfId="0" applyBorder="1" applyFont="1"/>
    <xf borderId="79" fillId="14" fontId="5" numFmtId="0" xfId="0" applyBorder="1" applyFont="1"/>
    <xf borderId="80" fillId="15" fontId="5" numFmtId="0" xfId="0" applyBorder="1" applyFont="1"/>
    <xf borderId="81" fillId="14" fontId="8" numFmtId="0" xfId="0" applyAlignment="1" applyBorder="1" applyFont="1">
      <alignment horizontal="center" vertical="center"/>
    </xf>
    <xf borderId="82" fillId="0" fontId="4" numFmtId="0" xfId="0" applyBorder="1" applyFont="1"/>
    <xf borderId="83" fillId="14" fontId="8" numFmtId="0" xfId="0" applyBorder="1" applyFont="1"/>
    <xf borderId="52" fillId="15" fontId="5" numFmtId="0" xfId="0" applyBorder="1" applyFont="1"/>
    <xf borderId="35" fillId="14" fontId="8" numFmtId="0" xfId="0" applyBorder="1" applyFont="1"/>
    <xf borderId="84" fillId="14" fontId="8" numFmtId="0" xfId="0" applyBorder="1" applyFont="1"/>
    <xf borderId="35" fillId="0" fontId="5" numFmtId="0" xfId="0" applyBorder="1" applyFont="1"/>
    <xf borderId="84" fillId="8" fontId="5" numFmtId="1" xfId="0" applyAlignment="1" applyBorder="1" applyFont="1" applyNumberFormat="1">
      <alignment horizontal="center" shrinkToFit="0" vertical="center" wrapText="1"/>
    </xf>
    <xf borderId="19" fillId="0" fontId="5" numFmtId="0" xfId="0" applyAlignment="1" applyBorder="1" applyFont="1">
      <alignment shrinkToFit="0" wrapText="1"/>
    </xf>
    <xf borderId="85" fillId="15" fontId="5" numFmtId="0" xfId="0" applyBorder="1" applyFont="1"/>
    <xf borderId="19" fillId="0" fontId="5" numFmtId="164" xfId="0" applyBorder="1" applyFont="1" applyNumberFormat="1"/>
    <xf borderId="35" fillId="8" fontId="5" numFmtId="1" xfId="0" applyAlignment="1" applyBorder="1" applyFont="1" applyNumberFormat="1">
      <alignment shrinkToFit="0" vertical="center" wrapText="1"/>
    </xf>
    <xf borderId="19" fillId="8" fontId="5" numFmtId="1" xfId="0" applyAlignment="1" applyBorder="1" applyFont="1" applyNumberFormat="1">
      <alignment shrinkToFit="0" vertical="center" wrapText="1"/>
    </xf>
    <xf borderId="19" fillId="8" fontId="5" numFmtId="1" xfId="0" applyAlignment="1" applyBorder="1" applyFont="1" applyNumberFormat="1">
      <alignment horizontal="right" shrinkToFit="0" vertical="center" wrapText="1"/>
    </xf>
    <xf borderId="35" fillId="8" fontId="5" numFmtId="1" xfId="0" applyAlignment="1" applyBorder="1" applyFont="1" applyNumberFormat="1">
      <alignment horizontal="left" shrinkToFit="0" vertical="center" wrapText="1"/>
    </xf>
    <xf borderId="35" fillId="8" fontId="5" numFmtId="1" xfId="0" applyAlignment="1" applyBorder="1" applyFont="1" applyNumberFormat="1">
      <alignment horizontal="center" shrinkToFit="0" vertical="center" wrapText="1"/>
    </xf>
    <xf borderId="35" fillId="8" fontId="5" numFmtId="0" xfId="0" applyBorder="1" applyFont="1"/>
    <xf borderId="19" fillId="8" fontId="5" numFmtId="1" xfId="0" applyBorder="1" applyFont="1" applyNumberFormat="1"/>
    <xf borderId="19" fillId="8" fontId="5" numFmtId="0" xfId="0" applyAlignment="1" applyBorder="1" applyFont="1">
      <alignment shrinkToFit="0" wrapText="1"/>
    </xf>
    <xf borderId="84" fillId="8" fontId="5" numFmtId="1" xfId="0" applyAlignment="1" applyBorder="1" applyFont="1" applyNumberFormat="1">
      <alignment horizontal="center" shrinkToFit="0" wrapText="1"/>
    </xf>
    <xf borderId="15" fillId="8" fontId="5" numFmtId="1" xfId="0" applyAlignment="1" applyBorder="1" applyFont="1" applyNumberFormat="1">
      <alignment horizontal="right"/>
    </xf>
    <xf borderId="37" fillId="8" fontId="5" numFmtId="1" xfId="0" applyAlignment="1" applyBorder="1" applyFont="1" applyNumberFormat="1">
      <alignment horizontal="center" shrinkToFit="0" vertical="center" wrapText="1"/>
    </xf>
    <xf borderId="38" fillId="8" fontId="5" numFmtId="1" xfId="0" applyAlignment="1" applyBorder="1" applyFont="1" applyNumberFormat="1">
      <alignment horizontal="center" shrinkToFit="0" vertical="center" wrapText="1"/>
    </xf>
    <xf borderId="86" fillId="15" fontId="5" numFmtId="0" xfId="0" applyBorder="1" applyFont="1"/>
    <xf borderId="38" fillId="0" fontId="5" numFmtId="0" xfId="0" applyBorder="1" applyFont="1"/>
    <xf borderId="38" fillId="8" fontId="5" numFmtId="0" xfId="0" applyAlignment="1" applyBorder="1" applyFont="1">
      <alignment shrinkToFit="0" wrapText="1"/>
    </xf>
    <xf borderId="38" fillId="0" fontId="5" numFmtId="1" xfId="0" applyBorder="1" applyFont="1" applyNumberFormat="1"/>
    <xf borderId="87" fillId="8" fontId="5" numFmtId="1" xfId="0" applyAlignment="1" applyBorder="1" applyFont="1" applyNumberFormat="1">
      <alignment horizontal="center" shrinkToFit="0" vertical="center" wrapText="1"/>
    </xf>
    <xf borderId="15" fillId="5" fontId="5" numFmtId="1" xfId="0" applyBorder="1" applyFont="1" applyNumberFormat="1"/>
    <xf borderId="12" fillId="0" fontId="5" numFmtId="0" xfId="0" applyAlignment="1" applyBorder="1" applyFont="1">
      <alignment horizontal="center" vertical="center"/>
    </xf>
    <xf borderId="1" fillId="5" fontId="5" numFmtId="164" xfId="0" applyBorder="1" applyFont="1" applyNumberFormat="1"/>
    <xf borderId="1" fillId="0" fontId="5" numFmtId="0" xfId="0" applyBorder="1" applyFont="1"/>
    <xf borderId="1" fillId="5" fontId="5" numFmtId="164" xfId="0" applyAlignment="1" applyBorder="1" applyFont="1" applyNumberFormat="1">
      <alignment horizontal="center" vertical="center"/>
    </xf>
    <xf borderId="5" fillId="0" fontId="5" numFmtId="1" xfId="0" applyAlignment="1" applyBorder="1" applyFont="1" applyNumberFormat="1">
      <alignment horizontal="center"/>
    </xf>
    <xf borderId="6" fillId="0" fontId="5" numFmtId="0" xfId="0" applyAlignment="1" applyBorder="1" applyFont="1">
      <alignment horizontal="center"/>
    </xf>
    <xf borderId="15" fillId="5" fontId="5" numFmtId="1" xfId="0" applyAlignment="1" applyBorder="1" applyFont="1" applyNumberFormat="1">
      <alignment horizontal="center" vertical="center"/>
    </xf>
    <xf borderId="1" fillId="5" fontId="5" numFmtId="2" xfId="0" applyAlignment="1" applyBorder="1" applyFont="1" applyNumberFormat="1">
      <alignment horizontal="center" vertical="center"/>
    </xf>
    <xf borderId="1" fillId="5" fontId="5" numFmtId="0" xfId="0" applyAlignment="1" applyBorder="1" applyFont="1">
      <alignment horizontal="center"/>
    </xf>
    <xf borderId="15" fillId="5" fontId="5" numFmtId="1" xfId="0" applyAlignment="1" applyBorder="1" applyFont="1" applyNumberFormat="1">
      <alignment readingOrder="0"/>
    </xf>
    <xf borderId="15" fillId="5" fontId="5" numFmtId="2" xfId="0" applyAlignment="1" applyBorder="1" applyFont="1" applyNumberFormat="1">
      <alignment readingOrder="0"/>
    </xf>
    <xf borderId="19" fillId="5" fontId="5" numFmtId="2" xfId="0" applyAlignment="1" applyBorder="1" applyFont="1" applyNumberFormat="1">
      <alignment horizontal="right"/>
    </xf>
    <xf borderId="19" fillId="5" fontId="5" numFmtId="2" xfId="0" applyAlignment="1" applyBorder="1" applyFont="1" applyNumberFormat="1">
      <alignment horizontal="right" shrinkToFit="0" vertical="center" wrapText="1"/>
    </xf>
    <xf borderId="19" fillId="5" fontId="5" numFmtId="2" xfId="0" applyAlignment="1" applyBorder="1" applyFont="1" applyNumberFormat="1">
      <alignment horizontal="right" readingOrder="0"/>
    </xf>
    <xf borderId="15" fillId="13" fontId="5" numFmtId="2" xfId="0" applyAlignment="1" applyBorder="1" applyFont="1" applyNumberFormat="1">
      <alignment readingOrder="0"/>
    </xf>
    <xf borderId="15" fillId="13" fontId="5" numFmtId="169" xfId="0" applyAlignment="1" applyBorder="1" applyFont="1" applyNumberFormat="1">
      <alignment readingOrder="0"/>
    </xf>
    <xf borderId="19" fillId="13" fontId="5" numFmtId="2" xfId="0" applyAlignment="1" applyBorder="1" applyFont="1" applyNumberFormat="1">
      <alignment horizontal="right"/>
    </xf>
    <xf borderId="19" fillId="3" fontId="5" numFmtId="2" xfId="0" applyAlignment="1" applyBorder="1" applyFont="1" applyNumberFormat="1">
      <alignment horizontal="right"/>
    </xf>
    <xf borderId="19" fillId="13" fontId="5" numFmtId="0" xfId="0" applyAlignment="1" applyBorder="1" applyFont="1">
      <alignment horizontal="center"/>
    </xf>
    <xf borderId="88" fillId="14" fontId="8" numFmtId="0" xfId="0" applyAlignment="1" applyBorder="1" applyFont="1">
      <alignment horizontal="center" vertical="center"/>
    </xf>
    <xf borderId="89" fillId="0" fontId="4" numFmtId="0" xfId="0" applyBorder="1" applyFont="1"/>
    <xf borderId="28" fillId="8" fontId="5" numFmtId="1" xfId="0" applyBorder="1" applyFont="1" applyNumberFormat="1"/>
    <xf borderId="19" fillId="14" fontId="8" numFmtId="1" xfId="0" applyBorder="1" applyFont="1" applyNumberFormat="1"/>
    <xf borderId="35" fillId="8" fontId="5" numFmtId="0" xfId="0" applyAlignment="1" applyBorder="1" applyFont="1">
      <alignment horizontal="center"/>
    </xf>
    <xf borderId="90" fillId="15" fontId="5" numFmtId="0" xfId="0" applyBorder="1" applyFont="1"/>
    <xf borderId="33" fillId="5" fontId="14" numFmtId="0" xfId="0" applyAlignment="1" applyBorder="1" applyFont="1">
      <alignment horizontal="center" shrinkToFit="0" wrapText="1"/>
    </xf>
    <xf borderId="33" fillId="5" fontId="8" numFmtId="0" xfId="0" applyAlignment="1" applyBorder="1" applyFont="1">
      <alignment horizontal="center"/>
    </xf>
    <xf borderId="20" fillId="5" fontId="5" numFmtId="0" xfId="0" applyAlignment="1" applyBorder="1" applyFont="1">
      <alignment horizontal="left" shrinkToFit="0" vertical="top" wrapText="1"/>
    </xf>
    <xf borderId="43" fillId="0" fontId="4" numFmtId="0" xfId="0" applyBorder="1" applyFont="1"/>
    <xf borderId="77" fillId="0" fontId="4" numFmtId="0" xfId="0" applyBorder="1" applyFont="1"/>
    <xf borderId="0" fillId="0" fontId="11" numFmtId="0" xfId="0" applyFont="1"/>
    <xf borderId="0" fillId="0" fontId="11" numFmtId="0" xfId="0" applyAlignment="1" applyFont="1">
      <alignment horizontal="center" shrinkToFit="0" wrapText="1"/>
    </xf>
    <xf borderId="0" fillId="0" fontId="14" numFmtId="0" xfId="0" applyFont="1"/>
    <xf borderId="0" fillId="0" fontId="5" numFmtId="0" xfId="0" applyAlignment="1" applyFont="1">
      <alignment vertical="top"/>
    </xf>
    <xf borderId="0" fillId="0" fontId="5" numFmtId="4" xfId="0" applyFont="1" applyNumberFormat="1"/>
    <xf borderId="0" fillId="0" fontId="5" numFmtId="0" xfId="0" applyFont="1"/>
    <xf borderId="0" fillId="0" fontId="5" numFmtId="0" xfId="0" applyAlignment="1" applyFont="1">
      <alignment horizontal="left" shrinkToFit="0" vertical="center" wrapText="1"/>
    </xf>
    <xf borderId="0" fillId="0" fontId="16" numFmtId="0" xfId="0" applyAlignment="1" applyFont="1">
      <alignment shrinkToFit="0" wrapText="1"/>
    </xf>
    <xf borderId="0" fillId="0" fontId="17" numFmtId="0" xfId="0" applyAlignment="1" applyFont="1">
      <alignment horizontal="left"/>
    </xf>
    <xf borderId="0" fillId="0" fontId="5" numFmtId="3" xfId="0" applyFont="1" applyNumberFormat="1"/>
    <xf borderId="0" fillId="0" fontId="18" numFmtId="0" xfId="0" applyAlignment="1" applyFont="1">
      <alignment shrinkToFit="0" wrapText="1"/>
    </xf>
    <xf borderId="0" fillId="0" fontId="14" numFmtId="0" xfId="0" applyAlignment="1" applyFont="1">
      <alignment shrinkToFit="0" wrapText="1"/>
    </xf>
    <xf borderId="0" fillId="0" fontId="5" numFmtId="0" xfId="0" applyAlignment="1" applyFont="1">
      <alignment horizontal="left"/>
    </xf>
    <xf quotePrefix="1" borderId="0" fillId="0" fontId="5" numFmtId="0" xfId="0" applyFont="1"/>
    <xf borderId="0" fillId="0" fontId="14" numFmtId="0" xfId="0" applyAlignment="1" applyFont="1">
      <alignment vertical="top"/>
    </xf>
    <xf borderId="0" fillId="0" fontId="19" numFmtId="0" xfId="0" applyAlignment="1" applyFont="1">
      <alignment shrinkToFit="0" wrapText="1"/>
    </xf>
    <xf borderId="0" fillId="0" fontId="5" numFmtId="49" xfId="0" applyAlignment="1" applyFont="1" applyNumberFormat="1">
      <alignment horizontal="left"/>
    </xf>
    <xf borderId="20" fillId="5" fontId="8" numFmtId="0" xfId="0" applyAlignment="1" applyBorder="1" applyFont="1">
      <alignment horizontal="left"/>
    </xf>
    <xf borderId="19" fillId="5" fontId="8" numFmtId="164" xfId="0" applyAlignment="1" applyBorder="1" applyFont="1" applyNumberFormat="1">
      <alignment horizontal="center" shrinkToFit="0" vertical="center" wrapText="1"/>
    </xf>
    <xf borderId="19" fillId="6" fontId="8" numFmtId="0" xfId="0" applyBorder="1" applyFont="1"/>
    <xf borderId="5" fillId="8" fontId="5" numFmtId="0" xfId="0" applyAlignment="1" applyBorder="1" applyFont="1">
      <alignment horizontal="center" vertical="center"/>
    </xf>
    <xf borderId="27" fillId="8" fontId="5" numFmtId="164" xfId="0" applyBorder="1" applyFont="1" applyNumberFormat="1"/>
    <xf borderId="27" fillId="8" fontId="5" numFmtId="2" xfId="0" applyBorder="1" applyFont="1" applyNumberFormat="1"/>
    <xf borderId="5" fillId="8" fontId="5" numFmtId="0" xfId="0" applyAlignment="1" applyBorder="1" applyFont="1">
      <alignment horizontal="center" shrinkToFit="0" wrapText="1"/>
    </xf>
    <xf borderId="54" fillId="8" fontId="5" numFmtId="0" xfId="0" applyAlignment="1" applyBorder="1" applyFont="1">
      <alignment horizontal="center" shrinkToFit="0" vertical="center" wrapText="1"/>
    </xf>
    <xf borderId="33" fillId="8" fontId="5" numFmtId="0" xfId="0" applyAlignment="1" applyBorder="1" applyFont="1">
      <alignment horizontal="left" shrinkToFit="0" vertical="center" wrapText="1"/>
    </xf>
    <xf borderId="13" fillId="0" fontId="5" numFmtId="0" xfId="0" applyAlignment="1" applyBorder="1" applyFont="1">
      <alignment horizontal="left" shrinkToFit="0" vertical="center" wrapText="1"/>
    </xf>
    <xf borderId="5" fillId="7" fontId="12" numFmtId="0" xfId="0" applyAlignment="1" applyBorder="1" applyFont="1">
      <alignment horizontal="center" shrinkToFit="0" vertical="center" wrapText="1"/>
    </xf>
    <xf borderId="15" fillId="5" fontId="5" numFmtId="1" xfId="0" applyAlignment="1" applyBorder="1" applyFont="1" applyNumberFormat="1">
      <alignment shrinkToFit="0" vertical="center" wrapText="1"/>
    </xf>
    <xf borderId="15" fillId="5" fontId="5" numFmtId="9" xfId="0" applyAlignment="1" applyBorder="1" applyFont="1" applyNumberFormat="1">
      <alignment shrinkToFit="0" vertical="center" wrapText="1"/>
    </xf>
    <xf borderId="15" fillId="5" fontId="5" numFmtId="2" xfId="0" applyAlignment="1" applyBorder="1" applyFont="1" applyNumberFormat="1">
      <alignment shrinkToFit="0" vertical="center" wrapText="1"/>
    </xf>
    <xf borderId="15" fillId="5" fontId="5" numFmtId="164" xfId="0" applyAlignment="1" applyBorder="1" applyFont="1" applyNumberFormat="1">
      <alignment shrinkToFit="0" vertical="center" wrapText="1"/>
    </xf>
    <xf borderId="30" fillId="9" fontId="8" numFmtId="0" xfId="0" applyAlignment="1" applyBorder="1" applyFont="1">
      <alignment horizontal="center"/>
    </xf>
    <xf borderId="19" fillId="5" fontId="5" numFmtId="1" xfId="0" applyAlignment="1" applyBorder="1" applyFont="1" applyNumberFormat="1">
      <alignment horizontal="right" shrinkToFit="0" wrapText="1"/>
    </xf>
    <xf borderId="19" fillId="5" fontId="5" numFmtId="49" xfId="0" applyAlignment="1" applyBorder="1" applyFont="1" applyNumberFormat="1">
      <alignment horizontal="right"/>
    </xf>
    <xf borderId="19" fillId="5" fontId="14" numFmtId="164" xfId="0" applyAlignment="1" applyBorder="1" applyFont="1" applyNumberFormat="1">
      <alignment horizontal="center" shrinkToFit="0" vertical="center" wrapText="1"/>
    </xf>
    <xf borderId="91" fillId="14" fontId="8" numFmtId="0" xfId="0" applyAlignment="1" applyBorder="1" applyFont="1">
      <alignment horizontal="center"/>
    </xf>
    <xf borderId="92" fillId="0" fontId="4" numFmtId="0" xfId="0" applyBorder="1" applyFont="1"/>
    <xf borderId="93" fillId="0" fontId="4" numFmtId="0" xfId="0" applyBorder="1" applyFont="1"/>
    <xf borderId="94" fillId="14" fontId="8" numFmtId="0" xfId="0" applyAlignment="1" applyBorder="1" applyFont="1">
      <alignment horizontal="left"/>
    </xf>
    <xf borderId="95" fillId="0" fontId="4" numFmtId="0" xfId="0" applyBorder="1" applyFont="1"/>
    <xf borderId="67" fillId="14" fontId="8" numFmtId="0" xfId="0" applyBorder="1" applyFont="1"/>
    <xf borderId="96" fillId="15" fontId="5" numFmtId="0" xfId="0" applyBorder="1" applyFont="1"/>
    <xf borderId="97" fillId="14" fontId="8" numFmtId="0" xfId="0" applyBorder="1" applyFont="1"/>
    <xf borderId="98" fillId="15" fontId="5" numFmtId="0" xfId="0" applyBorder="1" applyFont="1"/>
    <xf borderId="31" fillId="14" fontId="8" numFmtId="0" xfId="0" applyBorder="1" applyFont="1"/>
    <xf borderId="54" fillId="8" fontId="14" numFmtId="0" xfId="0" applyAlignment="1" applyBorder="1" applyFont="1">
      <alignment horizontal="center" shrinkToFit="0" wrapText="1"/>
    </xf>
    <xf borderId="33" fillId="8" fontId="14" numFmtId="0" xfId="0" applyAlignment="1" applyBorder="1" applyFont="1">
      <alignment horizontal="center" shrinkToFit="0" wrapText="1"/>
    </xf>
    <xf borderId="58" fillId="8" fontId="14" numFmtId="0" xfId="0" applyAlignment="1" applyBorder="1" applyFont="1">
      <alignment horizontal="center" shrinkToFit="0" wrapText="1"/>
    </xf>
    <xf borderId="27" fillId="9" fontId="8" numFmtId="0" xfId="0" applyBorder="1" applyFont="1"/>
    <xf borderId="28" fillId="9" fontId="8" numFmtId="0" xfId="0" applyBorder="1" applyFont="1"/>
    <xf borderId="54" fillId="5" fontId="20" numFmtId="0" xfId="0" applyAlignment="1" applyBorder="1" applyFont="1">
      <alignment horizontal="center" shrinkToFit="0" vertical="center" wrapText="1"/>
    </xf>
    <xf borderId="99" fillId="0" fontId="4" numFmtId="0" xfId="0" applyBorder="1" applyFont="1"/>
    <xf borderId="19" fillId="8" fontId="12" numFmtId="1" xfId="0" applyAlignment="1" applyBorder="1" applyFont="1" applyNumberFormat="1">
      <alignment horizontal="center" shrinkToFit="0" vertical="center" wrapText="1"/>
    </xf>
    <xf borderId="15" fillId="15" fontId="5" numFmtId="164" xfId="0" applyAlignment="1" applyBorder="1" applyFont="1" applyNumberFormat="1">
      <alignment horizontal="center" shrinkToFit="0" vertical="center" wrapText="1"/>
    </xf>
    <xf borderId="45" fillId="8" fontId="5" numFmtId="0" xfId="0" applyAlignment="1" applyBorder="1" applyFont="1">
      <alignment horizontal="center" vertical="center"/>
    </xf>
    <xf borderId="27" fillId="8" fontId="5" numFmtId="164" xfId="0" applyAlignment="1" applyBorder="1" applyFont="1" applyNumberFormat="1">
      <alignment vertical="center"/>
    </xf>
    <xf borderId="19" fillId="8" fontId="5" numFmtId="164" xfId="0" applyAlignment="1" applyBorder="1" applyFont="1" applyNumberFormat="1">
      <alignment vertical="center"/>
    </xf>
    <xf borderId="33" fillId="15" fontId="8" numFmtId="0" xfId="0" applyAlignment="1" applyBorder="1" applyFont="1">
      <alignment horizontal="center"/>
    </xf>
    <xf borderId="15" fillId="15" fontId="5" numFmtId="0" xfId="0" applyAlignment="1" applyBorder="1" applyFont="1">
      <alignment horizontal="center" vertical="center"/>
    </xf>
    <xf borderId="33" fillId="15" fontId="5" numFmtId="0" xfId="0" applyAlignment="1" applyBorder="1" applyFont="1">
      <alignment horizontal="center"/>
    </xf>
    <xf borderId="2" fillId="8" fontId="8" numFmtId="0" xfId="0" applyAlignment="1" applyBorder="1" applyFont="1">
      <alignment horizontal="center"/>
    </xf>
    <xf borderId="33" fillId="15" fontId="5" numFmtId="164" xfId="0" applyAlignment="1" applyBorder="1" applyFont="1" applyNumberFormat="1">
      <alignment horizontal="center"/>
    </xf>
    <xf borderId="0" fillId="0" fontId="5" numFmtId="0" xfId="0" applyAlignment="1" applyFont="1">
      <alignment horizontal="center" shrinkToFit="0" wrapText="1"/>
    </xf>
    <xf borderId="0" fillId="0" fontId="21" numFmtId="0" xfId="0" applyAlignment="1" applyFont="1">
      <alignment horizontal="center" shrinkToFit="0" wrapText="1"/>
    </xf>
    <xf borderId="13" fillId="0" fontId="5" numFmtId="0" xfId="0" applyAlignment="1" applyBorder="1" applyFont="1">
      <alignment horizontal="center" shrinkToFit="0" wrapText="1"/>
    </xf>
    <xf borderId="5" fillId="7" fontId="5" numFmtId="0" xfId="0" applyAlignment="1" applyBorder="1" applyFont="1">
      <alignment horizontal="left" shrinkToFit="0" vertical="center" wrapText="1"/>
    </xf>
    <xf borderId="19" fillId="5" fontId="5" numFmtId="167" xfId="0" applyAlignment="1" applyBorder="1" applyFont="1" applyNumberFormat="1">
      <alignment shrinkToFit="0" vertical="center" wrapText="1"/>
    </xf>
    <xf borderId="38" fillId="5" fontId="5" numFmtId="2" xfId="0" applyAlignment="1" applyBorder="1" applyFont="1" applyNumberFormat="1">
      <alignment shrinkToFit="0" vertical="center" wrapText="1"/>
    </xf>
    <xf borderId="19" fillId="16" fontId="14" numFmtId="0" xfId="0" applyAlignment="1" applyBorder="1" applyFill="1" applyFont="1">
      <alignment shrinkToFit="0" wrapText="1"/>
    </xf>
    <xf borderId="15" fillId="5" fontId="5" numFmtId="167" xfId="0" applyAlignment="1" applyBorder="1" applyFont="1" applyNumberFormat="1">
      <alignment shrinkToFit="0" vertical="center" wrapText="1"/>
    </xf>
    <xf borderId="19" fillId="5" fontId="12" numFmtId="2" xfId="0" applyAlignment="1" applyBorder="1" applyFont="1" applyNumberFormat="1">
      <alignment horizontal="right" shrinkToFit="0" vertical="center" wrapText="1"/>
    </xf>
    <xf borderId="19" fillId="8" fontId="5" numFmtId="0" xfId="0" applyAlignment="1" applyBorder="1" applyFont="1">
      <alignment horizontal="center" vertical="center"/>
    </xf>
    <xf borderId="19" fillId="8" fontId="5" numFmtId="169" xfId="0" applyAlignment="1" applyBorder="1" applyFont="1" applyNumberFormat="1">
      <alignment horizontal="center" vertical="center"/>
    </xf>
    <xf borderId="19" fillId="8" fontId="5" numFmtId="2" xfId="0" applyAlignment="1" applyBorder="1" applyFont="1" applyNumberFormat="1">
      <alignment horizontal="center" vertical="center"/>
    </xf>
    <xf borderId="19" fillId="8" fontId="5" numFmtId="1" xfId="0" applyAlignment="1" applyBorder="1" applyFont="1" applyNumberFormat="1">
      <alignment horizontal="right"/>
    </xf>
    <xf borderId="84" fillId="8" fontId="5" numFmtId="1" xfId="0" applyAlignment="1" applyBorder="1" applyFont="1" applyNumberFormat="1">
      <alignment shrinkToFit="0" wrapText="1"/>
    </xf>
    <xf borderId="19" fillId="5" fontId="5" numFmtId="164" xfId="0" applyBorder="1" applyFont="1" applyNumberFormat="1"/>
    <xf borderId="44" fillId="14" fontId="8" numFmtId="0" xfId="0" applyAlignment="1" applyBorder="1" applyFont="1">
      <alignment shrinkToFit="0" wrapText="1"/>
    </xf>
    <xf borderId="44" fillId="14" fontId="8" numFmtId="0" xfId="0" applyAlignment="1" applyBorder="1" applyFont="1">
      <alignment horizontal="left" vertical="center"/>
    </xf>
    <xf borderId="0" fillId="0" fontId="22" numFmtId="0" xfId="0" applyAlignment="1" applyFont="1">
      <alignment horizontal="center" shrinkToFit="0" vertical="center" wrapText="1"/>
    </xf>
    <xf borderId="13" fillId="0" fontId="5" numFmtId="0" xfId="0" applyAlignment="1" applyBorder="1" applyFont="1">
      <alignment horizontal="center" shrinkToFit="0" vertical="center" wrapText="1"/>
    </xf>
    <xf borderId="19" fillId="5" fontId="12" numFmtId="0" xfId="0" applyAlignment="1" applyBorder="1" applyFont="1">
      <alignment horizontal="center" shrinkToFit="0" wrapText="1"/>
    </xf>
    <xf borderId="19" fillId="5" fontId="12" numFmtId="164" xfId="0" applyAlignment="1" applyBorder="1" applyFont="1" applyNumberFormat="1">
      <alignment horizontal="center"/>
    </xf>
    <xf borderId="19" fillId="5" fontId="5" numFmtId="164" xfId="0" applyAlignment="1" applyBorder="1" applyFont="1" applyNumberFormat="1">
      <alignment horizontal="center"/>
    </xf>
    <xf borderId="19" fillId="5" fontId="12" numFmtId="164" xfId="0" applyBorder="1" applyFont="1" applyNumberFormat="1"/>
    <xf borderId="19" fillId="5" fontId="12" numFmtId="164" xfId="0" applyAlignment="1" applyBorder="1" applyFont="1" applyNumberFormat="1">
      <alignment horizontal="right" shrinkToFit="0" vertical="center" wrapText="1"/>
    </xf>
    <xf borderId="19" fillId="5" fontId="12" numFmtId="164" xfId="0" applyAlignment="1" applyBorder="1" applyFont="1" applyNumberFormat="1">
      <alignment horizontal="right"/>
    </xf>
    <xf borderId="19" fillId="5" fontId="5" numFmtId="164" xfId="0" applyAlignment="1" applyBorder="1" applyFont="1" applyNumberFormat="1">
      <alignment horizontal="right"/>
    </xf>
    <xf borderId="27" fillId="14" fontId="8" numFmtId="0" xfId="0" applyAlignment="1" applyBorder="1" applyFont="1">
      <alignment horizontal="center" shrinkToFit="0" vertical="center" wrapText="1"/>
    </xf>
    <xf borderId="28" fillId="14" fontId="5" numFmtId="0" xfId="0" applyAlignment="1" applyBorder="1" applyFont="1">
      <alignment horizontal="center" shrinkToFit="0" vertical="center" wrapText="1"/>
    </xf>
    <xf borderId="44" fillId="14" fontId="8" numFmtId="0" xfId="0" applyAlignment="1" applyBorder="1" applyFont="1">
      <alignment horizontal="center" shrinkToFit="0" vertical="center" wrapText="1"/>
    </xf>
    <xf borderId="15" fillId="8" fontId="5" numFmtId="164" xfId="0" applyAlignment="1" applyBorder="1" applyFont="1" applyNumberFormat="1">
      <alignment horizontal="center" shrinkToFit="0" vertical="center" wrapText="1"/>
    </xf>
    <xf borderId="100" fillId="8" fontId="5" numFmtId="0" xfId="0" applyAlignment="1" applyBorder="1" applyFont="1">
      <alignment horizontal="center" shrinkToFit="0" vertical="center" wrapText="1"/>
    </xf>
    <xf borderId="101" fillId="0" fontId="4" numFmtId="0" xfId="0" applyBorder="1" applyFont="1"/>
    <xf borderId="102" fillId="0" fontId="4" numFmtId="0" xfId="0" applyBorder="1" applyFont="1"/>
    <xf borderId="15" fillId="5" fontId="23" numFmtId="164" xfId="0" applyAlignment="1" applyBorder="1" applyFont="1" applyNumberFormat="1">
      <alignment horizontal="center" shrinkToFit="0" vertical="center" wrapText="1"/>
    </xf>
    <xf borderId="15" fillId="15" fontId="23" numFmtId="164" xfId="0" applyAlignment="1" applyBorder="1" applyFont="1" applyNumberFormat="1">
      <alignment horizontal="center" shrinkToFit="0" vertical="center" wrapText="1"/>
    </xf>
    <xf borderId="19" fillId="8" fontId="5" numFmtId="164" xfId="0" applyAlignment="1" applyBorder="1" applyFont="1" applyNumberFormat="1">
      <alignment shrinkToFit="0" wrapText="1"/>
    </xf>
    <xf borderId="5" fillId="0" fontId="14" numFmtId="0" xfId="0" applyAlignment="1" applyBorder="1" applyFont="1">
      <alignment horizontal="center" vertical="center"/>
    </xf>
    <xf borderId="6" fillId="0" fontId="5" numFmtId="0" xfId="0" applyAlignment="1" applyBorder="1" applyFont="1">
      <alignment horizontal="center" shrinkToFit="0" wrapText="1"/>
    </xf>
    <xf borderId="9" fillId="0" fontId="14" numFmtId="0" xfId="0" applyAlignment="1" applyBorder="1" applyFont="1">
      <alignment horizontal="center" vertical="center"/>
    </xf>
    <xf borderId="12" fillId="0" fontId="14" numFmtId="0" xfId="0" applyAlignment="1" applyBorder="1" applyFont="1">
      <alignment horizontal="center" vertical="center"/>
    </xf>
    <xf borderId="19" fillId="14" fontId="8" numFmtId="164" xfId="0" applyAlignment="1" applyBorder="1" applyFont="1" applyNumberFormat="1">
      <alignment vertical="center"/>
    </xf>
    <xf borderId="19" fillId="14" fontId="8" numFmtId="164" xfId="0" applyAlignment="1" applyBorder="1" applyFont="1" applyNumberFormat="1">
      <alignment shrinkToFit="0" vertical="center" wrapText="1"/>
    </xf>
    <xf borderId="19" fillId="5" fontId="12" numFmtId="0" xfId="0" applyAlignment="1" applyBorder="1" applyFont="1">
      <alignment horizontal="right"/>
    </xf>
    <xf borderId="103" fillId="14" fontId="8" numFmtId="0" xfId="0" applyAlignment="1" applyBorder="1" applyFont="1">
      <alignment horizontal="center" vertical="center"/>
    </xf>
    <xf borderId="26" fillId="14" fontId="8" numFmtId="0" xfId="0" applyBorder="1" applyFont="1"/>
    <xf borderId="48" fillId="14" fontId="8" numFmtId="0" xfId="0" applyBorder="1" applyFont="1"/>
    <xf borderId="104" fillId="14" fontId="8" numFmtId="0" xfId="0" applyBorder="1" applyFont="1"/>
    <xf borderId="84" fillId="0" fontId="5" numFmtId="0" xfId="0" applyBorder="1" applyFont="1"/>
    <xf borderId="19" fillId="0" fontId="5" numFmtId="11" xfId="0" applyBorder="1" applyFont="1" applyNumberFormat="1"/>
    <xf borderId="19" fillId="0" fontId="5" numFmtId="1" xfId="0" applyAlignment="1" applyBorder="1" applyFont="1" applyNumberFormat="1">
      <alignment horizontal="right"/>
    </xf>
    <xf borderId="19" fillId="14" fontId="8" numFmtId="164" xfId="0" applyBorder="1" applyFont="1" applyNumberFormat="1"/>
    <xf borderId="35" fillId="0" fontId="5" numFmtId="0" xfId="0" applyAlignment="1" applyBorder="1" applyFont="1">
      <alignment horizontal="center"/>
    </xf>
    <xf borderId="33" fillId="5" fontId="8" numFmtId="0" xfId="0" applyAlignment="1" applyBorder="1" applyFont="1">
      <alignment horizontal="center" shrinkToFit="0" vertical="center" wrapText="1"/>
    </xf>
    <xf borderId="15" fillId="5" fontId="12" numFmtId="164" xfId="0" applyBorder="1" applyFont="1" applyNumberFormat="1"/>
    <xf borderId="33" fillId="5" fontId="12" numFmtId="0" xfId="0" applyAlignment="1" applyBorder="1" applyFont="1">
      <alignment horizontal="center"/>
    </xf>
    <xf borderId="98" fillId="14" fontId="8" numFmtId="0" xfId="0" applyBorder="1" applyFont="1"/>
    <xf borderId="105" fillId="14" fontId="5" numFmtId="0" xfId="0" applyBorder="1" applyFont="1"/>
    <xf borderId="48" fillId="8" fontId="5" numFmtId="0" xfId="0" applyAlignment="1" applyBorder="1" applyFont="1">
      <alignment horizontal="center" vertical="center"/>
    </xf>
    <xf borderId="36" fillId="8" fontId="5" numFmtId="0" xfId="0" applyBorder="1" applyFont="1"/>
    <xf borderId="0" fillId="0" fontId="5" numFmtId="164" xfId="0" applyFont="1" applyNumberFormat="1"/>
    <xf borderId="15" fillId="8" fontId="5" numFmtId="164" xfId="0" applyBorder="1" applyFont="1" applyNumberFormat="1"/>
    <xf borderId="37" fillId="8" fontId="5" numFmtId="0" xfId="0" applyBorder="1" applyFont="1"/>
    <xf borderId="38" fillId="8" fontId="5" numFmtId="0" xfId="0" applyBorder="1" applyFont="1"/>
    <xf borderId="38" fillId="8" fontId="5" numFmtId="164" xfId="0" applyBorder="1" applyFont="1" applyNumberFormat="1"/>
    <xf borderId="106" fillId="8" fontId="5" numFmtId="0" xfId="0" applyAlignment="1" applyBorder="1" applyFont="1">
      <alignment horizontal="center"/>
    </xf>
    <xf borderId="107" fillId="0" fontId="4" numFmtId="0" xfId="0" applyBorder="1" applyFont="1"/>
    <xf borderId="86" fillId="15" fontId="5" numFmtId="164" xfId="0" applyBorder="1" applyFont="1" applyNumberFormat="1"/>
    <xf borderId="16" fillId="6" fontId="11" numFmtId="0" xfId="0" applyAlignment="1" applyBorder="1" applyFont="1">
      <alignment horizontal="center" vertical="center"/>
    </xf>
    <xf borderId="6" fillId="0" fontId="24" numFmtId="0" xfId="0" applyAlignment="1" applyBorder="1" applyFont="1">
      <alignment horizontal="center" shrinkToFit="0" vertical="center" wrapText="1"/>
    </xf>
    <xf borderId="13" fillId="0" fontId="25" numFmtId="0" xfId="0" applyAlignment="1" applyBorder="1" applyFont="1">
      <alignment horizontal="center" vertical="center"/>
    </xf>
    <xf borderId="5" fillId="7" fontId="5" numFmtId="49" xfId="0" applyAlignment="1" applyBorder="1" applyFont="1" applyNumberFormat="1">
      <alignment horizontal="left" shrinkToFit="0" vertical="top" wrapText="1"/>
    </xf>
    <xf borderId="15" fillId="5" fontId="8" numFmtId="164" xfId="0" applyAlignment="1" applyBorder="1" applyFont="1" applyNumberFormat="1">
      <alignment horizontal="center" shrinkToFit="0" vertical="center" wrapText="1"/>
    </xf>
    <xf borderId="15" fillId="5" fontId="12" numFmtId="164" xfId="0" applyAlignment="1" applyBorder="1" applyFont="1" applyNumberFormat="1">
      <alignment horizontal="center" vertical="center"/>
    </xf>
    <xf borderId="33" fillId="5" fontId="8" numFmtId="0" xfId="0" applyAlignment="1" applyBorder="1" applyFont="1">
      <alignment horizontal="center" vertical="center"/>
    </xf>
    <xf borderId="33" fillId="5" fontId="11" numFmtId="0" xfId="0" applyAlignment="1" applyBorder="1" applyFont="1">
      <alignment horizontal="center"/>
    </xf>
    <xf borderId="45" fillId="9" fontId="8" numFmtId="0" xfId="0" applyAlignment="1" applyBorder="1" applyFont="1">
      <alignment horizontal="center" vertical="center"/>
    </xf>
    <xf borderId="16" fillId="9" fontId="5" numFmtId="0" xfId="0" applyAlignment="1" applyBorder="1" applyFont="1">
      <alignment horizontal="center"/>
    </xf>
    <xf borderId="19" fillId="9" fontId="11" numFmtId="0" xfId="0" applyAlignment="1" applyBorder="1" applyFont="1">
      <alignment horizontal="center" shrinkToFit="0" vertical="center" wrapText="1"/>
    </xf>
    <xf borderId="19" fillId="9" fontId="8" numFmtId="0" xfId="0" applyAlignment="1" applyBorder="1" applyFont="1">
      <alignment horizontal="center" readingOrder="1" shrinkToFit="0" vertical="center" wrapText="1"/>
    </xf>
    <xf borderId="19" fillId="5" fontId="5" numFmtId="0" xfId="0" applyAlignment="1" applyBorder="1" applyFont="1">
      <alignment horizontal="left" shrinkToFit="0" wrapText="1"/>
    </xf>
    <xf borderId="19" fillId="5" fontId="5" numFmtId="9" xfId="0" applyAlignment="1" applyBorder="1" applyFont="1" applyNumberFormat="1">
      <alignment horizontal="left" shrinkToFit="0" wrapText="1"/>
    </xf>
    <xf borderId="19" fillId="5" fontId="5" numFmtId="0" xfId="0" applyAlignment="1" applyBorder="1" applyFont="1">
      <alignment horizontal="center" vertical="center"/>
    </xf>
    <xf borderId="19" fillId="5" fontId="5" numFmtId="2" xfId="0" applyAlignment="1" applyBorder="1" applyFont="1" applyNumberFormat="1">
      <alignment horizontal="center" readingOrder="1" vertical="center"/>
    </xf>
    <xf borderId="19" fillId="5" fontId="5" numFmtId="2" xfId="0" applyAlignment="1" applyBorder="1" applyFont="1" applyNumberFormat="1">
      <alignment horizontal="center" vertical="center"/>
    </xf>
    <xf borderId="19" fillId="5" fontId="12" numFmtId="0" xfId="0" applyAlignment="1" applyBorder="1" applyFont="1">
      <alignment horizontal="center" vertical="center"/>
    </xf>
    <xf borderId="19" fillId="5" fontId="5" numFmtId="170" xfId="0" applyAlignment="1" applyBorder="1" applyFont="1" applyNumberFormat="1">
      <alignment horizontal="center" vertical="center"/>
    </xf>
    <xf borderId="19" fillId="5" fontId="5" numFmtId="167" xfId="0" applyAlignment="1" applyBorder="1" applyFont="1" applyNumberFormat="1">
      <alignment horizontal="center" shrinkToFit="0" vertical="center" wrapText="1"/>
    </xf>
    <xf borderId="19" fillId="5" fontId="5" numFmtId="9" xfId="0" applyAlignment="1" applyBorder="1" applyFont="1" applyNumberFormat="1">
      <alignment horizontal="left" shrinkToFit="0" vertical="center" wrapText="1"/>
    </xf>
    <xf borderId="15" fillId="5" fontId="5" numFmtId="0" xfId="0" applyAlignment="1" applyBorder="1" applyFont="1">
      <alignment horizontal="center" readingOrder="1" shrinkToFit="0" vertical="center" wrapText="1"/>
    </xf>
    <xf borderId="19" fillId="5" fontId="5" numFmtId="0" xfId="0" applyAlignment="1" applyBorder="1" applyFont="1">
      <alignment horizontal="left" shrinkToFit="0" vertical="center" wrapText="1"/>
    </xf>
    <xf borderId="19" fillId="5" fontId="5" numFmtId="166" xfId="0" applyAlignment="1" applyBorder="1" applyFont="1" applyNumberFormat="1">
      <alignment horizontal="center" vertical="center"/>
    </xf>
    <xf borderId="0" fillId="0" fontId="5" numFmtId="166" xfId="0" applyFont="1" applyNumberFormat="1"/>
    <xf borderId="44" fillId="17" fontId="11" numFmtId="0" xfId="0" applyAlignment="1" applyBorder="1" applyFill="1" applyFont="1">
      <alignment shrinkToFit="0" vertical="center" wrapText="1"/>
    </xf>
    <xf borderId="15" fillId="5" fontId="11" numFmtId="2" xfId="0" applyAlignment="1" applyBorder="1" applyFont="1" applyNumberFormat="1">
      <alignment horizontal="center"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Energy_KPI_export-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externalLink" Target="externalLinks/externalLink1.xml"/><Relationship Id="rId25" Type="http://schemas.openxmlformats.org/officeDocument/2006/relationships/worksheet" Target="worksheets/sheet22.xml"/><Relationship Id="rId28" Type="http://schemas.openxmlformats.org/officeDocument/2006/relationships/externalLink" Target="externalLinks/externalLink3.xml"/><Relationship Id="rId27" Type="http://schemas.openxmlformats.org/officeDocument/2006/relationships/externalLink" Target="externalLinks/externalLink2.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externalLink" Target="externalLinks/externalLink4.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externalLink" Target="externalLinks/externalLink6.xml"/><Relationship Id="rId30" Type="http://schemas.openxmlformats.org/officeDocument/2006/relationships/externalLink" Target="externalLinks/externalLink5.xml"/><Relationship Id="rId11" Type="http://schemas.openxmlformats.org/officeDocument/2006/relationships/worksheet" Target="worksheets/sheet8.xml"/><Relationship Id="rId33" Type="http://customschemas.google.com/relationships/workbookmetadata" Target="metadata"/><Relationship Id="rId10" Type="http://schemas.openxmlformats.org/officeDocument/2006/relationships/worksheet" Target="worksheets/sheet7.xml"/><Relationship Id="rId32" Type="http://schemas.openxmlformats.org/officeDocument/2006/relationships/externalLink" Target="externalLinks/externalLink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9.png"/><Relationship Id="rId3" Type="http://schemas.openxmlformats.org/officeDocument/2006/relationships/image" Target="../media/image8.png"/><Relationship Id="rId4"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0.png"/><Relationship Id="rId3" Type="http://schemas.openxmlformats.org/officeDocument/2006/relationships/image" Target="../media/image18.png"/><Relationship Id="rId4" Type="http://schemas.openxmlformats.org/officeDocument/2006/relationships/image" Target="../media/image19.jpg"/></Relationships>
</file>

<file path=xl/drawings/_rels/drawing16.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2.png"/><Relationship Id="rId3" Type="http://schemas.openxmlformats.org/officeDocument/2006/relationships/image" Target="../media/image2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29.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1.gi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1504950</xdr:colOff>
      <xdr:row>23</xdr:row>
      <xdr:rowOff>133350</xdr:rowOff>
    </xdr:from>
    <xdr:ext cx="11925300" cy="7258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2076450</xdr:colOff>
      <xdr:row>46</xdr:row>
      <xdr:rowOff>66675</xdr:rowOff>
    </xdr:from>
    <xdr:ext cx="9591675" cy="4381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2047875</xdr:colOff>
      <xdr:row>24</xdr:row>
      <xdr:rowOff>57150</xdr:rowOff>
    </xdr:from>
    <xdr:ext cx="9039225" cy="411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28</xdr:row>
      <xdr:rowOff>57150</xdr:rowOff>
    </xdr:from>
    <xdr:ext cx="18049875" cy="137541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1619250</xdr:colOff>
      <xdr:row>113</xdr:row>
      <xdr:rowOff>142875</xdr:rowOff>
    </xdr:from>
    <xdr:ext cx="5229225" cy="29527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781050</xdr:colOff>
      <xdr:row>166</xdr:row>
      <xdr:rowOff>47625</xdr:rowOff>
    </xdr:from>
    <xdr:ext cx="7038975" cy="79248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1619250</xdr:colOff>
      <xdr:row>113</xdr:row>
      <xdr:rowOff>142875</xdr:rowOff>
    </xdr:from>
    <xdr:ext cx="5229225" cy="36671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990600</xdr:colOff>
      <xdr:row>24</xdr:row>
      <xdr:rowOff>76200</xdr:rowOff>
    </xdr:from>
    <xdr:ext cx="8639175" cy="5010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1143000</xdr:colOff>
      <xdr:row>13</xdr:row>
      <xdr:rowOff>1057275</xdr:rowOff>
    </xdr:from>
    <xdr:ext cx="2019300" cy="676275"/>
    <xdr:sp>
      <xdr:nvSpPr>
        <xdr:cNvPr id="3" name="Shape 3"/>
        <xdr:cNvSpPr/>
      </xdr:nvSpPr>
      <xdr:spPr>
        <a:xfrm>
          <a:off x="4341113" y="3446625"/>
          <a:ext cx="2009775" cy="666750"/>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1143000</xdr:colOff>
      <xdr:row>13</xdr:row>
      <xdr:rowOff>2238375</xdr:rowOff>
    </xdr:from>
    <xdr:ext cx="2019300" cy="762000"/>
    <xdr:sp>
      <xdr:nvSpPr>
        <xdr:cNvPr id="4" name="Shape 4"/>
        <xdr:cNvSpPr/>
      </xdr:nvSpPr>
      <xdr:spPr>
        <a:xfrm>
          <a:off x="4341113" y="3403763"/>
          <a:ext cx="2009775" cy="752475"/>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1028700</xdr:colOff>
      <xdr:row>13</xdr:row>
      <xdr:rowOff>3181350</xdr:rowOff>
    </xdr:from>
    <xdr:ext cx="2333625" cy="1104900"/>
    <xdr:sp>
      <xdr:nvSpPr>
        <xdr:cNvPr id="5" name="Shape 5"/>
        <xdr:cNvSpPr/>
      </xdr:nvSpPr>
      <xdr:spPr>
        <a:xfrm>
          <a:off x="4183950" y="3232313"/>
          <a:ext cx="2324100" cy="1095375"/>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1466850</xdr:colOff>
      <xdr:row>23</xdr:row>
      <xdr:rowOff>123825</xdr:rowOff>
    </xdr:from>
    <xdr:ext cx="6448425" cy="5838825"/>
    <xdr:pic>
      <xdr:nvPicPr>
        <xdr:cNvPr id="0" name="image10.png" title="Afbeeldi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1257300</xdr:colOff>
      <xdr:row>13</xdr:row>
      <xdr:rowOff>1114425</xdr:rowOff>
    </xdr:from>
    <xdr:ext cx="172402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1162050</xdr:colOff>
      <xdr:row>13</xdr:row>
      <xdr:rowOff>2295525</xdr:rowOff>
    </xdr:from>
    <xdr:ext cx="1962150" cy="60007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1104900</xdr:colOff>
      <xdr:row>13</xdr:row>
      <xdr:rowOff>3343275</xdr:rowOff>
    </xdr:from>
    <xdr:ext cx="2124075" cy="5715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1143000</xdr:colOff>
      <xdr:row>13</xdr:row>
      <xdr:rowOff>1057275</xdr:rowOff>
    </xdr:from>
    <xdr:ext cx="2019300" cy="676275"/>
    <xdr:sp>
      <xdr:nvSpPr>
        <xdr:cNvPr id="3" name="Shape 3"/>
        <xdr:cNvSpPr/>
      </xdr:nvSpPr>
      <xdr:spPr>
        <a:xfrm>
          <a:off x="4341113" y="3446625"/>
          <a:ext cx="2009775" cy="666750"/>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1143000</xdr:colOff>
      <xdr:row>13</xdr:row>
      <xdr:rowOff>2238375</xdr:rowOff>
    </xdr:from>
    <xdr:ext cx="2019300" cy="762000"/>
    <xdr:sp>
      <xdr:nvSpPr>
        <xdr:cNvPr id="6" name="Shape 6"/>
        <xdr:cNvSpPr/>
      </xdr:nvSpPr>
      <xdr:spPr>
        <a:xfrm>
          <a:off x="4341113" y="3403763"/>
          <a:ext cx="2009775" cy="752475"/>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1028700</xdr:colOff>
      <xdr:row>13</xdr:row>
      <xdr:rowOff>3181350</xdr:rowOff>
    </xdr:from>
    <xdr:ext cx="2333625" cy="1104900"/>
    <xdr:sp>
      <xdr:nvSpPr>
        <xdr:cNvPr id="5" name="Shape 5"/>
        <xdr:cNvSpPr/>
      </xdr:nvSpPr>
      <xdr:spPr>
        <a:xfrm>
          <a:off x="4183950" y="3232313"/>
          <a:ext cx="2324100" cy="1095375"/>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304800</xdr:colOff>
      <xdr:row>29</xdr:row>
      <xdr:rowOff>161925</xdr:rowOff>
    </xdr:from>
    <xdr:ext cx="6210300" cy="31813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1171575</xdr:colOff>
      <xdr:row>27</xdr:row>
      <xdr:rowOff>152400</xdr:rowOff>
    </xdr:from>
    <xdr:ext cx="9010650" cy="453390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1257300</xdr:colOff>
      <xdr:row>24</xdr:row>
      <xdr:rowOff>142875</xdr:rowOff>
    </xdr:from>
    <xdr:ext cx="11087100" cy="55340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23</xdr:row>
      <xdr:rowOff>104775</xdr:rowOff>
    </xdr:from>
    <xdr:ext cx="9601200" cy="860107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30</xdr:row>
      <xdr:rowOff>19050</xdr:rowOff>
    </xdr:from>
    <xdr:ext cx="5867400" cy="446722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1304925</xdr:colOff>
      <xdr:row>10</xdr:row>
      <xdr:rowOff>152400</xdr:rowOff>
    </xdr:from>
    <xdr:ext cx="4762500" cy="2133600"/>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476250</xdr:colOff>
      <xdr:row>23</xdr:row>
      <xdr:rowOff>161925</xdr:rowOff>
    </xdr:from>
    <xdr:ext cx="8410575" cy="5724525"/>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77</xdr:row>
      <xdr:rowOff>0</xdr:rowOff>
    </xdr:from>
    <xdr:ext cx="304800" cy="314325"/>
    <xdr:sp>
      <xdr:nvSpPr>
        <xdr:cNvPr id="7" name="Shape 7"/>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77</xdr:row>
      <xdr:rowOff>0</xdr:rowOff>
    </xdr:from>
    <xdr:ext cx="304800" cy="314325"/>
    <xdr:sp>
      <xdr:nvSpPr>
        <xdr:cNvPr id="7" name="Shape 7"/>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695325</xdr:colOff>
      <xdr:row>26</xdr:row>
      <xdr:rowOff>9525</xdr:rowOff>
    </xdr:from>
    <xdr:ext cx="11582400" cy="6915150"/>
    <xdr:pic>
      <xdr:nvPicPr>
        <xdr:cNvPr id="0" name="image2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342900</xdr:colOff>
      <xdr:row>25</xdr:row>
      <xdr:rowOff>142875</xdr:rowOff>
    </xdr:from>
    <xdr:ext cx="9963150" cy="6943725"/>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1143000</xdr:colOff>
      <xdr:row>71</xdr:row>
      <xdr:rowOff>95250</xdr:rowOff>
    </xdr:from>
    <xdr:ext cx="5391150" cy="30765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0</xdr:colOff>
      <xdr:row>80</xdr:row>
      <xdr:rowOff>1009650</xdr:rowOff>
    </xdr:from>
    <xdr:ext cx="5153025" cy="3448050"/>
    <xdr:pic>
      <xdr:nvPicPr>
        <xdr:cNvPr descr="Polyethylene Terephthalate - an overview | ScienceDirect Topics" id="0" name="image19.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13</xdr:row>
      <xdr:rowOff>419100</xdr:rowOff>
    </xdr:from>
    <xdr:ext cx="3867150" cy="895350"/>
    <xdr:pic>
      <xdr:nvPicPr>
        <xdr:cNvPr descr="Catalytic hydrogenation of benzene to cyclohexane with a raney-nickel catalyst"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200025</xdr:colOff>
      <xdr:row>24</xdr:row>
      <xdr:rowOff>9525</xdr:rowOff>
    </xdr:from>
    <xdr:ext cx="11610975" cy="5734050"/>
    <xdr:pic>
      <xdr:nvPicPr>
        <xdr:cNvPr id="0" name="image2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638175</xdr:colOff>
      <xdr:row>29</xdr:row>
      <xdr:rowOff>85725</xdr:rowOff>
    </xdr:from>
    <xdr:ext cx="4238625" cy="3267075"/>
    <xdr:pic>
      <xdr:nvPicPr>
        <xdr:cNvPr descr="Cyclohexane Market Size, Share Trends Report, 2025" id="0" name="image2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23</xdr:row>
      <xdr:rowOff>95250</xdr:rowOff>
    </xdr:from>
    <xdr:ext cx="12534900" cy="626745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28</xdr:row>
      <xdr:rowOff>19050</xdr:rowOff>
    </xdr:from>
    <xdr:ext cx="5943600" cy="3257550"/>
    <xdr:pic>
      <xdr:nvPicPr>
        <xdr:cNvPr id="0" name="image2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819150</xdr:colOff>
      <xdr:row>26</xdr:row>
      <xdr:rowOff>66675</xdr:rowOff>
    </xdr:from>
    <xdr:ext cx="9401175" cy="5200650"/>
    <xdr:pic>
      <xdr:nvPicPr>
        <xdr:cNvPr id="0" name="image30.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857250</xdr:colOff>
      <xdr:row>31</xdr:row>
      <xdr:rowOff>142875</xdr:rowOff>
    </xdr:from>
    <xdr:ext cx="5067300" cy="3600450"/>
    <xdr:pic>
      <xdr:nvPicPr>
        <xdr:cNvPr id="0" name="image2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8</xdr:row>
      <xdr:rowOff>0</xdr:rowOff>
    </xdr:from>
    <xdr:ext cx="9525" cy="9525"/>
    <xdr:pic>
      <xdr:nvPicPr>
        <xdr:cNvPr id="0" name="image31.gif"/>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20AB5614\Process%20datasheet_O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848DF8A\E1&amp;E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ersonal/pibarragonzale_tudelft_nl/Documents/Documents/Laptop%202025/Industrial%20Ecology%20Project/2025/Clusters%20info/Rotterdam/Process%20datasheet_A3&amp;E6_Mass&amp;Energy.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526E89C\Process%20datasheet_A3&amp;E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95078A4\Process%20datasheet_M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820C6505\Process%20datasheet_E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29A07A7\Process%20datasheet_M4%20(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overview"/>
      <sheetName val="Equipment-Stream Nomenclature"/>
      <sheetName val="Flow diagram-Description"/>
      <sheetName val="Aspen Flow diagram-Mod.Strategy"/>
      <sheetName val="Inputs and assumptions"/>
      <sheetName val="Equipment list and costs"/>
      <sheetName val="Mass balances"/>
      <sheetName val="Energy balances"/>
      <sheetName val="Referenc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description"/>
      <sheetName val="Equipment Nomenclature"/>
      <sheetName val="Flow diagram"/>
      <sheetName val="Aspen Flow diagram"/>
      <sheetName val="Inputs and assumptions"/>
      <sheetName val="Equipment list and costs"/>
      <sheetName val="Mass balances"/>
      <sheetName val="Energy balances"/>
      <sheetName val="Referenc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overview"/>
      <sheetName val="Equipment-Stream Nomenclature"/>
      <sheetName val="Flow diagram-Description"/>
      <sheetName val="Aspen Flow diagram-Mod.Strategy"/>
      <sheetName val="Inputs and assumptions"/>
      <sheetName val="Mass balances"/>
      <sheetName val="Energy balances"/>
      <sheetName val="Calibration &amp; Validation (pend)"/>
      <sheetName val="Referenc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overview"/>
      <sheetName val="Equipment-Stream Nomenclature"/>
      <sheetName val="Flow diagram-Description"/>
      <sheetName val="Aspen Flow diagram-Mod.Strategy"/>
      <sheetName val="Inputs and assumptions"/>
      <sheetName val="Equipment list and costs"/>
      <sheetName val="Mass balances"/>
      <sheetName val="Energy balances"/>
      <sheetName val="Calibration &amp; Validation"/>
      <sheetName val="Pinch analysis"/>
      <sheetName 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overview"/>
      <sheetName val="Equipment-Stream Nomenclature"/>
      <sheetName val="Flow diagram-Description"/>
      <sheetName val="Aspen Flow diagram-Mod.Strategy"/>
      <sheetName val="Inputs and assumptions"/>
      <sheetName val="Equipment list and costs"/>
      <sheetName val="Mass balances"/>
      <sheetName val="Energy balances"/>
      <sheetName 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description"/>
      <sheetName val="Equipment Nomenclature"/>
      <sheetName val="Flow diagram"/>
      <sheetName val="Aspen Flow diagram"/>
      <sheetName val="Inputs and assumptions"/>
      <sheetName val="Equipment list and costs"/>
      <sheetName val="Mass balances"/>
      <sheetName val="Energy balances"/>
      <sheetName 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overview"/>
      <sheetName val="Equipment-Stream Nomenclature"/>
      <sheetName val="Flow diagram-Description"/>
      <sheetName val="Aspen Flow diagram-Mod.Strategy"/>
      <sheetName val="Inputs and assumptions"/>
      <sheetName val="Equipment list and costs"/>
      <sheetName val="Mass balances"/>
      <sheetName val="Energy balances"/>
      <sheetName 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ables/table1.xml><?xml version="1.0" encoding="utf-8"?>
<table xmlns="http://schemas.openxmlformats.org/spreadsheetml/2006/main" ref="A1:K13" displayName="Energy_KPI_export_table" name="Energy_KPI_export_table" id="1">
  <tableColumns count="11">
    <tableColumn name="Company" id="1"/>
    <tableColumn name="Very low pressure steam" id="2"/>
    <tableColumn name="Low pressure steam" id="3"/>
    <tableColumn name="Mid pressure steam" id="4"/>
    <tableColumn name="High pressure steam" id="5"/>
    <tableColumn name="Very High pressure steam " id="6"/>
    <tableColumn name="Cooling water" id="7"/>
    <tableColumn name="Chilled water" id="8"/>
    <tableColumn name="Fired Heat" id="9"/>
    <tableColumn name="Electricity - kWh/y" id="10"/>
    <tableColumn name="Input_Output" id="11"/>
  </tableColumns>
  <tableStyleInfo name="Energy_KPI_ex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commonchemistry.cas.org/detail?cas_rn=14798-03-9"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farm-energy.extension.org/commercial-and-large-scale-biodiesel-production-systems/"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en.wikipedia.org/wiki/Cyclohexane"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2" Type="http://schemas.openxmlformats.org/officeDocument/2006/relationships/vmlDrawing" Target="../drawings/vmlDrawing4.vml"/><Relationship Id="rId3" Type="http://schemas.openxmlformats.org/officeDocument/2006/relationships/oleObject" Target="../embeddings/Microsoft_Visio_Drawing.vsdx"/><Relationship Id="rId4" Type="http://schemas.openxmlformats.org/officeDocument/2006/relationships/oleObject" Target="../embeddings/oleObject1.bin"/></Relationships>
</file>

<file path=xl/worksheets/_rels/sheet19.xml.rels><?xml version="1.0" encoding="UTF-8" standalone="yes"?><Relationships xmlns="http://schemas.openxmlformats.org/package/2006/relationships"><Relationship Id="rId1" Type="http://schemas.openxmlformats.org/officeDocument/2006/relationships/hyperlink" Target="http://www.angelfire.com/vamp/saravanan/project/UREA_PROCESS_DESCRIPTION.htm" TargetMode="External"/><Relationship Id="rId2" Type="http://schemas.openxmlformats.org/officeDocument/2006/relationships/hyperlink" Target="https://www.yara.com/chemical-and-environmental-solutions/animal-nutrition/animal-grade-urea/"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6.14"/>
    <col customWidth="1" min="3" max="3" width="28.29"/>
    <col customWidth="1" min="4" max="4" width="21.86"/>
    <col customWidth="1" min="6" max="6" width="16.43"/>
    <col customWidth="1" min="7" max="7" width="19.43"/>
    <col customWidth="1" min="8" max="8" width="19.29"/>
    <col customWidth="1" min="9" max="9" width="19.0"/>
    <col customWidth="1" min="10" max="10" width="24.57"/>
    <col customWidth="1" min="11" max="11" width="17.29"/>
  </cols>
  <sheetData>
    <row r="2">
      <c r="B2" s="1" t="s">
        <v>0</v>
      </c>
      <c r="I2" s="2">
        <f>Energy_KPI_export!I2</f>
        <v>599.125464</v>
      </c>
    </row>
    <row r="4">
      <c r="B4" s="3" t="s">
        <v>1</v>
      </c>
      <c r="E4" s="4"/>
      <c r="G4" s="4" t="s">
        <v>2</v>
      </c>
      <c r="J4" s="4"/>
      <c r="K4" s="4"/>
      <c r="N4" s="5" t="s">
        <v>1</v>
      </c>
    </row>
    <row r="5">
      <c r="B5" s="6" t="s">
        <v>3</v>
      </c>
      <c r="C5" s="6" t="s">
        <v>4</v>
      </c>
      <c r="D5" s="6" t="s">
        <v>5</v>
      </c>
      <c r="F5" s="7"/>
      <c r="G5" s="7"/>
      <c r="H5" s="5" t="s">
        <v>6</v>
      </c>
      <c r="I5" s="5" t="s">
        <v>7</v>
      </c>
      <c r="N5" s="7" t="s">
        <v>3</v>
      </c>
      <c r="O5" s="7" t="s">
        <v>4</v>
      </c>
      <c r="P5" s="7" t="s">
        <v>5</v>
      </c>
    </row>
    <row r="6">
      <c r="B6" s="6" t="s">
        <v>8</v>
      </c>
      <c r="C6" s="8">
        <f>'Natural Gas CHP'!C102</f>
        <v>0</v>
      </c>
      <c r="D6" s="8">
        <f>abs('Natural Gas CHP'!E102)</f>
        <v>611.1375816</v>
      </c>
      <c r="F6" s="9"/>
      <c r="G6" s="5" t="s">
        <v>9</v>
      </c>
      <c r="H6" s="10">
        <v>4143.88362024</v>
      </c>
      <c r="I6" s="7">
        <v>14981.73308856</v>
      </c>
      <c r="N6" s="7" t="s">
        <v>8</v>
      </c>
      <c r="O6" s="9">
        <v>0.0</v>
      </c>
      <c r="P6" s="11">
        <v>696.860513401107</v>
      </c>
    </row>
    <row r="7">
      <c r="B7" s="6" t="s">
        <v>10</v>
      </c>
      <c r="C7" s="8">
        <f>'Natural Gas CHP'!C103</f>
        <v>0</v>
      </c>
      <c r="D7" s="8">
        <f>abs('Natural Gas CHP'!E103)</f>
        <v>511.7634157</v>
      </c>
      <c r="F7" s="9"/>
      <c r="G7" s="7"/>
      <c r="H7" s="9"/>
      <c r="I7" s="9"/>
      <c r="N7" s="7" t="s">
        <v>10</v>
      </c>
      <c r="O7" s="9">
        <v>0.0</v>
      </c>
      <c r="P7" s="11">
        <v>583.547350610586</v>
      </c>
    </row>
    <row r="8">
      <c r="B8" s="6" t="s">
        <v>11</v>
      </c>
      <c r="C8" s="8">
        <f>'Natural Gas CHP'!C104</f>
        <v>0</v>
      </c>
      <c r="D8" s="8">
        <f>abs('Natural Gas CHP'!E104)</f>
        <v>444.0698422</v>
      </c>
      <c r="F8" s="9"/>
      <c r="G8" s="7"/>
      <c r="H8" s="9"/>
      <c r="I8" s="9"/>
      <c r="N8" s="7" t="s">
        <v>11</v>
      </c>
      <c r="O8" s="9">
        <v>0.0</v>
      </c>
      <c r="P8" s="11">
        <v>506.358547619767</v>
      </c>
    </row>
    <row r="9">
      <c r="B9" s="6" t="s">
        <v>12</v>
      </c>
      <c r="C9" s="8">
        <f>'Natural Gas CHP'!C105</f>
        <v>940.5345933</v>
      </c>
      <c r="D9" s="8">
        <f>abs('Natural Gas CHP'!E105)</f>
        <v>0</v>
      </c>
      <c r="F9" s="9"/>
      <c r="G9" s="7"/>
      <c r="H9" s="9"/>
      <c r="I9" s="9"/>
      <c r="N9" s="7" t="s">
        <v>12</v>
      </c>
      <c r="O9" s="9">
        <v>1072.461323527674</v>
      </c>
      <c r="P9" s="9">
        <v>0.0</v>
      </c>
    </row>
    <row r="10">
      <c r="B10" s="6" t="s">
        <v>13</v>
      </c>
      <c r="C10" s="8">
        <f>'Natural Gas CHP'!C106</f>
        <v>599.125464</v>
      </c>
      <c r="D10" s="8">
        <f>abs('Natural Gas CHP'!E106)</f>
        <v>0</v>
      </c>
      <c r="F10" s="9"/>
      <c r="G10" s="7"/>
      <c r="H10" s="9"/>
      <c r="I10" s="9"/>
      <c r="N10" s="7" t="s">
        <v>13</v>
      </c>
      <c r="O10" s="9">
        <v>683.1634823420541</v>
      </c>
      <c r="P10" s="9">
        <v>0.0</v>
      </c>
    </row>
    <row r="11">
      <c r="B11" s="12" t="s">
        <v>14</v>
      </c>
      <c r="C11" s="8">
        <f>'Natural Gas CHP'!D109</f>
        <v>362395687.4</v>
      </c>
      <c r="D11" s="8">
        <f>abs('Natural Gas CHP'!F109)</f>
        <v>735819522</v>
      </c>
      <c r="F11" s="7"/>
      <c r="G11" s="7"/>
      <c r="H11" s="7"/>
      <c r="I11" s="7"/>
      <c r="N11" s="5" t="s">
        <v>14</v>
      </c>
      <c r="O11" s="10">
        <v>4.132281377992391E8</v>
      </c>
      <c r="P11" s="13">
        <v>8.39031316897596E8</v>
      </c>
    </row>
    <row r="12">
      <c r="G12" s="7"/>
      <c r="H12" s="7"/>
      <c r="I12" s="7"/>
    </row>
    <row r="13">
      <c r="H13" s="9"/>
      <c r="I13" s="9"/>
    </row>
    <row r="14">
      <c r="B14" s="3" t="s">
        <v>15</v>
      </c>
      <c r="E14" s="4"/>
      <c r="G14" s="4" t="s">
        <v>16</v>
      </c>
      <c r="J14" s="4"/>
      <c r="K14" s="4"/>
    </row>
    <row r="15">
      <c r="B15" s="6" t="s">
        <v>3</v>
      </c>
      <c r="C15" s="6" t="s">
        <v>4</v>
      </c>
      <c r="D15" s="6" t="s">
        <v>5</v>
      </c>
      <c r="G15" s="7" t="s">
        <v>3</v>
      </c>
      <c r="H15" s="7" t="s">
        <v>4</v>
      </c>
      <c r="I15" s="7" t="s">
        <v>5</v>
      </c>
      <c r="K15" s="7"/>
    </row>
    <row r="16">
      <c r="B16" s="6" t="s">
        <v>8</v>
      </c>
      <c r="C16" s="14">
        <f>'Olefins Production Plant'!C125</f>
        <v>11814.98721</v>
      </c>
      <c r="D16" s="14">
        <f>'Olefins Production Plant'!E125</f>
        <v>-4038.183967</v>
      </c>
      <c r="G16" s="7" t="s">
        <v>8</v>
      </c>
      <c r="H16" s="15">
        <v>377.10548829666556</v>
      </c>
      <c r="I16" s="11">
        <v>183.953288233546</v>
      </c>
      <c r="K16" s="9"/>
    </row>
    <row r="17">
      <c r="B17" s="6" t="s">
        <v>10</v>
      </c>
      <c r="C17" s="14">
        <f>'Olefins Production Plant'!C126</f>
        <v>9900.579713</v>
      </c>
      <c r="D17" s="14">
        <f>'Olefins Production Plant'!E126</f>
        <v>-15225.43664</v>
      </c>
      <c r="G17" s="7" t="s">
        <v>10</v>
      </c>
      <c r="H17" s="15">
        <v>211.18307209785297</v>
      </c>
      <c r="I17" s="11">
        <v>670.839293355328</v>
      </c>
      <c r="K17" s="9"/>
    </row>
    <row r="18">
      <c r="B18" s="6" t="s">
        <v>11</v>
      </c>
      <c r="C18" s="14">
        <f>'Olefins Production Plant'!C127</f>
        <v>0</v>
      </c>
      <c r="D18" s="14">
        <f>'Olefins Production Plant'!E127</f>
        <v>-9069.093992</v>
      </c>
      <c r="G18" s="7" t="s">
        <v>11</v>
      </c>
      <c r="H18" s="15">
        <v>0.0</v>
      </c>
      <c r="I18" s="11">
        <v>708.810747666621</v>
      </c>
      <c r="K18" s="9"/>
    </row>
    <row r="19">
      <c r="B19" s="6" t="s">
        <v>12</v>
      </c>
      <c r="C19" s="14">
        <f>'Olefins Production Plant'!C128</f>
        <v>20303.52284</v>
      </c>
      <c r="D19" s="14">
        <f>'Olefins Production Plant'!E128</f>
        <v>0</v>
      </c>
      <c r="G19" s="7" t="s">
        <v>12</v>
      </c>
      <c r="H19" s="15">
        <v>4134.383030103616</v>
      </c>
      <c r="I19" s="9">
        <v>0.0</v>
      </c>
      <c r="K19" s="9"/>
    </row>
    <row r="20">
      <c r="B20" s="6" t="s">
        <v>17</v>
      </c>
      <c r="C20" s="14">
        <f>'Olefins Production Plant'!C130</f>
        <v>0</v>
      </c>
      <c r="D20" s="14">
        <f>'Olefins Production Plant'!E130</f>
        <v>-2979.37548</v>
      </c>
      <c r="G20" s="5" t="s">
        <v>14</v>
      </c>
      <c r="H20" s="10">
        <v>1.9199038189765894E8</v>
      </c>
      <c r="I20" s="7">
        <v>0.0</v>
      </c>
      <c r="K20" s="7"/>
    </row>
    <row r="21">
      <c r="B21" s="12" t="s">
        <v>14</v>
      </c>
      <c r="C21" s="16">
        <f>'Olefins Production Plant'!D134</f>
        <v>263868875.1</v>
      </c>
      <c r="D21" s="16">
        <f>abs('Olefins Production Plant'!F134)</f>
        <v>56745851.51</v>
      </c>
    </row>
    <row r="22">
      <c r="G22" s="7"/>
      <c r="H22" s="15"/>
      <c r="I22" s="7"/>
      <c r="J22" s="9"/>
      <c r="K22" s="7"/>
    </row>
    <row r="23">
      <c r="G23" s="7"/>
      <c r="H23" s="7"/>
      <c r="I23" s="7"/>
      <c r="J23" s="7"/>
      <c r="K23" s="7"/>
    </row>
    <row r="24">
      <c r="B24" s="4" t="s">
        <v>18</v>
      </c>
      <c r="E24" s="4"/>
      <c r="G24" s="4" t="s">
        <v>19</v>
      </c>
      <c r="J24" s="4"/>
      <c r="K24" s="4"/>
    </row>
    <row r="25">
      <c r="B25" s="7" t="s">
        <v>3</v>
      </c>
      <c r="C25" s="7" t="s">
        <v>4</v>
      </c>
      <c r="D25" s="7" t="s">
        <v>5</v>
      </c>
      <c r="G25" s="7" t="s">
        <v>3</v>
      </c>
      <c r="H25" s="7" t="s">
        <v>4</v>
      </c>
      <c r="I25" s="7" t="s">
        <v>5</v>
      </c>
      <c r="K25" s="7"/>
    </row>
    <row r="26">
      <c r="B26" s="7" t="s">
        <v>20</v>
      </c>
      <c r="C26" s="9">
        <v>1982.317447157702</v>
      </c>
      <c r="D26" s="11">
        <v>1923.4683031424</v>
      </c>
      <c r="G26" s="7" t="s">
        <v>20</v>
      </c>
      <c r="H26" s="9">
        <v>0.0</v>
      </c>
      <c r="I26" s="11">
        <v>52.0636298407498</v>
      </c>
      <c r="K26" s="9"/>
    </row>
    <row r="27">
      <c r="B27" s="7" t="s">
        <v>8</v>
      </c>
      <c r="C27" s="9">
        <v>1462.2693077848073</v>
      </c>
      <c r="D27" s="11">
        <v>428.768891264</v>
      </c>
      <c r="G27" s="7" t="s">
        <v>8</v>
      </c>
      <c r="H27" s="9">
        <v>0.0</v>
      </c>
      <c r="I27" s="11">
        <v>63.9693454839072</v>
      </c>
      <c r="K27" s="9"/>
    </row>
    <row r="28">
      <c r="B28" s="7" t="s">
        <v>10</v>
      </c>
      <c r="C28" s="9">
        <v>3899.1239732480003</v>
      </c>
      <c r="D28" s="9">
        <v>0.0</v>
      </c>
      <c r="G28" s="7" t="s">
        <v>10</v>
      </c>
      <c r="H28" s="9">
        <v>445.0823619563026</v>
      </c>
      <c r="I28" s="9">
        <v>0.0</v>
      </c>
      <c r="K28" s="9"/>
    </row>
    <row r="29">
      <c r="B29" s="7" t="s">
        <v>11</v>
      </c>
      <c r="C29" s="9">
        <v>1489.084722048</v>
      </c>
      <c r="D29" s="9">
        <v>0.0</v>
      </c>
      <c r="G29" s="7" t="s">
        <v>11</v>
      </c>
      <c r="H29" s="9">
        <v>0.0</v>
      </c>
      <c r="I29" s="9">
        <v>0.0</v>
      </c>
      <c r="K29" s="9"/>
    </row>
    <row r="30">
      <c r="B30" s="7" t="s">
        <v>12</v>
      </c>
      <c r="C30" s="9">
        <v>6917.194361092692</v>
      </c>
      <c r="D30" s="9">
        <v>0.0</v>
      </c>
      <c r="G30" s="7" t="s">
        <v>12</v>
      </c>
      <c r="H30" s="9">
        <v>659.3427175089506</v>
      </c>
      <c r="I30" s="9">
        <v>0.0</v>
      </c>
      <c r="K30" s="9"/>
    </row>
    <row r="31">
      <c r="B31" s="5" t="s">
        <v>21</v>
      </c>
      <c r="C31" s="9">
        <v>87.77564141696</v>
      </c>
      <c r="D31" s="9">
        <v>0.0</v>
      </c>
      <c r="G31" s="5" t="s">
        <v>14</v>
      </c>
      <c r="H31" s="10">
        <v>1.9426830933466855E7</v>
      </c>
      <c r="I31" s="7">
        <v>0.0</v>
      </c>
      <c r="K31" s="9"/>
    </row>
    <row r="32">
      <c r="B32" s="7" t="s">
        <v>14</v>
      </c>
      <c r="C32" s="10">
        <v>4.266537340486463E7</v>
      </c>
      <c r="D32" s="7">
        <v>0.0</v>
      </c>
      <c r="G32" s="7"/>
      <c r="H32" s="7"/>
      <c r="I32" s="7"/>
      <c r="J32" s="7"/>
      <c r="K32" s="7"/>
    </row>
    <row r="33">
      <c r="B33" s="7"/>
      <c r="C33" s="9"/>
      <c r="D33" s="7"/>
      <c r="E33" s="9"/>
      <c r="G33" s="7"/>
      <c r="H33" s="9"/>
      <c r="I33" s="7"/>
      <c r="J33" s="9"/>
      <c r="K33" s="7"/>
    </row>
    <row r="34">
      <c r="B34" s="7"/>
      <c r="C34" s="7"/>
      <c r="D34" s="11"/>
      <c r="E34" s="7"/>
      <c r="G34" s="7"/>
      <c r="H34" s="7"/>
      <c r="I34" s="7"/>
      <c r="J34" s="7"/>
      <c r="K34" s="7"/>
    </row>
    <row r="35">
      <c r="C35" s="7"/>
      <c r="E35" s="7"/>
      <c r="H35" s="7"/>
      <c r="J35" s="7"/>
    </row>
    <row r="37">
      <c r="B37" s="17" t="s">
        <v>22</v>
      </c>
      <c r="C37" s="18" t="s">
        <v>23</v>
      </c>
      <c r="D37" s="19" t="s">
        <v>24</v>
      </c>
      <c r="E37" s="19" t="s">
        <v>25</v>
      </c>
      <c r="F37" s="19" t="s">
        <v>26</v>
      </c>
      <c r="G37" s="19" t="s">
        <v>27</v>
      </c>
      <c r="H37" s="19" t="s">
        <v>28</v>
      </c>
      <c r="I37" s="19" t="s">
        <v>29</v>
      </c>
      <c r="J37" s="20" t="s">
        <v>30</v>
      </c>
      <c r="K37" s="20" t="s">
        <v>31</v>
      </c>
    </row>
    <row r="38">
      <c r="B38" s="21" t="s">
        <v>32</v>
      </c>
      <c r="C38" s="22" t="s">
        <v>33</v>
      </c>
      <c r="D38" s="23" t="s">
        <v>34</v>
      </c>
      <c r="E38" s="23" t="s">
        <v>35</v>
      </c>
      <c r="F38" s="23" t="s">
        <v>35</v>
      </c>
      <c r="G38" s="24" t="str">
        <f>C11-#REF!</f>
        <v>#REF!</v>
      </c>
      <c r="H38" s="25" t="str">
        <f t="shared" ref="H38:H81" si="1">if(G38 &lt; 0,"Surplus","Deficit")</f>
        <v>#REF!</v>
      </c>
      <c r="I38" s="25" t="str">
        <f t="shared" ref="I38:I81" si="2">IF(G38&lt;0,-G38,0)</f>
        <v>#REF!</v>
      </c>
      <c r="J38" s="26"/>
      <c r="K38" s="9">
        <f>C11</f>
        <v>362395687.4</v>
      </c>
    </row>
    <row r="39">
      <c r="B39" s="27"/>
      <c r="C39" s="28"/>
      <c r="D39" s="5" t="s">
        <v>8</v>
      </c>
      <c r="E39" s="5" t="s">
        <v>36</v>
      </c>
      <c r="F39" s="5" t="s">
        <v>36</v>
      </c>
      <c r="G39" s="10" t="str">
        <f t="shared" ref="G39:G40" si="3">C16-#REF!</f>
        <v>#REF!</v>
      </c>
      <c r="H39" s="2" t="str">
        <f t="shared" si="1"/>
        <v>#REF!</v>
      </c>
      <c r="I39" s="2" t="str">
        <f t="shared" si="2"/>
        <v>#REF!</v>
      </c>
      <c r="J39" s="29"/>
      <c r="K39" s="2" t="str">
        <f>#REF!</f>
        <v>#REF!</v>
      </c>
    </row>
    <row r="40">
      <c r="B40" s="27"/>
      <c r="C40" s="28"/>
      <c r="D40" s="30" t="s">
        <v>37</v>
      </c>
      <c r="E40" s="30" t="s">
        <v>36</v>
      </c>
      <c r="F40" s="30" t="s">
        <v>36</v>
      </c>
      <c r="G40" s="31" t="str">
        <f t="shared" si="3"/>
        <v>#REF!</v>
      </c>
      <c r="H40" s="32" t="str">
        <f t="shared" si="1"/>
        <v>#REF!</v>
      </c>
      <c r="I40" s="32" t="str">
        <f t="shared" si="2"/>
        <v>#REF!</v>
      </c>
      <c r="J40" s="29"/>
      <c r="K40" s="9">
        <f>C17</f>
        <v>9900.579713</v>
      </c>
    </row>
    <row r="41">
      <c r="B41" s="27"/>
      <c r="C41" s="28"/>
      <c r="D41" s="5" t="s">
        <v>34</v>
      </c>
      <c r="E41" s="5" t="s">
        <v>36</v>
      </c>
      <c r="F41" s="5" t="s">
        <v>36</v>
      </c>
      <c r="G41" s="10">
        <f>C20-D21</f>
        <v>-56745851.51</v>
      </c>
      <c r="H41" s="2" t="str">
        <f t="shared" si="1"/>
        <v>Surplus</v>
      </c>
      <c r="I41" s="10">
        <f t="shared" si="2"/>
        <v>56745851.51</v>
      </c>
      <c r="J41" s="29"/>
      <c r="K41" s="2">
        <f>D21</f>
        <v>56745851.51</v>
      </c>
    </row>
    <row r="42">
      <c r="B42" s="27"/>
      <c r="C42" s="28"/>
      <c r="D42" s="5" t="s">
        <v>20</v>
      </c>
      <c r="E42" s="5" t="s">
        <v>38</v>
      </c>
      <c r="F42" s="5" t="s">
        <v>38</v>
      </c>
      <c r="G42" s="10">
        <f t="shared" ref="G42:G43" si="4">C26-D26</f>
        <v>58.84914402</v>
      </c>
      <c r="H42" s="2" t="str">
        <f t="shared" si="1"/>
        <v>Deficit</v>
      </c>
      <c r="I42" s="2">
        <f t="shared" si="2"/>
        <v>0</v>
      </c>
      <c r="J42" s="29"/>
      <c r="K42" s="9">
        <f t="shared" ref="K42:K43" si="5">D26</f>
        <v>1923.468303</v>
      </c>
    </row>
    <row r="43">
      <c r="B43" s="27"/>
      <c r="C43" s="28"/>
      <c r="D43" s="5" t="s">
        <v>8</v>
      </c>
      <c r="E43" s="5" t="s">
        <v>38</v>
      </c>
      <c r="F43" s="5" t="s">
        <v>38</v>
      </c>
      <c r="G43" s="10">
        <f t="shared" si="4"/>
        <v>1033.500417</v>
      </c>
      <c r="H43" s="2" t="str">
        <f t="shared" si="1"/>
        <v>Deficit</v>
      </c>
      <c r="I43" s="2">
        <f t="shared" si="2"/>
        <v>0</v>
      </c>
      <c r="J43" s="29"/>
      <c r="K43" s="9">
        <f t="shared" si="5"/>
        <v>428.7688913</v>
      </c>
    </row>
    <row r="44">
      <c r="B44" s="27"/>
      <c r="C44" s="28"/>
      <c r="D44" s="5" t="s">
        <v>8</v>
      </c>
      <c r="E44" s="5" t="s">
        <v>39</v>
      </c>
      <c r="F44" s="5" t="s">
        <v>39</v>
      </c>
      <c r="G44" s="10">
        <f t="shared" ref="G44:G45" si="6">H16-I16</f>
        <v>193.1522001</v>
      </c>
      <c r="H44" s="2" t="str">
        <f t="shared" si="1"/>
        <v>Deficit</v>
      </c>
      <c r="I44" s="2">
        <f t="shared" si="2"/>
        <v>0</v>
      </c>
      <c r="J44" s="29"/>
      <c r="K44" s="9">
        <f>I16</f>
        <v>183.9532882</v>
      </c>
    </row>
    <row r="45">
      <c r="B45" s="33"/>
      <c r="C45" s="34"/>
      <c r="D45" s="35" t="s">
        <v>37</v>
      </c>
      <c r="E45" s="35" t="s">
        <v>39</v>
      </c>
      <c r="F45" s="35" t="s">
        <v>39</v>
      </c>
      <c r="G45" s="36">
        <f t="shared" si="6"/>
        <v>-459.6562213</v>
      </c>
      <c r="H45" s="37" t="str">
        <f t="shared" si="1"/>
        <v>Surplus</v>
      </c>
      <c r="I45" s="31">
        <f t="shared" si="2"/>
        <v>459.6562213</v>
      </c>
      <c r="J45" s="38"/>
      <c r="K45" s="15">
        <f>H17</f>
        <v>211.1830721</v>
      </c>
    </row>
    <row r="46">
      <c r="B46" s="39" t="s">
        <v>40</v>
      </c>
      <c r="C46" s="18" t="s">
        <v>41</v>
      </c>
      <c r="D46" s="40" t="s">
        <v>20</v>
      </c>
      <c r="E46" s="40" t="s">
        <v>42</v>
      </c>
      <c r="F46" s="40" t="s">
        <v>38</v>
      </c>
      <c r="G46" s="41">
        <f>G42-I26</f>
        <v>6.785514175</v>
      </c>
      <c r="H46" s="42" t="str">
        <f t="shared" si="1"/>
        <v>Deficit</v>
      </c>
      <c r="I46" s="43">
        <f t="shared" si="2"/>
        <v>0</v>
      </c>
      <c r="J46" s="44"/>
      <c r="K46" s="9">
        <f>I26</f>
        <v>52.06362984</v>
      </c>
    </row>
    <row r="47">
      <c r="B47" s="22" t="s">
        <v>43</v>
      </c>
      <c r="C47" s="22" t="s">
        <v>44</v>
      </c>
      <c r="D47" s="45" t="s">
        <v>8</v>
      </c>
      <c r="E47" s="45" t="s">
        <v>35</v>
      </c>
      <c r="F47" s="45" t="s">
        <v>36</v>
      </c>
      <c r="G47" s="43" t="str">
        <f>G39-#REF!</f>
        <v>#REF!</v>
      </c>
      <c r="H47" s="43" t="str">
        <f t="shared" si="1"/>
        <v>#REF!</v>
      </c>
      <c r="I47" s="43" t="str">
        <f t="shared" si="2"/>
        <v>#REF!</v>
      </c>
      <c r="J47" s="46" t="s">
        <v>45</v>
      </c>
      <c r="K47" s="2" t="str">
        <f>I49-K48</f>
        <v>#REF!</v>
      </c>
    </row>
    <row r="48">
      <c r="B48" s="28"/>
      <c r="C48" s="28"/>
      <c r="D48" s="5" t="s">
        <v>8</v>
      </c>
      <c r="E48" s="5" t="s">
        <v>35</v>
      </c>
      <c r="F48" s="5" t="s">
        <v>38</v>
      </c>
      <c r="G48" s="2" t="str">
        <f t="shared" ref="G48:G49" si="7">G43-#REF!</f>
        <v>#REF!</v>
      </c>
      <c r="H48" s="2" t="str">
        <f t="shared" si="1"/>
        <v>#REF!</v>
      </c>
      <c r="I48" s="2" t="str">
        <f t="shared" si="2"/>
        <v>#REF!</v>
      </c>
      <c r="J48" s="29"/>
      <c r="K48" s="2" t="str">
        <f>G48</f>
        <v>#REF!</v>
      </c>
    </row>
    <row r="49">
      <c r="B49" s="28"/>
      <c r="C49" s="34"/>
      <c r="D49" s="47" t="s">
        <v>8</v>
      </c>
      <c r="E49" s="47" t="s">
        <v>35</v>
      </c>
      <c r="F49" s="47" t="s">
        <v>39</v>
      </c>
      <c r="G49" s="48" t="str">
        <f t="shared" si="7"/>
        <v>#REF!</v>
      </c>
      <c r="H49" s="48" t="str">
        <f t="shared" si="1"/>
        <v>#REF!</v>
      </c>
      <c r="I49" s="2" t="str">
        <f t="shared" si="2"/>
        <v>#REF!</v>
      </c>
      <c r="J49" s="38"/>
      <c r="K49" s="10">
        <f>G44</f>
        <v>193.1522001</v>
      </c>
    </row>
    <row r="50">
      <c r="B50" s="28"/>
      <c r="C50" s="49" t="s">
        <v>46</v>
      </c>
      <c r="D50" s="50" t="s">
        <v>8</v>
      </c>
      <c r="E50" s="50" t="s">
        <v>36</v>
      </c>
      <c r="F50" s="50" t="s">
        <v>38</v>
      </c>
      <c r="G50" s="51" t="str">
        <f>C27-I39</f>
        <v>#REF!</v>
      </c>
      <c r="H50" s="51" t="str">
        <f t="shared" si="1"/>
        <v>#REF!</v>
      </c>
      <c r="I50" s="51" t="str">
        <f t="shared" si="2"/>
        <v>#REF!</v>
      </c>
      <c r="J50" s="52" t="s">
        <v>47</v>
      </c>
    </row>
    <row r="51">
      <c r="B51" s="28"/>
      <c r="C51" s="28"/>
      <c r="D51" s="53" t="s">
        <v>8</v>
      </c>
      <c r="E51" s="53" t="s">
        <v>36</v>
      </c>
      <c r="F51" s="53" t="s">
        <v>39</v>
      </c>
      <c r="G51" s="54" t="str">
        <f>H16-I39</f>
        <v>#REF!</v>
      </c>
      <c r="H51" s="54" t="str">
        <f t="shared" si="1"/>
        <v>#REF!</v>
      </c>
      <c r="I51" s="54" t="str">
        <f t="shared" si="2"/>
        <v>#REF!</v>
      </c>
      <c r="J51" s="29"/>
    </row>
    <row r="52">
      <c r="B52" s="28"/>
      <c r="C52" s="34"/>
      <c r="D52" s="55" t="s">
        <v>8</v>
      </c>
      <c r="E52" s="55" t="s">
        <v>36</v>
      </c>
      <c r="F52" s="55" t="s">
        <v>39</v>
      </c>
      <c r="G52" s="56" t="str">
        <f>H16-#REF!</f>
        <v>#REF!</v>
      </c>
      <c r="H52" s="56" t="str">
        <f t="shared" si="1"/>
        <v>#REF!</v>
      </c>
      <c r="I52" s="56" t="str">
        <f t="shared" si="2"/>
        <v>#REF!</v>
      </c>
      <c r="J52" s="38"/>
    </row>
    <row r="53">
      <c r="B53" s="28"/>
      <c r="C53" s="57" t="s">
        <v>48</v>
      </c>
      <c r="D53" s="55" t="s">
        <v>8</v>
      </c>
      <c r="E53" s="55" t="s">
        <v>38</v>
      </c>
      <c r="F53" s="55" t="s">
        <v>36</v>
      </c>
      <c r="G53" s="58">
        <f>C16-I43</f>
        <v>11814.98721</v>
      </c>
      <c r="H53" s="56" t="str">
        <f t="shared" si="1"/>
        <v>Deficit</v>
      </c>
      <c r="I53" s="54">
        <f t="shared" si="2"/>
        <v>0</v>
      </c>
      <c r="J53" s="59" t="s">
        <v>49</v>
      </c>
    </row>
    <row r="54">
      <c r="B54" s="28"/>
      <c r="C54" s="49" t="s">
        <v>50</v>
      </c>
      <c r="D54" s="50" t="s">
        <v>8</v>
      </c>
      <c r="E54" s="50" t="s">
        <v>39</v>
      </c>
      <c r="F54" s="50" t="s">
        <v>36</v>
      </c>
      <c r="G54" s="60">
        <f>C16-I44</f>
        <v>11814.98721</v>
      </c>
      <c r="H54" s="51" t="str">
        <f t="shared" si="1"/>
        <v>Deficit</v>
      </c>
      <c r="I54" s="51">
        <f t="shared" si="2"/>
        <v>0</v>
      </c>
      <c r="J54" s="52" t="s">
        <v>51</v>
      </c>
    </row>
    <row r="55">
      <c r="B55" s="28"/>
      <c r="C55" s="34"/>
      <c r="D55" s="55" t="s">
        <v>8</v>
      </c>
      <c r="E55" s="55" t="s">
        <v>39</v>
      </c>
      <c r="F55" s="55" t="s">
        <v>38</v>
      </c>
      <c r="G55" s="58">
        <f>C27-I44</f>
        <v>1462.269308</v>
      </c>
      <c r="H55" s="56" t="str">
        <f t="shared" si="1"/>
        <v>Deficit</v>
      </c>
      <c r="I55" s="54">
        <f t="shared" si="2"/>
        <v>0</v>
      </c>
      <c r="J55" s="38"/>
    </row>
    <row r="56">
      <c r="B56" s="28"/>
      <c r="C56" s="49" t="s">
        <v>52</v>
      </c>
      <c r="D56" s="50" t="s">
        <v>8</v>
      </c>
      <c r="E56" s="50" t="s">
        <v>42</v>
      </c>
      <c r="F56" s="50" t="s">
        <v>36</v>
      </c>
      <c r="G56" s="51" t="str">
        <f>G39-I27</f>
        <v>#REF!</v>
      </c>
      <c r="H56" s="51" t="str">
        <f t="shared" si="1"/>
        <v>#REF!</v>
      </c>
      <c r="I56" s="51" t="str">
        <f t="shared" si="2"/>
        <v>#REF!</v>
      </c>
      <c r="J56" s="52" t="s">
        <v>53</v>
      </c>
    </row>
    <row r="57">
      <c r="B57" s="28"/>
      <c r="C57" s="28"/>
      <c r="D57" s="53" t="s">
        <v>8</v>
      </c>
      <c r="E57" s="53" t="s">
        <v>42</v>
      </c>
      <c r="F57" s="53" t="s">
        <v>38</v>
      </c>
      <c r="G57" s="61">
        <f>G43-I27</f>
        <v>969.531071</v>
      </c>
      <c r="H57" s="54" t="str">
        <f t="shared" si="1"/>
        <v>Deficit</v>
      </c>
      <c r="I57" s="54">
        <f t="shared" si="2"/>
        <v>0</v>
      </c>
      <c r="J57" s="29"/>
    </row>
    <row r="58">
      <c r="B58" s="34"/>
      <c r="C58" s="34"/>
      <c r="D58" s="55" t="s">
        <v>8</v>
      </c>
      <c r="E58" s="55" t="s">
        <v>42</v>
      </c>
      <c r="F58" s="55" t="s">
        <v>39</v>
      </c>
      <c r="G58" s="62">
        <f>G44-I27</f>
        <v>129.1828546</v>
      </c>
      <c r="H58" s="56" t="str">
        <f t="shared" si="1"/>
        <v>Deficit</v>
      </c>
      <c r="I58" s="56">
        <f t="shared" si="2"/>
        <v>0</v>
      </c>
      <c r="J58" s="38"/>
    </row>
    <row r="59">
      <c r="B59" s="22" t="s">
        <v>54</v>
      </c>
      <c r="C59" s="22" t="s">
        <v>55</v>
      </c>
      <c r="D59" s="50" t="s">
        <v>37</v>
      </c>
      <c r="E59" s="50" t="s">
        <v>35</v>
      </c>
      <c r="F59" s="50" t="s">
        <v>36</v>
      </c>
      <c r="G59" s="51" t="str">
        <f>C17-#REF!</f>
        <v>#REF!</v>
      </c>
      <c r="H59" s="51" t="str">
        <f t="shared" si="1"/>
        <v>#REF!</v>
      </c>
      <c r="I59" s="51" t="str">
        <f t="shared" si="2"/>
        <v>#REF!</v>
      </c>
      <c r="J59" s="46" t="s">
        <v>56</v>
      </c>
    </row>
    <row r="60">
      <c r="B60" s="28"/>
      <c r="C60" s="28"/>
      <c r="D60" s="5" t="s">
        <v>37</v>
      </c>
      <c r="E60" s="5" t="s">
        <v>35</v>
      </c>
      <c r="F60" s="5" t="s">
        <v>38</v>
      </c>
      <c r="G60" s="2" t="str">
        <f>C28-#REF!</f>
        <v>#REF!</v>
      </c>
      <c r="H60" s="2" t="str">
        <f t="shared" si="1"/>
        <v>#REF!</v>
      </c>
      <c r="I60" s="2" t="str">
        <f t="shared" si="2"/>
        <v>#REF!</v>
      </c>
      <c r="J60" s="29"/>
    </row>
    <row r="61">
      <c r="B61" s="28"/>
      <c r="C61" s="28"/>
      <c r="D61" s="53" t="s">
        <v>37</v>
      </c>
      <c r="E61" s="53" t="s">
        <v>35</v>
      </c>
      <c r="F61" s="53" t="s">
        <v>39</v>
      </c>
      <c r="G61" s="54" t="str">
        <f>H17-#REF!</f>
        <v>#REF!</v>
      </c>
      <c r="H61" s="54" t="str">
        <f t="shared" si="1"/>
        <v>#REF!</v>
      </c>
      <c r="I61" s="54" t="str">
        <f t="shared" si="2"/>
        <v>#REF!</v>
      </c>
      <c r="J61" s="29"/>
    </row>
    <row r="62">
      <c r="B62" s="28"/>
      <c r="C62" s="34"/>
      <c r="D62" s="47" t="s">
        <v>37</v>
      </c>
      <c r="E62" s="47" t="s">
        <v>35</v>
      </c>
      <c r="F62" s="47" t="s">
        <v>42</v>
      </c>
      <c r="G62" s="48" t="str">
        <f>H28-#REF!</f>
        <v>#REF!</v>
      </c>
      <c r="H62" s="48" t="str">
        <f t="shared" si="1"/>
        <v>#REF!</v>
      </c>
      <c r="I62" s="2" t="str">
        <f t="shared" si="2"/>
        <v>#REF!</v>
      </c>
      <c r="J62" s="38"/>
    </row>
    <row r="63">
      <c r="B63" s="28"/>
      <c r="C63" s="22" t="s">
        <v>57</v>
      </c>
      <c r="D63" s="45" t="s">
        <v>37</v>
      </c>
      <c r="E63" s="45" t="s">
        <v>36</v>
      </c>
      <c r="F63" s="45" t="s">
        <v>38</v>
      </c>
      <c r="G63" s="43" t="str">
        <f>C28-I40</f>
        <v>#REF!</v>
      </c>
      <c r="H63" s="43" t="str">
        <f t="shared" si="1"/>
        <v>#REF!</v>
      </c>
      <c r="I63" s="43" t="str">
        <f t="shared" si="2"/>
        <v>#REF!</v>
      </c>
      <c r="J63" s="46" t="s">
        <v>58</v>
      </c>
      <c r="K63" s="2" t="str">
        <f>I65</f>
        <v>#REF!</v>
      </c>
    </row>
    <row r="64">
      <c r="B64" s="28"/>
      <c r="C64" s="28"/>
      <c r="D64" s="53" t="s">
        <v>37</v>
      </c>
      <c r="E64" s="53" t="s">
        <v>36</v>
      </c>
      <c r="F64" s="53" t="s">
        <v>39</v>
      </c>
      <c r="G64" s="54" t="str">
        <f>H17-I40</f>
        <v>#REF!</v>
      </c>
      <c r="H64" s="54" t="str">
        <f t="shared" si="1"/>
        <v>#REF!</v>
      </c>
      <c r="I64" s="54" t="str">
        <f t="shared" si="2"/>
        <v>#REF!</v>
      </c>
      <c r="J64" s="29"/>
    </row>
    <row r="65" ht="70.5" customHeight="1">
      <c r="B65" s="28"/>
      <c r="C65" s="34"/>
      <c r="D65" s="47" t="s">
        <v>37</v>
      </c>
      <c r="E65" s="47" t="s">
        <v>36</v>
      </c>
      <c r="F65" s="47" t="s">
        <v>42</v>
      </c>
      <c r="G65" s="48" t="str">
        <f>H28-I40</f>
        <v>#REF!</v>
      </c>
      <c r="H65" s="48" t="str">
        <f t="shared" si="1"/>
        <v>#REF!</v>
      </c>
      <c r="I65" s="2" t="str">
        <f t="shared" si="2"/>
        <v>#REF!</v>
      </c>
      <c r="J65" s="38"/>
      <c r="K65" s="9">
        <f>H28</f>
        <v>445.082362</v>
      </c>
    </row>
    <row r="66">
      <c r="B66" s="28"/>
      <c r="C66" s="22" t="s">
        <v>59</v>
      </c>
      <c r="D66" s="50" t="s">
        <v>37</v>
      </c>
      <c r="E66" s="50" t="s">
        <v>39</v>
      </c>
      <c r="F66" s="50" t="s">
        <v>36</v>
      </c>
      <c r="G66" s="60">
        <f>C17-I45</f>
        <v>9440.923492</v>
      </c>
      <c r="H66" s="51" t="str">
        <f t="shared" si="1"/>
        <v>Deficit</v>
      </c>
      <c r="I66" s="51">
        <f t="shared" si="2"/>
        <v>0</v>
      </c>
      <c r="J66" s="46" t="s">
        <v>60</v>
      </c>
    </row>
    <row r="67">
      <c r="B67" s="28"/>
      <c r="C67" s="28"/>
      <c r="D67" s="5" t="s">
        <v>37</v>
      </c>
      <c r="E67" s="5" t="s">
        <v>39</v>
      </c>
      <c r="F67" s="5" t="s">
        <v>38</v>
      </c>
      <c r="G67" s="9">
        <f>C28-I45</f>
        <v>3439.467752</v>
      </c>
      <c r="H67" s="2" t="str">
        <f t="shared" si="1"/>
        <v>Deficit</v>
      </c>
      <c r="I67" s="2">
        <f t="shared" si="2"/>
        <v>0</v>
      </c>
      <c r="J67" s="29"/>
    </row>
    <row r="68" ht="70.5" customHeight="1">
      <c r="B68" s="34"/>
      <c r="C68" s="34"/>
      <c r="D68" s="47" t="s">
        <v>37</v>
      </c>
      <c r="E68" s="47" t="s">
        <v>39</v>
      </c>
      <c r="F68" s="47" t="s">
        <v>42</v>
      </c>
      <c r="G68" s="63">
        <f>H28-I45</f>
        <v>-14.5738593</v>
      </c>
      <c r="H68" s="48" t="str">
        <f t="shared" si="1"/>
        <v>Surplus</v>
      </c>
      <c r="I68" s="63">
        <f t="shared" si="2"/>
        <v>14.5738593</v>
      </c>
      <c r="J68" s="38"/>
    </row>
    <row r="69">
      <c r="B69" s="22" t="s">
        <v>61</v>
      </c>
      <c r="C69" s="18" t="s">
        <v>62</v>
      </c>
      <c r="D69" s="40" t="s">
        <v>11</v>
      </c>
      <c r="E69" s="40" t="s">
        <v>35</v>
      </c>
      <c r="F69" s="40" t="s">
        <v>38</v>
      </c>
      <c r="G69" s="42" t="str">
        <f>C29-#REF!</f>
        <v>#REF!</v>
      </c>
      <c r="H69" s="42" t="str">
        <f t="shared" si="1"/>
        <v>#REF!</v>
      </c>
      <c r="I69" s="43" t="str">
        <f t="shared" si="2"/>
        <v>#REF!</v>
      </c>
      <c r="J69" s="64" t="s">
        <v>63</v>
      </c>
    </row>
    <row r="70">
      <c r="B70" s="28"/>
      <c r="C70" s="18" t="s">
        <v>64</v>
      </c>
      <c r="D70" s="40" t="s">
        <v>11</v>
      </c>
      <c r="E70" s="40" t="s">
        <v>36</v>
      </c>
      <c r="F70" s="40" t="s">
        <v>38</v>
      </c>
      <c r="G70" s="42" t="str">
        <f>C29-#REF!</f>
        <v>#REF!</v>
      </c>
      <c r="H70" s="42" t="str">
        <f t="shared" si="1"/>
        <v>#REF!</v>
      </c>
      <c r="I70" s="43" t="str">
        <f t="shared" si="2"/>
        <v>#REF!</v>
      </c>
      <c r="J70" s="44"/>
      <c r="K70" s="9">
        <f>C29</f>
        <v>1489.084722</v>
      </c>
    </row>
    <row r="71">
      <c r="B71" s="34"/>
      <c r="C71" s="18" t="s">
        <v>65</v>
      </c>
      <c r="D71" s="40" t="s">
        <v>11</v>
      </c>
      <c r="E71" s="40" t="s">
        <v>39</v>
      </c>
      <c r="F71" s="40" t="s">
        <v>38</v>
      </c>
      <c r="G71" s="65">
        <f>C29-I18</f>
        <v>780.2739744</v>
      </c>
      <c r="H71" s="42" t="str">
        <f t="shared" si="1"/>
        <v>Deficit</v>
      </c>
      <c r="I71" s="42">
        <f t="shared" si="2"/>
        <v>0</v>
      </c>
      <c r="J71" s="64" t="s">
        <v>63</v>
      </c>
    </row>
    <row r="72">
      <c r="B72" s="22" t="s">
        <v>66</v>
      </c>
      <c r="C72" s="22" t="s">
        <v>67</v>
      </c>
      <c r="D72" s="45" t="s">
        <v>34</v>
      </c>
      <c r="E72" s="45" t="s">
        <v>35</v>
      </c>
      <c r="F72" s="45" t="s">
        <v>36</v>
      </c>
      <c r="G72" s="66" t="str">
        <f>G41-I38</f>
        <v>#REF!</v>
      </c>
      <c r="H72" s="43" t="str">
        <f t="shared" si="1"/>
        <v>#REF!</v>
      </c>
      <c r="I72" s="43" t="str">
        <f t="shared" si="2"/>
        <v>#REF!</v>
      </c>
      <c r="J72" s="46" t="s">
        <v>68</v>
      </c>
      <c r="K72" s="2" t="str">
        <f>I75-(K73+K74+K76)</f>
        <v>#REF!</v>
      </c>
    </row>
    <row r="73">
      <c r="B73" s="28"/>
      <c r="C73" s="28"/>
      <c r="D73" s="5" t="s">
        <v>34</v>
      </c>
      <c r="E73" s="5" t="s">
        <v>35</v>
      </c>
      <c r="F73" s="5" t="s">
        <v>38</v>
      </c>
      <c r="G73" s="10" t="str">
        <f>C32-I38</f>
        <v>#REF!</v>
      </c>
      <c r="H73" s="2" t="str">
        <f t="shared" si="1"/>
        <v>#REF!</v>
      </c>
      <c r="I73" s="2" t="str">
        <f t="shared" si="2"/>
        <v>#REF!</v>
      </c>
      <c r="J73" s="29"/>
      <c r="K73" s="10">
        <f>C32</f>
        <v>42665373.4</v>
      </c>
    </row>
    <row r="74">
      <c r="B74" s="28"/>
      <c r="C74" s="28"/>
      <c r="D74" s="5" t="s">
        <v>34</v>
      </c>
      <c r="E74" s="5" t="s">
        <v>35</v>
      </c>
      <c r="F74" s="5" t="s">
        <v>69</v>
      </c>
      <c r="G74" s="10" t="str">
        <f>H6-I38</f>
        <v>#REF!</v>
      </c>
      <c r="H74" s="2" t="str">
        <f t="shared" si="1"/>
        <v>#REF!</v>
      </c>
      <c r="I74" s="2" t="str">
        <f t="shared" si="2"/>
        <v>#REF!</v>
      </c>
      <c r="J74" s="29"/>
      <c r="K74" s="10">
        <f>H6</f>
        <v>4143.88362</v>
      </c>
    </row>
    <row r="75" ht="63.75" customHeight="1">
      <c r="B75" s="28"/>
      <c r="C75" s="28"/>
      <c r="D75" s="5" t="s">
        <v>34</v>
      </c>
      <c r="E75" s="5" t="s">
        <v>35</v>
      </c>
      <c r="F75" s="5" t="s">
        <v>39</v>
      </c>
      <c r="G75" s="10" t="str">
        <f>H20-I38</f>
        <v>#REF!</v>
      </c>
      <c r="H75" s="2" t="str">
        <f t="shared" si="1"/>
        <v>#REF!</v>
      </c>
      <c r="I75" s="2" t="str">
        <f t="shared" si="2"/>
        <v>#REF!</v>
      </c>
      <c r="J75" s="29"/>
      <c r="K75" s="10">
        <f>H20</f>
        <v>191990381.9</v>
      </c>
    </row>
    <row r="76" ht="40.5" customHeight="1">
      <c r="B76" s="28"/>
      <c r="C76" s="34"/>
      <c r="D76" s="47" t="s">
        <v>34</v>
      </c>
      <c r="E76" s="47" t="s">
        <v>35</v>
      </c>
      <c r="F76" s="47" t="s">
        <v>42</v>
      </c>
      <c r="G76" s="67" t="str">
        <f>H31-I38</f>
        <v>#REF!</v>
      </c>
      <c r="H76" s="48" t="str">
        <f t="shared" si="1"/>
        <v>#REF!</v>
      </c>
      <c r="I76" s="2" t="str">
        <f t="shared" si="2"/>
        <v>#REF!</v>
      </c>
      <c r="J76" s="38"/>
      <c r="K76" s="10">
        <f>H31</f>
        <v>19426830.93</v>
      </c>
    </row>
    <row r="77">
      <c r="B77" s="28"/>
      <c r="C77" s="49" t="s">
        <v>70</v>
      </c>
      <c r="D77" s="50" t="s">
        <v>34</v>
      </c>
      <c r="E77" s="50" t="s">
        <v>36</v>
      </c>
      <c r="F77" s="50" t="s">
        <v>35</v>
      </c>
      <c r="G77" s="60">
        <f>C11-I41</f>
        <v>305649835.9</v>
      </c>
      <c r="H77" s="51" t="str">
        <f t="shared" si="1"/>
        <v>Deficit</v>
      </c>
      <c r="I77" s="51">
        <f t="shared" si="2"/>
        <v>0</v>
      </c>
      <c r="J77" s="52" t="s">
        <v>47</v>
      </c>
    </row>
    <row r="78">
      <c r="B78" s="28"/>
      <c r="C78" s="28"/>
      <c r="D78" s="53" t="s">
        <v>34</v>
      </c>
      <c r="E78" s="53" t="s">
        <v>36</v>
      </c>
      <c r="F78" s="53" t="s">
        <v>38</v>
      </c>
      <c r="G78" s="61">
        <f>C32-I41</f>
        <v>-14080478.11</v>
      </c>
      <c r="H78" s="54" t="str">
        <f t="shared" si="1"/>
        <v>Surplus</v>
      </c>
      <c r="I78" s="61">
        <f t="shared" si="2"/>
        <v>14080478.11</v>
      </c>
      <c r="J78" s="29"/>
    </row>
    <row r="79">
      <c r="B79" s="28"/>
      <c r="C79" s="28"/>
      <c r="D79" s="53" t="s">
        <v>34</v>
      </c>
      <c r="E79" s="53" t="s">
        <v>36</v>
      </c>
      <c r="F79" s="53" t="s">
        <v>69</v>
      </c>
      <c r="G79" s="61">
        <f>H6-I41</f>
        <v>-56741707.63</v>
      </c>
      <c r="H79" s="54" t="str">
        <f t="shared" si="1"/>
        <v>Surplus</v>
      </c>
      <c r="I79" s="61">
        <f t="shared" si="2"/>
        <v>56741707.63</v>
      </c>
      <c r="J79" s="29"/>
    </row>
    <row r="80">
      <c r="B80" s="28"/>
      <c r="C80" s="28"/>
      <c r="D80" s="53" t="s">
        <v>34</v>
      </c>
      <c r="E80" s="53" t="s">
        <v>36</v>
      </c>
      <c r="F80" s="53" t="s">
        <v>39</v>
      </c>
      <c r="G80" s="61">
        <f>H20-I41</f>
        <v>135244530.4</v>
      </c>
      <c r="H80" s="54" t="str">
        <f t="shared" si="1"/>
        <v>Deficit</v>
      </c>
      <c r="I80" s="54">
        <f t="shared" si="2"/>
        <v>0</v>
      </c>
      <c r="J80" s="29"/>
    </row>
    <row r="81">
      <c r="B81" s="34"/>
      <c r="C81" s="34"/>
      <c r="D81" s="55" t="s">
        <v>34</v>
      </c>
      <c r="E81" s="55" t="s">
        <v>36</v>
      </c>
      <c r="F81" s="55" t="s">
        <v>42</v>
      </c>
      <c r="G81" s="62">
        <f>H31-I41</f>
        <v>-37319020.58</v>
      </c>
      <c r="H81" s="56" t="str">
        <f t="shared" si="1"/>
        <v>Surplus</v>
      </c>
      <c r="I81" s="62">
        <f t="shared" si="2"/>
        <v>37319020.58</v>
      </c>
      <c r="J81" s="38"/>
    </row>
  </sheetData>
  <mergeCells count="32">
    <mergeCell ref="B4:D4"/>
    <mergeCell ref="G4:I4"/>
    <mergeCell ref="B14:D14"/>
    <mergeCell ref="G14:I14"/>
    <mergeCell ref="B24:D24"/>
    <mergeCell ref="G24:I24"/>
    <mergeCell ref="B38:B45"/>
    <mergeCell ref="B2:D2"/>
    <mergeCell ref="C63:C65"/>
    <mergeCell ref="C66:C68"/>
    <mergeCell ref="C72:C76"/>
    <mergeCell ref="C77:C81"/>
    <mergeCell ref="J63:J65"/>
    <mergeCell ref="J66:J68"/>
    <mergeCell ref="J72:J76"/>
    <mergeCell ref="J77:J81"/>
    <mergeCell ref="C38:C45"/>
    <mergeCell ref="J38:J45"/>
    <mergeCell ref="J47:J49"/>
    <mergeCell ref="J50:J52"/>
    <mergeCell ref="J54:J55"/>
    <mergeCell ref="J56:J58"/>
    <mergeCell ref="J59:J62"/>
    <mergeCell ref="B69:B71"/>
    <mergeCell ref="B72:B81"/>
    <mergeCell ref="B47:B58"/>
    <mergeCell ref="C47:C49"/>
    <mergeCell ref="C50:C52"/>
    <mergeCell ref="C54:C55"/>
    <mergeCell ref="C56:C58"/>
    <mergeCell ref="B59:B68"/>
    <mergeCell ref="C59:C62"/>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71</v>
      </c>
      <c r="B1" s="5" t="s">
        <v>72</v>
      </c>
      <c r="C1" s="5" t="s">
        <v>73</v>
      </c>
    </row>
    <row r="2">
      <c r="A2" s="2" t="s">
        <v>74</v>
      </c>
      <c r="B2" s="9">
        <f>'Aromatics Production Plant'!D147</f>
        <v>110518.6442</v>
      </c>
      <c r="C2" s="9">
        <f>'Aromatics Production Plant'!F147</f>
        <v>0</v>
      </c>
    </row>
    <row r="3">
      <c r="A3" s="2" t="s">
        <v>75</v>
      </c>
      <c r="B3" s="5">
        <v>0.0</v>
      </c>
      <c r="C3" s="5">
        <v>0.0</v>
      </c>
    </row>
    <row r="4">
      <c r="A4" s="2" t="s">
        <v>76</v>
      </c>
      <c r="B4" s="9">
        <f>'Natural Gas CHP'!D105</f>
        <v>15027.29638</v>
      </c>
      <c r="C4" s="9">
        <f>'Natural Gas CHP'!F105</f>
        <v>0</v>
      </c>
    </row>
    <row r="5">
      <c r="A5" s="2" t="s">
        <v>77</v>
      </c>
      <c r="B5" s="9">
        <f>'DME Plant'!D101</f>
        <v>10508.2768</v>
      </c>
      <c r="C5" s="9">
        <f>'DME Plant'!F101</f>
        <v>0</v>
      </c>
    </row>
    <row r="6">
      <c r="A6" s="2" t="s">
        <v>78</v>
      </c>
      <c r="B6" s="9">
        <f>'Methanol Production Plant'!D108</f>
        <v>65891.82439</v>
      </c>
      <c r="C6" s="9">
        <f>'Methanol Production Plant'!F108</f>
        <v>0</v>
      </c>
    </row>
    <row r="7">
      <c r="A7" s="2" t="s">
        <v>79</v>
      </c>
      <c r="B7" s="9">
        <f>'Olefins Production Plant'!D128</f>
        <v>323673.7639</v>
      </c>
      <c r="C7" s="9">
        <f>'Olefins Production Plant'!F128</f>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29"/>
    <col customWidth="1" min="2" max="2" width="29.14"/>
    <col customWidth="1" min="3" max="3" width="25.14"/>
    <col customWidth="1" min="4" max="4" width="24.71"/>
    <col customWidth="1" min="5" max="5" width="25.57"/>
    <col customWidth="1" min="6" max="6" width="30.71"/>
    <col customWidth="1" min="7" max="8" width="20.0"/>
    <col customWidth="1" min="9" max="9" width="15.86"/>
    <col customWidth="1" min="10" max="10" width="22.86"/>
    <col customWidth="1" min="11" max="11" width="18.29"/>
  </cols>
  <sheetData>
    <row r="1" ht="22.5" customHeight="1">
      <c r="A1" s="68" t="s">
        <v>71</v>
      </c>
      <c r="B1" s="69" t="s">
        <v>20</v>
      </c>
      <c r="C1" s="69" t="s">
        <v>8</v>
      </c>
      <c r="D1" s="69" t="s">
        <v>10</v>
      </c>
      <c r="E1" s="69" t="s">
        <v>11</v>
      </c>
      <c r="F1" s="69" t="s">
        <v>17</v>
      </c>
      <c r="G1" s="69" t="s">
        <v>12</v>
      </c>
      <c r="H1" s="70" t="s">
        <v>21</v>
      </c>
      <c r="I1" s="69" t="s">
        <v>13</v>
      </c>
      <c r="J1" s="70" t="s">
        <v>14</v>
      </c>
      <c r="K1" s="70" t="s">
        <v>80</v>
      </c>
    </row>
    <row r="2" ht="22.5" customHeight="1">
      <c r="A2" s="71" t="s">
        <v>76</v>
      </c>
      <c r="B2" s="72" t="str">
        <f t="array" ref="B2">iferror(index('Eneryg flow sharing'!$C$6:$D$11,match(B$1,'Eneryg flow sharing'!$B$6:$B$11,0),1+($K2="Output")),"")</f>
        <v/>
      </c>
      <c r="C2" s="72">
        <f t="array" ref="C2">iferror(index('Eneryg flow sharing'!$C$6:$D$11,match(C$1,'Eneryg flow sharing'!$B$6:$B$11,0),1+($K2="Output")),"")</f>
        <v>0</v>
      </c>
      <c r="D2" s="72">
        <f t="array" ref="D2">iferror(index('Eneryg flow sharing'!$C$6:$D$11,match(D$1,'Eneryg flow sharing'!$B$6:$B$11,0),1+($K2="Output")),"")</f>
        <v>0</v>
      </c>
      <c r="E2" s="72">
        <f t="array" ref="E2">iferror(index('Eneryg flow sharing'!$C$6:$D$11,match(E$1,'Eneryg flow sharing'!$B$6:$B$11,0),1+($K2="Output")),"")</f>
        <v>0</v>
      </c>
      <c r="F2" s="72" t="str">
        <f t="array" ref="F2">iferror(index('Eneryg flow sharing'!$C$6:$D$11,match(F$1,'Eneryg flow sharing'!$B$6:$B$11,0),1+($K2="Output")),"")</f>
        <v/>
      </c>
      <c r="G2" s="72">
        <f t="array" ref="G2">iferror(index('Eneryg flow sharing'!$C$6:$D$11,match(G$1,'Eneryg flow sharing'!$B$6:$B$11,0),1+($K2="Output")),"")</f>
        <v>940.5345933</v>
      </c>
      <c r="H2" s="72" t="str">
        <f t="array" ref="H2">iferror(index('Eneryg flow sharing'!$C$6:$D$11,match(H$1,'Eneryg flow sharing'!$B$6:$B$11,0),1+($K2="Output")),"")</f>
        <v/>
      </c>
      <c r="I2" s="72">
        <f t="array" ref="I2">iferror(index('Eneryg flow sharing'!$C$6:$D$11,match(I$1,'Eneryg flow sharing'!$B$6:$B$11,0),1+($K2="Output")),"")</f>
        <v>599.125464</v>
      </c>
      <c r="J2" s="72">
        <f t="array" ref="J2">iferror(index('Eneryg flow sharing'!$C$6:$D$11,match(J$1,'Eneryg flow sharing'!$B$6:$B$11,0),1+($K2="Output")),"")</f>
        <v>362395687.4</v>
      </c>
      <c r="K2" s="71" t="s">
        <v>81</v>
      </c>
    </row>
    <row r="3" ht="22.5" customHeight="1">
      <c r="A3" s="71" t="s">
        <v>79</v>
      </c>
      <c r="B3" s="72" t="str">
        <f t="array" ref="B3">iferror(index('Eneryg flow sharing'!$C$16:$D$21,match(B$1,'Eneryg flow sharing'!$B$16:$B$21,0),1+($K3="Output")),"")</f>
        <v/>
      </c>
      <c r="C3" s="72">
        <f t="array" ref="C3">iferror(index('Eneryg flow sharing'!$C$16:$D$21,match(C$1,'Eneryg flow sharing'!$B$16:$B$21,0),1+($K3="Output")),"")</f>
        <v>11814.98721</v>
      </c>
      <c r="D3" s="72">
        <f t="array" ref="D3">iferror(index('Eneryg flow sharing'!$C$16:$D$21,match(D$1,'Eneryg flow sharing'!$B$16:$B$21,0),1+($K3="Output")),"")</f>
        <v>9900.579713</v>
      </c>
      <c r="E3" s="72">
        <f t="array" ref="E3">iferror(index('Eneryg flow sharing'!$C$16:$D$21,match(E$1,'Eneryg flow sharing'!$B$16:$B$21,0),1+($K3="Output")),"")</f>
        <v>0</v>
      </c>
      <c r="F3" s="72">
        <f t="array" ref="F3">iferror(index('Eneryg flow sharing'!$C$16:$D$21,match(F$1,'Eneryg flow sharing'!$B$16:$B$21,0),1+($K3="Output")),"")</f>
        <v>0</v>
      </c>
      <c r="G3" s="72">
        <f t="array" ref="G3">iferror(index('Eneryg flow sharing'!$C$16:$D$21,match(G$1,'Eneryg flow sharing'!$B$16:$B$21,0),1+($K3="Output")),"")</f>
        <v>20303.52284</v>
      </c>
      <c r="H3" s="72" t="str">
        <f t="array" ref="H3">iferror(index('Eneryg flow sharing'!$C$16:$D$21,match(H$1,'Eneryg flow sharing'!$B$16:$B$21,0),1+($K3="Output")),"")</f>
        <v/>
      </c>
      <c r="I3" s="72" t="str">
        <f t="array" ref="I3">iferror(index('Eneryg flow sharing'!$C$16:$D$21,match(I$1,'Eneryg flow sharing'!$B$16:$B$21,0),1+($K3="Output")),"")</f>
        <v/>
      </c>
      <c r="J3" s="72">
        <f t="array" ref="J3">iferror(index('Eneryg flow sharing'!$C$16:$D$21,match(J$1,'Eneryg flow sharing'!$B$16:$B$21,0),1+($K3="Output")),"")</f>
        <v>263868875.1</v>
      </c>
      <c r="K3" s="71" t="s">
        <v>81</v>
      </c>
    </row>
    <row r="4" ht="22.5" customHeight="1">
      <c r="A4" s="71" t="s">
        <v>74</v>
      </c>
      <c r="B4" s="72">
        <f t="array" ref="B4">iferror(index('Eneryg flow sharing'!$C$26:$D$32,match(B$1,'Eneryg flow sharing'!$B$26:$B$32,0),1+($K4="Output")),"")</f>
        <v>1982.317447</v>
      </c>
      <c r="C4" s="72">
        <f t="array" ref="C4">iferror(index('Eneryg flow sharing'!$C$26:$D$32,match(C$1,'Eneryg flow sharing'!$B$26:$B$32,0),1+($K4="Output")),"")</f>
        <v>1462.269308</v>
      </c>
      <c r="D4" s="72">
        <f t="array" ref="D4">iferror(index('Eneryg flow sharing'!$C$26:$D$32,match(D$1,'Eneryg flow sharing'!$B$26:$B$32,0),1+($K4="Output")),"")</f>
        <v>3899.123973</v>
      </c>
      <c r="E4" s="72">
        <f t="array" ref="E4">iferror(index('Eneryg flow sharing'!$C$26:$D$32,match(E$1,'Eneryg flow sharing'!$B$26:$B$32,0),1+($K4="Output")),"")</f>
        <v>1489.084722</v>
      </c>
      <c r="F4" s="72" t="str">
        <f t="array" ref="F4">iferror(index('Eneryg flow sharing'!$C$26:$D$32,match(F$1,'Eneryg flow sharing'!$B$26:$B$32,0),1+($K4="Output")),"")</f>
        <v/>
      </c>
      <c r="G4" s="72">
        <f t="array" ref="G4">iferror(index('Eneryg flow sharing'!$C$26:$D$32,match(G$1,'Eneryg flow sharing'!$B$26:$B$32,0),1+($K4="Output")),"")</f>
        <v>6917.194361</v>
      </c>
      <c r="H4" s="72">
        <f t="array" ref="H4">iferror(index('Eneryg flow sharing'!$C$26:$D$32,match(H$1,'Eneryg flow sharing'!$B$26:$B$32,0),1+($K4="Output")),"")</f>
        <v>87.77564142</v>
      </c>
      <c r="I4" s="72" t="str">
        <f t="array" ref="I4">iferror(index('Eneryg flow sharing'!$C$26:$D$32,match(I$1,'Eneryg flow sharing'!$B$26:$B$32,0),1+($K4="Output")),"")</f>
        <v/>
      </c>
      <c r="J4" s="72">
        <f t="array" ref="J4">iferror(index('Eneryg flow sharing'!$C$26:$D$32,match(J$1,'Eneryg flow sharing'!$B$26:$B$32,0),1+($K4="Output")),"")</f>
        <v>42665373.4</v>
      </c>
      <c r="K4" s="71" t="s">
        <v>81</v>
      </c>
    </row>
    <row r="5" ht="22.5" customHeight="1">
      <c r="A5" s="71" t="s">
        <v>75</v>
      </c>
      <c r="I5" s="72">
        <f>'Eneryg flow sharing'!$I$6</f>
        <v>14981.73309</v>
      </c>
      <c r="J5" s="73">
        <f>'Eneryg flow sharing'!$H$6</f>
        <v>4143.88362</v>
      </c>
      <c r="K5" s="71" t="s">
        <v>81</v>
      </c>
    </row>
    <row r="6" ht="22.5" customHeight="1">
      <c r="A6" s="71" t="s">
        <v>78</v>
      </c>
      <c r="B6" s="72" t="str">
        <f t="array" ref="B6">iferror(index('Eneryg flow sharing'!$H$16:$I$21,match(B$1,'Eneryg flow sharing'!$G$16:$G$21,0),1+($K6="Output")),"")</f>
        <v/>
      </c>
      <c r="C6" s="72">
        <f t="array" ref="C6">iferror(index('Eneryg flow sharing'!$H$16:$I$21,match(C$1,'Eneryg flow sharing'!$G$16:$G$21,0),1+($K6="Output")),"")</f>
        <v>377.1054883</v>
      </c>
      <c r="D6" s="72">
        <f t="array" ref="D6">iferror(index('Eneryg flow sharing'!$H$16:$I$21,match(D$1,'Eneryg flow sharing'!$G$16:$G$21,0),1+($K6="Output")),"")</f>
        <v>211.1830721</v>
      </c>
      <c r="E6" s="72">
        <f t="array" ref="E6">iferror(index('Eneryg flow sharing'!$H$16:$I$21,match(E$1,'Eneryg flow sharing'!$G$16:$G$21,0),1+($K6="Output")),"")</f>
        <v>0</v>
      </c>
      <c r="F6" s="72" t="str">
        <f t="array" ref="F6">iferror(index('Eneryg flow sharing'!$H$16:$I$21,match(F$1,'Eneryg flow sharing'!$G$16:$G$21,0),1+($K6="Output")),"")</f>
        <v/>
      </c>
      <c r="G6" s="72">
        <f t="array" ref="G6">iferror(index('Eneryg flow sharing'!$H$16:$I$21,match(G$1,'Eneryg flow sharing'!$G$16:$G$21,0),1+($K6="Output")),"")</f>
        <v>4134.38303</v>
      </c>
      <c r="H6" s="72" t="str">
        <f t="array" ref="H6">iferror(index('Eneryg flow sharing'!$H$16:$I$21,match(H$1,'Eneryg flow sharing'!$G$16:$G$21,0),1+($K6="Output")),"")</f>
        <v/>
      </c>
      <c r="I6" s="72" t="str">
        <f t="array" ref="I6">iferror(index('Eneryg flow sharing'!$H$16:$I$21,match(I$1,'Eneryg flow sharing'!$G$16:$G$21,0),1+($K6="Output")),"")</f>
        <v/>
      </c>
      <c r="J6" s="72">
        <f t="array" ref="J6">iferror(index('Eneryg flow sharing'!$H$16:$I$21,match(J$1,'Eneryg flow sharing'!$G$16:$G$21,0),1+($K6="Output")),"")</f>
        <v>191990381.9</v>
      </c>
      <c r="K6" s="71" t="s">
        <v>81</v>
      </c>
    </row>
    <row r="7" ht="22.5" customHeight="1">
      <c r="A7" s="71" t="s">
        <v>77</v>
      </c>
      <c r="B7" s="72">
        <f t="array" ref="B7">iferror(index('Eneryg flow sharing'!$H$26:$I$32,match(B$1,'Eneryg flow sharing'!$G$26:$G$32,0),1+($K7="Output")),"")</f>
        <v>0</v>
      </c>
      <c r="C7" s="72">
        <f t="array" ref="C7">iferror(index('Eneryg flow sharing'!$H$26:$I$32,match(C$1,'Eneryg flow sharing'!$G$26:$G$32,0),1+($K7="Output")),"")</f>
        <v>0</v>
      </c>
      <c r="D7" s="72">
        <f t="array" ref="D7">iferror(index('Eneryg flow sharing'!$H$26:$I$32,match(D$1,'Eneryg flow sharing'!$G$26:$G$32,0),1+($K7="Output")),"")</f>
        <v>445.082362</v>
      </c>
      <c r="E7" s="72">
        <f t="array" ref="E7">iferror(index('Eneryg flow sharing'!$H$26:$I$32,match(E$1,'Eneryg flow sharing'!$G$26:$G$32,0),1+($K7="Output")),"")</f>
        <v>0</v>
      </c>
      <c r="F7" s="72" t="str">
        <f t="array" ref="F7">iferror(index('Eneryg flow sharing'!$H$26:$I$32,match(F$1,'Eneryg flow sharing'!$G$26:$G$32,0),1+($K7="Output")),"")</f>
        <v/>
      </c>
      <c r="G7" s="72">
        <f t="array" ref="G7">iferror(index('Eneryg flow sharing'!$H$26:$I$32,match(G$1,'Eneryg flow sharing'!$G$26:$G$32,0),1+($K7="Output")),"")</f>
        <v>659.3427175</v>
      </c>
      <c r="H7" s="72" t="str">
        <f t="array" ref="H7">iferror(index('Eneryg flow sharing'!$H$26:$I$32,match(H$1,'Eneryg flow sharing'!$G$26:$G$32,0),1+($K7="Output")),"")</f>
        <v/>
      </c>
      <c r="I7" s="72" t="str">
        <f t="array" ref="I7">iferror(index('Eneryg flow sharing'!$H$26:$I$32,match(I$1,'Eneryg flow sharing'!$G$26:$G$32,0),1+($K7="Output")),"")</f>
        <v/>
      </c>
      <c r="J7" s="72">
        <f t="array" ref="J7">iferror(index('Eneryg flow sharing'!$H$26:$I$32,match(J$1,'Eneryg flow sharing'!$G$26:$G$32,0),1+($K7="Output")),"")</f>
        <v>19426830.93</v>
      </c>
      <c r="K7" s="71" t="s">
        <v>81</v>
      </c>
    </row>
    <row r="8" ht="22.5" customHeight="1">
      <c r="A8" s="71" t="s">
        <v>76</v>
      </c>
      <c r="B8" s="72" t="str">
        <f t="array" ref="B8">iferror(index('Eneryg flow sharing'!$C$6:$D$11,match(B$1,'Eneryg flow sharing'!$B$6:$B$11,0),1+($K8="Output")),"")</f>
        <v/>
      </c>
      <c r="C8" s="72">
        <f t="array" ref="C8">iferror(index('Eneryg flow sharing'!$C$6:$D$11,match(C$1,'Eneryg flow sharing'!$B$6:$B$11,0),1+($K8="Output")),"")</f>
        <v>611.1375816</v>
      </c>
      <c r="D8" s="72">
        <f t="array" ref="D8">iferror(index('Eneryg flow sharing'!$C$6:$D$11,match(D$1,'Eneryg flow sharing'!$B$6:$B$11,0),1+($K8="Output")),"")</f>
        <v>511.7634157</v>
      </c>
      <c r="E8" s="72">
        <f t="array" ref="E8">iferror(index('Eneryg flow sharing'!$C$6:$D$11,match(E$1,'Eneryg flow sharing'!$B$6:$B$11,0),1+($K8="Output")),"")</f>
        <v>444.0698422</v>
      </c>
      <c r="F8" s="72" t="str">
        <f t="array" ref="F8">iferror(index('Eneryg flow sharing'!$C$6:$D$11,match(F$1,'Eneryg flow sharing'!$B$6:$B$11,0),1+($K8="Output")),"")</f>
        <v/>
      </c>
      <c r="G8" s="72">
        <f t="array" ref="G8">iferror(index('Eneryg flow sharing'!$C$6:$D$11,match(G$1,'Eneryg flow sharing'!$B$6:$B$11,0),1+($K8="Output")),"")</f>
        <v>0</v>
      </c>
      <c r="H8" s="72" t="str">
        <f t="array" ref="H8">iferror(index('Eneryg flow sharing'!$C$6:$D$11,match(H$1,'Eneryg flow sharing'!$B$6:$B$11,0),1+($K8="Output")),"")</f>
        <v/>
      </c>
      <c r="I8" s="72">
        <f t="array" ref="I8">iferror(index('Eneryg flow sharing'!$C$6:$D$11,match(I$1,'Eneryg flow sharing'!$B$6:$B$11,0),1+($K8="Output")),"")</f>
        <v>0</v>
      </c>
      <c r="J8" s="72">
        <f t="array" ref="J8">iferror(index('Eneryg flow sharing'!$C$6:$D$11,match(J$1,'Eneryg flow sharing'!$B$6:$B$11,0),1+($K8="Output")),"")</f>
        <v>735819522</v>
      </c>
      <c r="K8" s="71" t="s">
        <v>82</v>
      </c>
    </row>
    <row r="9" ht="22.5" customHeight="1">
      <c r="A9" s="71" t="s">
        <v>79</v>
      </c>
      <c r="B9" s="72" t="str">
        <f t="array" ref="B9">iferror(index('Eneryg flow sharing'!$C$16:$D$21,match(B$1,'Eneryg flow sharing'!$B$16:$B$21,0),1+($K9="Output")),"")</f>
        <v/>
      </c>
      <c r="C9" s="72">
        <f t="array" ref="C9">iferror(index('Eneryg flow sharing'!$C$16:$D$21,match(C$1,'Eneryg flow sharing'!$B$16:$B$21,0),1+($K9="Output")),"")</f>
        <v>-4038.183967</v>
      </c>
      <c r="D9" s="72">
        <f t="array" ref="D9">iferror(index('Eneryg flow sharing'!$C$16:$D$21,match(D$1,'Eneryg flow sharing'!$B$16:$B$21,0),1+($K9="Output")),"")</f>
        <v>-15225.43664</v>
      </c>
      <c r="E9" s="72">
        <f t="array" ref="E9">iferror(index('Eneryg flow sharing'!$C$16:$D$21,match(E$1,'Eneryg flow sharing'!$B$16:$B$21,0),1+($K9="Output")),"")</f>
        <v>-9069.093992</v>
      </c>
      <c r="F9" s="72">
        <f t="array" ref="F9">iferror(index('Eneryg flow sharing'!$C$16:$D$21,match(F$1,'Eneryg flow sharing'!$B$16:$B$21,0),1+($K9="Output")),"")</f>
        <v>-2979.37548</v>
      </c>
      <c r="G9" s="72">
        <f t="array" ref="G9">iferror(index('Eneryg flow sharing'!$C$16:$D$21,match(G$1,'Eneryg flow sharing'!$B$16:$B$21,0),1+($K9="Output")),"")</f>
        <v>0</v>
      </c>
      <c r="H9" s="72" t="str">
        <f t="array" ref="H9">iferror(index('Eneryg flow sharing'!$C$16:$D$21,match(H$1,'Eneryg flow sharing'!$B$16:$B$21,0),1+($K9="Output")),"")</f>
        <v/>
      </c>
      <c r="I9" s="72" t="str">
        <f t="array" ref="I9">iferror(index('Eneryg flow sharing'!$C$16:$D$21,match(I$1,'Eneryg flow sharing'!$B$16:$B$21,0),1+($K9="Output")),"")</f>
        <v/>
      </c>
      <c r="J9" s="72">
        <f t="array" ref="J9">iferror(index('Eneryg flow sharing'!$C$16:$D$21,match(J$1,'Eneryg flow sharing'!$B$16:$B$21,0),1+($K9="Output")),"")</f>
        <v>56745851.51</v>
      </c>
      <c r="K9" s="71" t="s">
        <v>82</v>
      </c>
    </row>
    <row r="10" ht="22.5" customHeight="1">
      <c r="A10" s="71" t="s">
        <v>74</v>
      </c>
      <c r="B10" s="72">
        <f t="array" ref="B10">iferror(index('Eneryg flow sharing'!$C$26:$D$32,match(B$1,'Eneryg flow sharing'!$B$26:$B$32,0),1+($K10="Output")),"")</f>
        <v>1923.468303</v>
      </c>
      <c r="C10" s="72">
        <f t="array" ref="C10">iferror(index('Eneryg flow sharing'!$C$26:$D$32,match(C$1,'Eneryg flow sharing'!$B$26:$B$32,0),1+($K10="Output")),"")</f>
        <v>428.7688913</v>
      </c>
      <c r="D10" s="72">
        <f t="array" ref="D10">iferror(index('Eneryg flow sharing'!$C$26:$D$32,match(D$1,'Eneryg flow sharing'!$B$26:$B$32,0),1+($K10="Output")),"")</f>
        <v>0</v>
      </c>
      <c r="E10" s="72">
        <f t="array" ref="E10">iferror(index('Eneryg flow sharing'!$C$26:$D$32,match(E$1,'Eneryg flow sharing'!$B$26:$B$32,0),1+($K10="Output")),"")</f>
        <v>0</v>
      </c>
      <c r="F10" s="72" t="str">
        <f t="array" ref="F10">iferror(index('Eneryg flow sharing'!$C$26:$D$32,match(F$1,'Eneryg flow sharing'!$B$26:$B$32,0),1+($K10="Output")),"")</f>
        <v/>
      </c>
      <c r="G10" s="72">
        <f t="array" ref="G10">iferror(index('Eneryg flow sharing'!$C$26:$D$32,match(G$1,'Eneryg flow sharing'!$B$26:$B$32,0),1+($K10="Output")),"")</f>
        <v>0</v>
      </c>
      <c r="H10" s="72">
        <f t="array" ref="H10">iferror(index('Eneryg flow sharing'!$C$26:$D$32,match(H$1,'Eneryg flow sharing'!$B$26:$B$32,0),1+($K10="Output")),"")</f>
        <v>0</v>
      </c>
      <c r="I10" s="72" t="str">
        <f t="array" ref="I10">iferror(index('Eneryg flow sharing'!$C$26:$D$32,match(I$1,'Eneryg flow sharing'!$B$26:$B$32,0),1+($K10="Output")),"")</f>
        <v/>
      </c>
      <c r="J10" s="72">
        <f t="array" ref="J10">iferror(index('Eneryg flow sharing'!$C$26:$D$32,match(J$1,'Eneryg flow sharing'!$B$26:$B$32,0),1+($K10="Output")),"")</f>
        <v>0</v>
      </c>
      <c r="K10" s="71" t="s">
        <v>82</v>
      </c>
    </row>
    <row r="11" ht="22.5" customHeight="1">
      <c r="A11" s="71" t="s">
        <v>75</v>
      </c>
      <c r="K11" s="71" t="s">
        <v>82</v>
      </c>
    </row>
    <row r="12" ht="22.5" customHeight="1">
      <c r="A12" s="71" t="s">
        <v>78</v>
      </c>
      <c r="B12" s="72" t="str">
        <f t="array" ref="B12">iferror(index('Eneryg flow sharing'!$H$16:$I$21,match(B$1,'Eneryg flow sharing'!$G$16:$G$21,0),1+($K12="Output")),"")</f>
        <v/>
      </c>
      <c r="C12" s="72">
        <f t="array" ref="C12">iferror(index('Eneryg flow sharing'!$H$16:$I$21,match(C$1,'Eneryg flow sharing'!$G$16:$G$21,0),1+($K12="Output")),"")</f>
        <v>183.9532882</v>
      </c>
      <c r="D12" s="72">
        <f t="array" ref="D12">iferror(index('Eneryg flow sharing'!$H$16:$I$21,match(D$1,'Eneryg flow sharing'!$G$16:$G$21,0),1+($K12="Output")),"")</f>
        <v>670.8392934</v>
      </c>
      <c r="E12" s="72">
        <f t="array" ref="E12">iferror(index('Eneryg flow sharing'!$H$16:$I$21,match(E$1,'Eneryg flow sharing'!$G$16:$G$21,0),1+($K12="Output")),"")</f>
        <v>708.8107477</v>
      </c>
      <c r="F12" s="72" t="str">
        <f t="array" ref="F12">iferror(index('Eneryg flow sharing'!$H$16:$I$21,match(F$1,'Eneryg flow sharing'!$G$16:$G$21,0),1+($K12="Output")),"")</f>
        <v/>
      </c>
      <c r="G12" s="72">
        <f t="array" ref="G12">iferror(index('Eneryg flow sharing'!$H$16:$I$21,match(G$1,'Eneryg flow sharing'!$G$16:$G$21,0),1+($K12="Output")),"")</f>
        <v>0</v>
      </c>
      <c r="H12" s="72" t="str">
        <f t="array" ref="H12">iferror(index('Eneryg flow sharing'!$H$16:$I$21,match(H$1,'Eneryg flow sharing'!$G$16:$G$21,0),1+($K12="Output")),"")</f>
        <v/>
      </c>
      <c r="I12" s="72" t="str">
        <f t="array" ref="I12">iferror(index('Eneryg flow sharing'!$H$16:$I$21,match(I$1,'Eneryg flow sharing'!$G$16:$G$21,0),1+($K12="Output")),"")</f>
        <v/>
      </c>
      <c r="J12" s="72">
        <f t="array" ref="J12">iferror(index('Eneryg flow sharing'!$H$16:$I$21,match(J$1,'Eneryg flow sharing'!$G$16:$G$21,0),1+($K12="Output")),"")</f>
        <v>0</v>
      </c>
      <c r="K12" s="71" t="s">
        <v>82</v>
      </c>
    </row>
    <row r="13" ht="22.5" customHeight="1">
      <c r="A13" s="71" t="s">
        <v>77</v>
      </c>
      <c r="B13" s="72">
        <f t="array" ref="B13">iferror(index('Eneryg flow sharing'!$H$26:$I$32,match(B$1,'Eneryg flow sharing'!$G$26:$G$32,0),1+($K13="Output")),"")</f>
        <v>52.06362984</v>
      </c>
      <c r="C13" s="72">
        <f t="array" ref="C13">iferror(index('Eneryg flow sharing'!$H$26:$I$32,match(C$1,'Eneryg flow sharing'!$G$26:$G$32,0),1+($K13="Output")),"")</f>
        <v>63.96934548</v>
      </c>
      <c r="D13" s="72">
        <f t="array" ref="D13">iferror(index('Eneryg flow sharing'!$H$26:$I$32,match(D$1,'Eneryg flow sharing'!$G$26:$G$32,0),1+($K13="Output")),"")</f>
        <v>0</v>
      </c>
      <c r="E13" s="72">
        <f t="array" ref="E13">iferror(index('Eneryg flow sharing'!$H$26:$I$32,match(E$1,'Eneryg flow sharing'!$G$26:$G$32,0),1+($K13="Output")),"")</f>
        <v>0</v>
      </c>
      <c r="F13" s="72" t="str">
        <f t="array" ref="F13">iferror(index('Eneryg flow sharing'!$H$26:$I$32,match(F$1,'Eneryg flow sharing'!$G$26:$G$32,0),1+($K13="Output")),"")</f>
        <v/>
      </c>
      <c r="G13" s="72">
        <f t="array" ref="G13">iferror(index('Eneryg flow sharing'!$H$26:$I$32,match(G$1,'Eneryg flow sharing'!$G$26:$G$32,0),1+($K13="Output")),"")</f>
        <v>0</v>
      </c>
      <c r="H13" s="72" t="str">
        <f t="array" ref="H13">iferror(index('Eneryg flow sharing'!$H$26:$I$32,match(H$1,'Eneryg flow sharing'!$G$26:$G$32,0),1+($K13="Output")),"")</f>
        <v/>
      </c>
      <c r="I13" s="72" t="str">
        <f t="array" ref="I13">iferror(index('Eneryg flow sharing'!$H$26:$I$32,match(I$1,'Eneryg flow sharing'!$G$26:$G$32,0),1+($K13="Output")),"")</f>
        <v/>
      </c>
      <c r="J13" s="72">
        <f t="array" ref="J13">iferror(index('Eneryg flow sharing'!$H$26:$I$32,match(J$1,'Eneryg flow sharing'!$G$26:$G$32,0),1+($K13="Output")),"")</f>
        <v>0</v>
      </c>
      <c r="K13" s="71" t="s">
        <v>82</v>
      </c>
    </row>
  </sheetData>
  <customSheetViews>
    <customSheetView guid="{5131379E-2FB6-49A2-99F6-B7FB764825D5}" filter="1" showAutoFilter="1">
      <autoFilter ref="$A$1:$K$13"/>
      <extLst>
        <ext uri="GoogleSheetsCustomDataVersion1">
          <go:sheetsCustomData xmlns:go="http://customooxmlschemas.google.com/" filterViewId="1299638193"/>
        </ext>
      </extLst>
    </customSheetView>
  </customSheetView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4" width="36.14"/>
    <col customWidth="1" min="5"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27.57"/>
    <col customWidth="1" min="15" max="15" width="21.57"/>
    <col customWidth="1" min="16" max="16" width="17.57"/>
    <col customWidth="1" min="17"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83</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79" t="s">
        <v>85</v>
      </c>
      <c r="C6" s="80"/>
      <c r="D6" s="81" t="s">
        <v>86</v>
      </c>
      <c r="E6" s="82"/>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t="s">
        <v>88</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92" t="s">
        <v>90</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346.5"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96"/>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97" t="s">
        <v>92</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271.5"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98"/>
      <c r="D25" s="98"/>
      <c r="E25" s="98"/>
      <c r="F25" s="98"/>
      <c r="G25" s="98"/>
      <c r="H25" s="98"/>
      <c r="I25" s="98"/>
      <c r="J25" s="98"/>
      <c r="K25" s="98"/>
      <c r="L25" s="98"/>
      <c r="M25" s="98"/>
      <c r="N25" s="74"/>
      <c r="O25" s="74"/>
      <c r="P25" s="74"/>
      <c r="Q25" s="74"/>
      <c r="R25" s="74"/>
      <c r="S25" s="74"/>
      <c r="T25" s="74"/>
      <c r="U25" s="74"/>
      <c r="V25" s="74"/>
      <c r="W25" s="74"/>
      <c r="X25" s="74"/>
      <c r="Y25" s="74"/>
      <c r="Z25" s="74"/>
    </row>
    <row r="26" ht="14.25" customHeight="1">
      <c r="A26" s="74"/>
      <c r="B26" s="74"/>
      <c r="C26" s="98"/>
      <c r="D26" s="98"/>
      <c r="E26" s="98"/>
      <c r="F26" s="98"/>
      <c r="G26" s="98"/>
      <c r="H26" s="98"/>
      <c r="I26" s="98"/>
      <c r="J26" s="98"/>
      <c r="K26" s="98"/>
      <c r="L26" s="98"/>
      <c r="M26" s="98"/>
      <c r="N26" s="74"/>
      <c r="O26" s="74"/>
      <c r="P26" s="74"/>
      <c r="Q26" s="74"/>
      <c r="R26" s="74"/>
      <c r="S26" s="74"/>
      <c r="T26" s="74"/>
      <c r="U26" s="74"/>
      <c r="V26" s="74"/>
      <c r="W26" s="74"/>
      <c r="X26" s="74"/>
      <c r="Y26" s="74"/>
      <c r="Z26" s="74"/>
    </row>
    <row r="27" ht="14.25" customHeight="1">
      <c r="A27" s="74"/>
      <c r="B27" s="74"/>
      <c r="C27" s="98"/>
      <c r="D27" s="98"/>
      <c r="E27" s="98"/>
      <c r="F27" s="98"/>
      <c r="G27" s="98"/>
      <c r="H27" s="98"/>
      <c r="I27" s="98"/>
      <c r="J27" s="98"/>
      <c r="K27" s="98"/>
      <c r="L27" s="98"/>
      <c r="M27" s="98"/>
      <c r="N27" s="74"/>
      <c r="O27" s="74"/>
      <c r="P27" s="74"/>
      <c r="Q27" s="74"/>
      <c r="R27" s="74"/>
      <c r="S27" s="74"/>
      <c r="T27" s="74"/>
      <c r="U27" s="74"/>
      <c r="V27" s="74"/>
      <c r="W27" s="74"/>
      <c r="X27" s="74"/>
      <c r="Y27" s="74"/>
      <c r="Z27" s="74"/>
    </row>
    <row r="28" ht="14.25" customHeight="1">
      <c r="A28" s="74"/>
      <c r="B28" s="74"/>
      <c r="C28" s="98"/>
      <c r="D28" s="98"/>
      <c r="E28" s="98"/>
      <c r="F28" s="98"/>
      <c r="G28" s="98"/>
      <c r="H28" s="98"/>
      <c r="I28" s="98"/>
      <c r="J28" s="98"/>
      <c r="K28" s="98"/>
      <c r="L28" s="98"/>
      <c r="M28" s="98"/>
      <c r="N28" s="74"/>
      <c r="O28" s="74"/>
      <c r="P28" s="74"/>
      <c r="Q28" s="74"/>
      <c r="R28" s="74"/>
      <c r="S28" s="74"/>
      <c r="T28" s="74"/>
      <c r="U28" s="74"/>
      <c r="V28" s="74"/>
      <c r="W28" s="74"/>
      <c r="X28" s="74"/>
      <c r="Y28" s="74"/>
      <c r="Z28" s="74"/>
    </row>
    <row r="29" ht="14.25" customHeight="1">
      <c r="A29" s="74"/>
      <c r="B29" s="74"/>
      <c r="C29" s="98"/>
      <c r="D29" s="98"/>
      <c r="E29" s="98"/>
      <c r="F29" s="98"/>
      <c r="G29" s="98"/>
      <c r="H29" s="98"/>
      <c r="I29" s="98"/>
      <c r="J29" s="98"/>
      <c r="K29" s="98"/>
      <c r="L29" s="98"/>
      <c r="M29" s="98"/>
      <c r="N29" s="74"/>
      <c r="O29" s="74"/>
      <c r="P29" s="74"/>
      <c r="Q29" s="74"/>
      <c r="R29" s="74"/>
      <c r="S29" s="74"/>
      <c r="T29" s="74"/>
      <c r="U29" s="74"/>
      <c r="V29" s="74"/>
      <c r="W29" s="74"/>
      <c r="X29" s="74"/>
      <c r="Y29" s="74"/>
      <c r="Z29" s="74"/>
    </row>
    <row r="30" ht="14.25" customHeight="1">
      <c r="A30" s="74"/>
      <c r="B30" s="74"/>
      <c r="C30" s="98"/>
      <c r="D30" s="98"/>
      <c r="E30" s="98"/>
      <c r="F30" s="98"/>
      <c r="G30" s="98"/>
      <c r="H30" s="98"/>
      <c r="I30" s="98"/>
      <c r="J30" s="98"/>
      <c r="K30" s="98"/>
      <c r="L30" s="98"/>
      <c r="M30" s="98"/>
      <c r="N30" s="74"/>
      <c r="O30" s="74"/>
      <c r="P30" s="74"/>
      <c r="Q30" s="74"/>
      <c r="R30" s="74"/>
      <c r="S30" s="74"/>
      <c r="T30" s="74"/>
      <c r="U30" s="74"/>
      <c r="V30" s="74"/>
      <c r="W30" s="74"/>
      <c r="X30" s="74"/>
      <c r="Y30" s="74"/>
      <c r="Z30" s="74"/>
    </row>
    <row r="31" ht="14.25" customHeight="1">
      <c r="A31" s="74"/>
      <c r="B31" s="74"/>
      <c r="C31" s="98"/>
      <c r="D31" s="98"/>
      <c r="E31" s="98"/>
      <c r="F31" s="98"/>
      <c r="G31" s="98"/>
      <c r="H31" s="98"/>
      <c r="I31" s="98"/>
      <c r="J31" s="98"/>
      <c r="K31" s="98"/>
      <c r="L31" s="98"/>
      <c r="M31" s="98"/>
      <c r="N31" s="74"/>
      <c r="O31" s="74"/>
      <c r="P31" s="74"/>
      <c r="Q31" s="74"/>
      <c r="R31" s="74"/>
      <c r="S31" s="74"/>
      <c r="T31" s="74"/>
      <c r="U31" s="74"/>
      <c r="V31" s="74"/>
      <c r="W31" s="74"/>
      <c r="X31" s="74"/>
      <c r="Y31" s="74"/>
      <c r="Z31" s="74"/>
    </row>
    <row r="32" ht="14.25" customHeight="1">
      <c r="A32" s="74"/>
      <c r="B32" s="74"/>
      <c r="C32" s="98"/>
      <c r="D32" s="98"/>
      <c r="E32" s="98"/>
      <c r="F32" s="98"/>
      <c r="G32" s="98"/>
      <c r="H32" s="98"/>
      <c r="I32" s="98"/>
      <c r="J32" s="98"/>
      <c r="K32" s="98"/>
      <c r="L32" s="98"/>
      <c r="M32" s="98"/>
      <c r="N32" s="74"/>
      <c r="O32" s="74"/>
      <c r="P32" s="74"/>
      <c r="Q32" s="74"/>
      <c r="R32" s="74"/>
      <c r="S32" s="74"/>
      <c r="T32" s="74"/>
      <c r="U32" s="74"/>
      <c r="V32" s="74"/>
      <c r="W32" s="74"/>
      <c r="X32" s="74"/>
      <c r="Y32" s="74"/>
      <c r="Z32" s="74"/>
    </row>
    <row r="33" ht="14.25" customHeight="1">
      <c r="A33" s="74"/>
      <c r="B33" s="74"/>
      <c r="C33" s="98"/>
      <c r="D33" s="98"/>
      <c r="E33" s="98"/>
      <c r="F33" s="98"/>
      <c r="G33" s="98"/>
      <c r="H33" s="98"/>
      <c r="I33" s="98"/>
      <c r="J33" s="98"/>
      <c r="K33" s="98"/>
      <c r="L33" s="98"/>
      <c r="M33" s="98"/>
      <c r="N33" s="74"/>
      <c r="O33" s="74"/>
      <c r="P33" s="74"/>
      <c r="Q33" s="74"/>
      <c r="R33" s="74"/>
      <c r="S33" s="74"/>
      <c r="T33" s="74"/>
      <c r="U33" s="74"/>
      <c r="V33" s="74"/>
      <c r="W33" s="74"/>
      <c r="X33" s="74"/>
      <c r="Y33" s="74"/>
      <c r="Z33" s="74"/>
    </row>
    <row r="34" ht="14.25" customHeight="1">
      <c r="A34" s="74"/>
      <c r="B34" s="74"/>
      <c r="C34" s="98"/>
      <c r="D34" s="98"/>
      <c r="E34" s="98"/>
      <c r="F34" s="98"/>
      <c r="G34" s="98"/>
      <c r="H34" s="98"/>
      <c r="I34" s="98"/>
      <c r="J34" s="98"/>
      <c r="K34" s="98"/>
      <c r="L34" s="98"/>
      <c r="M34" s="98"/>
      <c r="N34" s="74"/>
      <c r="O34" s="74"/>
      <c r="P34" s="74"/>
      <c r="Q34" s="74"/>
      <c r="R34" s="74"/>
      <c r="S34" s="74"/>
      <c r="T34" s="74"/>
      <c r="U34" s="74"/>
      <c r="V34" s="74"/>
      <c r="W34" s="74"/>
      <c r="X34" s="74"/>
      <c r="Y34" s="74"/>
      <c r="Z34" s="74"/>
    </row>
    <row r="35" ht="14.25" customHeight="1">
      <c r="A35" s="74"/>
      <c r="B35" s="74"/>
      <c r="C35" s="98"/>
      <c r="D35" s="98"/>
      <c r="E35" s="98"/>
      <c r="F35" s="98"/>
      <c r="G35" s="98"/>
      <c r="H35" s="98"/>
      <c r="I35" s="98"/>
      <c r="J35" s="98"/>
      <c r="K35" s="98"/>
      <c r="L35" s="98"/>
      <c r="M35" s="98"/>
      <c r="N35" s="74"/>
      <c r="O35" s="74"/>
      <c r="P35" s="74"/>
      <c r="Q35" s="74"/>
      <c r="R35" s="74"/>
      <c r="S35" s="74"/>
      <c r="T35" s="74"/>
      <c r="U35" s="74"/>
      <c r="V35" s="74"/>
      <c r="W35" s="74"/>
      <c r="X35" s="74"/>
      <c r="Y35" s="74"/>
      <c r="Z35" s="74"/>
    </row>
    <row r="36" ht="14.25" customHeight="1">
      <c r="A36" s="74"/>
      <c r="B36" s="74"/>
      <c r="C36" s="98"/>
      <c r="D36" s="98"/>
      <c r="E36" s="98"/>
      <c r="F36" s="98"/>
      <c r="G36" s="98"/>
      <c r="H36" s="98"/>
      <c r="I36" s="98"/>
      <c r="J36" s="98"/>
      <c r="K36" s="98"/>
      <c r="L36" s="99" t="s">
        <v>93</v>
      </c>
      <c r="M36" s="98"/>
      <c r="N36" s="74"/>
      <c r="O36" s="74"/>
      <c r="P36" s="74"/>
      <c r="Q36" s="74"/>
      <c r="R36" s="74"/>
      <c r="S36" s="74"/>
      <c r="T36" s="74"/>
      <c r="U36" s="74"/>
      <c r="V36" s="74"/>
      <c r="W36" s="74"/>
      <c r="X36" s="74"/>
      <c r="Y36" s="74"/>
      <c r="Z36" s="74"/>
    </row>
    <row r="37" ht="14.25" customHeight="1">
      <c r="A37" s="74"/>
      <c r="B37" s="74"/>
      <c r="C37" s="98"/>
      <c r="D37" s="98"/>
      <c r="E37" s="98"/>
      <c r="F37" s="98"/>
      <c r="G37" s="98"/>
      <c r="H37" s="98"/>
      <c r="I37" s="98"/>
      <c r="J37" s="98"/>
      <c r="K37" s="98"/>
      <c r="L37" s="98" t="s">
        <v>94</v>
      </c>
      <c r="M37" s="98"/>
      <c r="N37" s="74"/>
      <c r="O37" s="74"/>
      <c r="P37" s="74"/>
      <c r="Q37" s="74"/>
      <c r="R37" s="74"/>
      <c r="S37" s="74"/>
      <c r="T37" s="74"/>
      <c r="U37" s="74"/>
      <c r="V37" s="74"/>
      <c r="W37" s="74"/>
      <c r="X37" s="74"/>
      <c r="Y37" s="74"/>
      <c r="Z37" s="74"/>
    </row>
    <row r="38" ht="14.25" customHeight="1">
      <c r="A38" s="74"/>
      <c r="B38" s="74"/>
      <c r="C38" s="98"/>
      <c r="D38" s="98"/>
      <c r="E38" s="98"/>
      <c r="F38" s="98"/>
      <c r="G38" s="98"/>
      <c r="H38" s="98"/>
      <c r="I38" s="98"/>
      <c r="J38" s="98"/>
      <c r="K38" s="98"/>
      <c r="L38" s="98" t="s">
        <v>95</v>
      </c>
      <c r="M38" s="98"/>
      <c r="N38" s="74"/>
      <c r="O38" s="74"/>
      <c r="P38" s="74"/>
      <c r="Q38" s="74"/>
      <c r="R38" s="74"/>
      <c r="S38" s="74"/>
      <c r="T38" s="74"/>
      <c r="U38" s="74"/>
      <c r="V38" s="74"/>
      <c r="W38" s="74"/>
      <c r="X38" s="74"/>
      <c r="Y38" s="74"/>
      <c r="Z38" s="74"/>
    </row>
    <row r="39" ht="14.25" customHeight="1">
      <c r="A39" s="74"/>
      <c r="B39" s="74"/>
      <c r="C39" s="98"/>
      <c r="D39" s="98"/>
      <c r="E39" s="98"/>
      <c r="F39" s="98"/>
      <c r="G39" s="98"/>
      <c r="H39" s="98"/>
      <c r="I39" s="98"/>
      <c r="J39" s="98"/>
      <c r="K39" s="98"/>
      <c r="L39" s="98" t="s">
        <v>96</v>
      </c>
      <c r="M39" s="98"/>
      <c r="N39" s="74"/>
      <c r="O39" s="74"/>
      <c r="P39" s="74"/>
      <c r="Q39" s="74"/>
      <c r="R39" s="74"/>
      <c r="S39" s="74"/>
      <c r="T39" s="74"/>
      <c r="U39" s="74"/>
      <c r="V39" s="74"/>
      <c r="W39" s="74"/>
      <c r="X39" s="74"/>
      <c r="Y39" s="74"/>
      <c r="Z39" s="74"/>
    </row>
    <row r="40" ht="14.25" customHeight="1">
      <c r="A40" s="74"/>
      <c r="B40" s="74"/>
      <c r="C40" s="98"/>
      <c r="D40" s="98"/>
      <c r="E40" s="98"/>
      <c r="F40" s="98"/>
      <c r="G40" s="98"/>
      <c r="H40" s="98"/>
      <c r="I40" s="98"/>
      <c r="J40" s="98"/>
      <c r="K40" s="98"/>
      <c r="L40" s="98"/>
      <c r="M40" s="98"/>
      <c r="N40" s="74"/>
      <c r="O40" s="74"/>
      <c r="P40" s="74"/>
      <c r="Q40" s="74"/>
      <c r="R40" s="74"/>
      <c r="S40" s="74"/>
      <c r="T40" s="74"/>
      <c r="U40" s="74"/>
      <c r="V40" s="74"/>
      <c r="W40" s="74"/>
      <c r="X40" s="74"/>
      <c r="Y40" s="74"/>
      <c r="Z40" s="74"/>
    </row>
    <row r="41" ht="14.25" customHeight="1">
      <c r="A41" s="74"/>
      <c r="B41" s="74"/>
      <c r="C41" s="98"/>
      <c r="D41" s="98"/>
      <c r="E41" s="98"/>
      <c r="F41" s="98"/>
      <c r="G41" s="98"/>
      <c r="H41" s="98"/>
      <c r="I41" s="98"/>
      <c r="J41" s="98"/>
      <c r="K41" s="98"/>
      <c r="L41" s="98"/>
      <c r="M41" s="98"/>
      <c r="N41" s="100" t="s">
        <v>93</v>
      </c>
      <c r="O41" s="74"/>
      <c r="P41" s="74"/>
      <c r="Q41" s="74"/>
      <c r="R41" s="74"/>
      <c r="S41" s="74"/>
      <c r="T41" s="74"/>
      <c r="U41" s="74"/>
      <c r="V41" s="74"/>
      <c r="W41" s="74"/>
      <c r="X41" s="74"/>
      <c r="Y41" s="74"/>
      <c r="Z41" s="74"/>
    </row>
    <row r="42" ht="14.25" customHeight="1">
      <c r="A42" s="74"/>
      <c r="B42" s="74"/>
      <c r="C42" s="98"/>
      <c r="D42" s="98"/>
      <c r="E42" s="98"/>
      <c r="F42" s="98"/>
      <c r="G42" s="98"/>
      <c r="H42" s="98"/>
      <c r="I42" s="98"/>
      <c r="J42" s="98"/>
      <c r="K42" s="98"/>
      <c r="L42" s="98"/>
      <c r="M42" s="98"/>
      <c r="N42" s="101" t="s">
        <v>94</v>
      </c>
      <c r="O42" s="74"/>
      <c r="P42" s="74"/>
      <c r="Q42" s="74"/>
      <c r="R42" s="74"/>
      <c r="S42" s="74"/>
      <c r="T42" s="74"/>
      <c r="U42" s="74"/>
      <c r="V42" s="74"/>
      <c r="W42" s="74"/>
      <c r="X42" s="74"/>
      <c r="Y42" s="74"/>
      <c r="Z42" s="74"/>
    </row>
    <row r="43" ht="14.25" customHeight="1">
      <c r="A43" s="74"/>
      <c r="B43" s="74"/>
      <c r="C43" s="98"/>
      <c r="D43" s="98"/>
      <c r="E43" s="98"/>
      <c r="F43" s="98"/>
      <c r="G43" s="98"/>
      <c r="H43" s="98"/>
      <c r="I43" s="98"/>
      <c r="J43" s="98"/>
      <c r="K43" s="98"/>
      <c r="L43" s="98"/>
      <c r="M43" s="98"/>
      <c r="N43" s="101" t="s">
        <v>95</v>
      </c>
      <c r="O43" s="74"/>
      <c r="P43" s="74"/>
      <c r="Q43" s="74"/>
      <c r="R43" s="74"/>
      <c r="S43" s="74"/>
      <c r="T43" s="74"/>
      <c r="U43" s="74"/>
      <c r="V43" s="74"/>
      <c r="W43" s="74"/>
      <c r="X43" s="74"/>
      <c r="Y43" s="74"/>
      <c r="Z43" s="74"/>
    </row>
    <row r="44" ht="14.25" customHeight="1">
      <c r="A44" s="74"/>
      <c r="B44" s="74"/>
      <c r="C44" s="98"/>
      <c r="D44" s="98"/>
      <c r="E44" s="98"/>
      <c r="F44" s="98"/>
      <c r="G44" s="98"/>
      <c r="H44" s="98"/>
      <c r="I44" s="98"/>
      <c r="J44" s="98"/>
      <c r="K44" s="98"/>
      <c r="L44" s="98"/>
      <c r="M44" s="98"/>
      <c r="N44" s="101" t="s">
        <v>96</v>
      </c>
      <c r="O44" s="74"/>
      <c r="P44" s="74"/>
      <c r="Q44" s="74"/>
      <c r="R44" s="74"/>
      <c r="S44" s="74"/>
      <c r="T44" s="74"/>
      <c r="U44" s="74"/>
      <c r="V44" s="74"/>
      <c r="W44" s="74"/>
      <c r="X44" s="74"/>
      <c r="Y44" s="74"/>
      <c r="Z44" s="74"/>
    </row>
    <row r="45" ht="14.25" customHeight="1">
      <c r="A45" s="74"/>
      <c r="B45" s="74"/>
      <c r="C45" s="98"/>
      <c r="D45" s="98"/>
      <c r="E45" s="98"/>
      <c r="F45" s="98"/>
      <c r="G45" s="98"/>
      <c r="H45" s="98"/>
      <c r="I45" s="98"/>
      <c r="J45" s="98"/>
      <c r="K45" s="98"/>
      <c r="L45" s="98"/>
      <c r="M45" s="98"/>
      <c r="N45" s="74"/>
      <c r="O45" s="74"/>
      <c r="P45" s="74"/>
      <c r="Q45" s="74"/>
      <c r="R45" s="74"/>
      <c r="S45" s="74"/>
      <c r="T45" s="74"/>
      <c r="U45" s="74"/>
      <c r="V45" s="74"/>
      <c r="W45" s="74"/>
      <c r="X45" s="74"/>
      <c r="Y45" s="74"/>
      <c r="Z45" s="74"/>
    </row>
    <row r="46" ht="14.25" customHeight="1">
      <c r="A46" s="74"/>
      <c r="B46" s="74"/>
      <c r="C46" s="98"/>
      <c r="D46" s="98"/>
      <c r="E46" s="98"/>
      <c r="F46" s="98"/>
      <c r="G46" s="98"/>
      <c r="H46" s="98"/>
      <c r="I46" s="98"/>
      <c r="J46" s="98"/>
      <c r="K46" s="98"/>
      <c r="L46" s="98"/>
      <c r="M46" s="98"/>
      <c r="N46" s="74"/>
      <c r="O46" s="74"/>
      <c r="P46" s="74"/>
      <c r="Q46" s="74"/>
      <c r="R46" s="74"/>
      <c r="S46" s="74"/>
      <c r="T46" s="74"/>
      <c r="U46" s="74"/>
      <c r="V46" s="74"/>
      <c r="W46" s="74"/>
      <c r="X46" s="74"/>
      <c r="Y46" s="74"/>
      <c r="Z46" s="74"/>
    </row>
    <row r="47" ht="14.25" customHeight="1">
      <c r="A47" s="74"/>
      <c r="B47" s="74"/>
      <c r="C47" s="98"/>
      <c r="D47" s="98"/>
      <c r="E47" s="98"/>
      <c r="F47" s="98"/>
      <c r="G47" s="98"/>
      <c r="H47" s="98"/>
      <c r="I47" s="98"/>
      <c r="J47" s="98"/>
      <c r="K47" s="98"/>
      <c r="L47" s="98"/>
      <c r="M47" s="98"/>
      <c r="N47" s="74"/>
      <c r="O47" s="74"/>
      <c r="P47" s="74"/>
      <c r="Q47" s="74"/>
      <c r="R47" s="74"/>
      <c r="S47" s="74"/>
      <c r="T47" s="74"/>
      <c r="U47" s="74"/>
      <c r="V47" s="74"/>
      <c r="W47" s="74"/>
      <c r="X47" s="74"/>
      <c r="Y47" s="74"/>
      <c r="Z47" s="74"/>
    </row>
    <row r="48" ht="14.25" customHeight="1">
      <c r="A48" s="74"/>
      <c r="B48" s="74"/>
      <c r="C48" s="98"/>
      <c r="D48" s="98"/>
      <c r="E48" s="98"/>
      <c r="F48" s="98"/>
      <c r="G48" s="98"/>
      <c r="H48" s="98"/>
      <c r="I48" s="98"/>
      <c r="J48" s="98"/>
      <c r="K48" s="98"/>
      <c r="L48" s="98"/>
      <c r="M48" s="98"/>
      <c r="N48" s="74"/>
      <c r="O48" s="74"/>
      <c r="P48" s="74"/>
      <c r="Q48" s="74"/>
      <c r="R48" s="74"/>
      <c r="S48" s="74"/>
      <c r="T48" s="74"/>
      <c r="U48" s="74"/>
      <c r="V48" s="74"/>
      <c r="W48" s="74"/>
      <c r="X48" s="74"/>
      <c r="Y48" s="74"/>
      <c r="Z48" s="74"/>
    </row>
    <row r="49" ht="14.25" customHeight="1">
      <c r="A49" s="74"/>
      <c r="B49" s="74"/>
      <c r="C49" s="98"/>
      <c r="D49" s="98"/>
      <c r="E49" s="98"/>
      <c r="F49" s="102"/>
      <c r="G49" s="102"/>
      <c r="H49" s="98"/>
      <c r="I49" s="98"/>
      <c r="J49" s="98"/>
      <c r="K49" s="98"/>
      <c r="L49" s="103"/>
      <c r="M49" s="98"/>
      <c r="N49" s="104"/>
      <c r="O49" s="105"/>
      <c r="P49" s="74"/>
      <c r="Q49" s="74"/>
      <c r="R49" s="74"/>
      <c r="S49" s="74"/>
      <c r="T49" s="74"/>
      <c r="U49" s="74"/>
      <c r="V49" s="74"/>
      <c r="W49" s="74"/>
      <c r="X49" s="74"/>
      <c r="Y49" s="74"/>
      <c r="Z49" s="74"/>
    </row>
    <row r="50" ht="14.25" customHeight="1">
      <c r="A50" s="74"/>
      <c r="B50" s="74"/>
      <c r="C50" s="98"/>
      <c r="D50" s="98"/>
      <c r="E50" s="98"/>
      <c r="F50" s="106"/>
      <c r="G50" s="103"/>
      <c r="H50" s="98"/>
      <c r="I50" s="98"/>
      <c r="J50" s="98"/>
      <c r="K50" s="98"/>
      <c r="L50" s="107"/>
      <c r="M50" s="107"/>
      <c r="N50" s="108"/>
      <c r="O50" s="105"/>
      <c r="P50" s="74"/>
      <c r="Q50" s="74"/>
      <c r="R50" s="74"/>
      <c r="S50" s="74"/>
      <c r="T50" s="74"/>
      <c r="U50" s="74"/>
      <c r="V50" s="74"/>
      <c r="W50" s="74"/>
      <c r="X50" s="74"/>
      <c r="Y50" s="74"/>
      <c r="Z50" s="74"/>
    </row>
    <row r="51" ht="14.25" customHeight="1">
      <c r="A51" s="74"/>
      <c r="B51" s="74"/>
      <c r="C51" s="98"/>
      <c r="D51" s="98"/>
      <c r="E51" s="98"/>
      <c r="F51" s="106"/>
      <c r="G51" s="103"/>
      <c r="H51" s="98"/>
      <c r="I51" s="98"/>
      <c r="J51" s="98"/>
      <c r="K51" s="98"/>
      <c r="L51" s="98"/>
      <c r="M51" s="98"/>
      <c r="N51" s="74"/>
      <c r="O51" s="74"/>
      <c r="P51" s="74"/>
      <c r="Q51" s="74"/>
      <c r="R51" s="74"/>
      <c r="S51" s="74"/>
      <c r="T51" s="74"/>
      <c r="U51" s="74"/>
      <c r="V51" s="74"/>
      <c r="W51" s="74"/>
      <c r="X51" s="74"/>
      <c r="Y51" s="74"/>
      <c r="Z51" s="74"/>
    </row>
    <row r="52" ht="14.25" customHeight="1">
      <c r="A52" s="74"/>
      <c r="B52" s="74"/>
      <c r="C52" s="98"/>
      <c r="D52" s="98"/>
      <c r="E52" s="98"/>
      <c r="F52" s="106"/>
      <c r="G52" s="103"/>
      <c r="H52" s="98"/>
      <c r="I52" s="98"/>
      <c r="J52" s="98"/>
      <c r="K52" s="98"/>
      <c r="L52" s="98"/>
      <c r="M52" s="98"/>
      <c r="N52" s="74"/>
      <c r="O52" s="74"/>
      <c r="P52" s="74"/>
      <c r="Q52" s="74"/>
      <c r="R52" s="74"/>
      <c r="S52" s="74"/>
      <c r="T52" s="74"/>
      <c r="U52" s="74"/>
      <c r="V52" s="74"/>
      <c r="W52" s="74"/>
      <c r="X52" s="74"/>
      <c r="Y52" s="74"/>
      <c r="Z52" s="74"/>
    </row>
    <row r="53" ht="14.25" customHeight="1">
      <c r="A53" s="74"/>
      <c r="B53" s="74"/>
      <c r="C53" s="98"/>
      <c r="D53" s="98"/>
      <c r="E53" s="98"/>
      <c r="F53" s="106"/>
      <c r="G53" s="103"/>
      <c r="H53" s="98"/>
      <c r="I53" s="98"/>
      <c r="J53" s="98"/>
      <c r="K53" s="98"/>
      <c r="L53" s="98"/>
      <c r="M53" s="98"/>
      <c r="N53" s="74"/>
      <c r="O53" s="74"/>
      <c r="P53" s="74"/>
      <c r="Q53" s="74"/>
      <c r="R53" s="74"/>
      <c r="S53" s="74"/>
      <c r="T53" s="74"/>
      <c r="U53" s="74"/>
      <c r="V53" s="74"/>
      <c r="W53" s="74"/>
      <c r="X53" s="74"/>
      <c r="Y53" s="74"/>
      <c r="Z53" s="74"/>
    </row>
    <row r="54" ht="14.25" customHeight="1">
      <c r="A54" s="74"/>
      <c r="B54" s="74"/>
      <c r="C54" s="98"/>
      <c r="D54" s="98"/>
      <c r="E54" s="98"/>
      <c r="F54" s="106"/>
      <c r="G54" s="103"/>
      <c r="H54" s="98"/>
      <c r="I54" s="98"/>
      <c r="J54" s="98"/>
      <c r="K54" s="98"/>
      <c r="L54" s="98"/>
      <c r="M54" s="98"/>
      <c r="N54" s="74"/>
      <c r="O54" s="74"/>
      <c r="P54" s="74"/>
      <c r="Q54" s="74"/>
      <c r="R54" s="74"/>
      <c r="S54" s="74"/>
      <c r="T54" s="74"/>
      <c r="U54" s="74"/>
      <c r="V54" s="74"/>
      <c r="W54" s="74"/>
      <c r="X54" s="74"/>
      <c r="Y54" s="74"/>
      <c r="Z54" s="74"/>
    </row>
    <row r="55" ht="14.25" customHeight="1">
      <c r="A55" s="74"/>
      <c r="B55" s="74"/>
      <c r="C55" s="98"/>
      <c r="D55" s="98"/>
      <c r="E55" s="98"/>
      <c r="F55" s="106"/>
      <c r="G55" s="103"/>
      <c r="H55" s="98"/>
      <c r="I55" s="98"/>
      <c r="J55" s="98"/>
      <c r="K55" s="98"/>
      <c r="L55" s="98"/>
      <c r="M55" s="98"/>
      <c r="N55" s="74"/>
      <c r="O55" s="74"/>
      <c r="P55" s="74"/>
      <c r="Q55" s="74"/>
      <c r="R55" s="74"/>
      <c r="S55" s="74"/>
      <c r="T55" s="74"/>
      <c r="U55" s="74"/>
      <c r="V55" s="74"/>
      <c r="W55" s="74"/>
      <c r="X55" s="74"/>
      <c r="Y55" s="74"/>
      <c r="Z55" s="74"/>
    </row>
    <row r="56" ht="14.25" customHeight="1">
      <c r="A56" s="74"/>
      <c r="B56" s="74"/>
      <c r="C56" s="98"/>
      <c r="D56" s="98"/>
      <c r="E56" s="98"/>
      <c r="F56" s="98"/>
      <c r="G56" s="98"/>
      <c r="H56" s="98"/>
      <c r="I56" s="98"/>
      <c r="J56" s="98"/>
      <c r="K56" s="98"/>
      <c r="L56" s="98"/>
      <c r="M56" s="98"/>
      <c r="N56" s="74"/>
      <c r="O56" s="74"/>
      <c r="P56" s="74"/>
      <c r="Q56" s="74"/>
      <c r="R56" s="74"/>
      <c r="S56" s="74"/>
      <c r="T56" s="74"/>
      <c r="U56" s="74"/>
      <c r="V56" s="74"/>
      <c r="W56" s="74"/>
      <c r="X56" s="74"/>
      <c r="Y56" s="74"/>
      <c r="Z56" s="74"/>
    </row>
    <row r="57" ht="14.25" customHeight="1">
      <c r="A57" s="74"/>
      <c r="B57" s="74"/>
      <c r="C57" s="98"/>
      <c r="D57" s="98"/>
      <c r="E57" s="98"/>
      <c r="F57" s="98"/>
      <c r="G57" s="98"/>
      <c r="H57" s="98"/>
      <c r="I57" s="98"/>
      <c r="J57" s="98"/>
      <c r="K57" s="98"/>
      <c r="L57" s="98"/>
      <c r="M57" s="98"/>
      <c r="N57" s="74"/>
      <c r="O57" s="74"/>
      <c r="P57" s="74"/>
      <c r="Q57" s="74"/>
      <c r="R57" s="74"/>
      <c r="S57" s="74"/>
      <c r="T57" s="74"/>
      <c r="U57" s="74"/>
      <c r="V57" s="74"/>
      <c r="W57" s="74"/>
      <c r="X57" s="74"/>
      <c r="Y57" s="74"/>
      <c r="Z57" s="74"/>
    </row>
    <row r="58" ht="14.25" customHeight="1">
      <c r="A58" s="74"/>
      <c r="B58" s="74"/>
      <c r="C58" s="98"/>
      <c r="D58" s="98"/>
      <c r="E58" s="98"/>
      <c r="F58" s="98"/>
      <c r="G58" s="98"/>
      <c r="H58" s="98"/>
      <c r="I58" s="98"/>
      <c r="J58" s="98"/>
      <c r="K58" s="98"/>
      <c r="L58" s="98"/>
      <c r="M58" s="98"/>
      <c r="N58" s="74"/>
      <c r="O58" s="74"/>
      <c r="P58" s="74"/>
      <c r="Q58" s="74"/>
      <c r="R58" s="74"/>
      <c r="S58" s="74"/>
      <c r="T58" s="74"/>
      <c r="U58" s="74"/>
      <c r="V58" s="74"/>
      <c r="W58" s="74"/>
      <c r="X58" s="74"/>
      <c r="Y58" s="74"/>
      <c r="Z58" s="74"/>
    </row>
    <row r="59" ht="14.25" customHeight="1">
      <c r="A59" s="74"/>
      <c r="B59" s="74"/>
      <c r="C59" s="98"/>
      <c r="D59" s="98"/>
      <c r="E59" s="98"/>
      <c r="F59" s="98"/>
      <c r="G59" s="98"/>
      <c r="H59" s="98"/>
      <c r="I59" s="98"/>
      <c r="J59" s="98"/>
      <c r="K59" s="98"/>
      <c r="L59" s="98"/>
      <c r="M59" s="98"/>
      <c r="N59" s="74"/>
      <c r="O59" s="74"/>
      <c r="P59" s="74"/>
      <c r="Q59" s="74"/>
      <c r="R59" s="74"/>
      <c r="S59" s="74"/>
      <c r="T59" s="74"/>
      <c r="U59" s="74"/>
      <c r="V59" s="74"/>
      <c r="W59" s="74"/>
      <c r="X59" s="74"/>
      <c r="Y59" s="74"/>
      <c r="Z59" s="74"/>
    </row>
    <row r="60" ht="14.25" customHeight="1">
      <c r="A60" s="74"/>
      <c r="B60" s="74"/>
      <c r="C60" s="98"/>
      <c r="D60" s="98"/>
      <c r="E60" s="98"/>
      <c r="F60" s="98"/>
      <c r="G60" s="98"/>
      <c r="H60" s="98"/>
      <c r="I60" s="98"/>
      <c r="J60" s="98"/>
      <c r="K60" s="98"/>
      <c r="L60" s="98"/>
      <c r="M60" s="98"/>
      <c r="N60" s="74"/>
      <c r="O60" s="74"/>
      <c r="P60" s="74"/>
      <c r="Q60" s="74"/>
      <c r="R60" s="74"/>
      <c r="S60" s="74"/>
      <c r="T60" s="74"/>
      <c r="U60" s="74"/>
      <c r="V60" s="74"/>
      <c r="W60" s="74"/>
      <c r="X60" s="74"/>
      <c r="Y60" s="74"/>
      <c r="Z60" s="74"/>
    </row>
    <row r="61" ht="14.25" customHeight="1">
      <c r="A61" s="74"/>
      <c r="B61" s="74"/>
      <c r="C61" s="98"/>
      <c r="D61" s="98"/>
      <c r="E61" s="98"/>
      <c r="F61" s="98"/>
      <c r="G61" s="98"/>
      <c r="H61" s="98"/>
      <c r="I61" s="98"/>
      <c r="J61" s="98"/>
      <c r="K61" s="98"/>
      <c r="L61" s="98"/>
      <c r="M61" s="98"/>
      <c r="N61" s="74"/>
      <c r="O61" s="109"/>
      <c r="P61" s="74"/>
      <c r="Q61" s="74"/>
      <c r="R61" s="74"/>
      <c r="S61" s="74"/>
      <c r="T61" s="74"/>
      <c r="U61" s="74"/>
      <c r="V61" s="74"/>
      <c r="W61" s="74"/>
      <c r="X61" s="74"/>
      <c r="Y61" s="74"/>
      <c r="Z61" s="74"/>
    </row>
    <row r="62" ht="14.25" customHeight="1">
      <c r="A62" s="74"/>
      <c r="B62" s="74"/>
      <c r="C62" s="98"/>
      <c r="D62" s="98"/>
      <c r="E62" s="98"/>
      <c r="F62" s="98"/>
      <c r="G62" s="98"/>
      <c r="H62" s="98"/>
      <c r="I62" s="98"/>
      <c r="J62" s="98"/>
      <c r="K62" s="98"/>
      <c r="L62" s="98"/>
      <c r="M62" s="98"/>
      <c r="N62" s="74"/>
      <c r="O62" s="105"/>
      <c r="P62" s="74"/>
      <c r="Q62" s="74"/>
      <c r="R62" s="74"/>
      <c r="S62" s="74"/>
      <c r="T62" s="74"/>
      <c r="U62" s="74"/>
      <c r="V62" s="74"/>
      <c r="W62" s="74"/>
      <c r="X62" s="74"/>
      <c r="Y62" s="74"/>
      <c r="Z62" s="74"/>
    </row>
    <row r="63" ht="14.25" customHeight="1">
      <c r="A63" s="74"/>
      <c r="B63" s="74"/>
      <c r="C63" s="98"/>
      <c r="D63" s="98"/>
      <c r="E63" s="98"/>
      <c r="F63" s="98"/>
      <c r="G63" s="98"/>
      <c r="H63" s="98"/>
      <c r="I63" s="98"/>
      <c r="J63" s="98"/>
      <c r="K63" s="98"/>
      <c r="L63" s="98"/>
      <c r="M63" s="98"/>
      <c r="N63" s="74"/>
      <c r="O63" s="105"/>
      <c r="P63" s="74"/>
      <c r="Q63" s="74"/>
      <c r="R63" s="74"/>
      <c r="S63" s="74"/>
      <c r="T63" s="74"/>
      <c r="U63" s="74"/>
      <c r="V63" s="74"/>
      <c r="W63" s="74"/>
      <c r="X63" s="74"/>
      <c r="Y63" s="74"/>
      <c r="Z63" s="74"/>
    </row>
    <row r="64" ht="14.25" customHeight="1">
      <c r="A64" s="74"/>
      <c r="B64" s="74"/>
      <c r="C64" s="98"/>
      <c r="D64" s="98"/>
      <c r="E64" s="98"/>
      <c r="F64" s="98"/>
      <c r="G64" s="98"/>
      <c r="H64" s="98"/>
      <c r="I64" s="98"/>
      <c r="J64" s="98"/>
      <c r="K64" s="98"/>
      <c r="L64" s="98"/>
      <c r="M64" s="98"/>
      <c r="N64" s="74"/>
      <c r="O64" s="105"/>
      <c r="P64" s="74"/>
      <c r="Q64" s="74"/>
      <c r="R64" s="74"/>
      <c r="S64" s="74"/>
      <c r="T64" s="74"/>
      <c r="U64" s="74"/>
      <c r="V64" s="74"/>
      <c r="W64" s="74"/>
      <c r="X64" s="74"/>
      <c r="Y64" s="74"/>
      <c r="Z64" s="74"/>
    </row>
    <row r="65" ht="14.25" customHeight="1">
      <c r="A65" s="74"/>
      <c r="B65" s="74"/>
      <c r="C65" s="98"/>
      <c r="D65" s="98"/>
      <c r="E65" s="98"/>
      <c r="F65" s="98"/>
      <c r="G65" s="98" t="s">
        <v>97</v>
      </c>
      <c r="H65" s="98"/>
      <c r="I65" s="98"/>
      <c r="J65" s="98"/>
      <c r="K65" s="98"/>
      <c r="L65" s="98"/>
      <c r="M65" s="98"/>
      <c r="N65" s="74"/>
      <c r="O65" s="105"/>
      <c r="P65" s="74"/>
      <c r="Q65" s="74"/>
      <c r="R65" s="74"/>
      <c r="S65" s="74"/>
      <c r="T65" s="74"/>
      <c r="U65" s="74"/>
      <c r="V65" s="74"/>
      <c r="W65" s="74"/>
      <c r="X65" s="74"/>
      <c r="Y65" s="74"/>
      <c r="Z65" s="74"/>
    </row>
    <row r="66" ht="14.25" customHeight="1">
      <c r="A66" s="74"/>
      <c r="B66" s="74"/>
      <c r="C66" s="74"/>
      <c r="D66" s="74"/>
      <c r="E66" s="74"/>
      <c r="F66" s="74"/>
      <c r="G66" s="74"/>
      <c r="H66" s="74"/>
      <c r="I66" s="74"/>
      <c r="J66" s="74"/>
      <c r="K66" s="74"/>
      <c r="L66" s="74"/>
      <c r="M66" s="74"/>
      <c r="N66" s="74"/>
      <c r="O66" s="105"/>
      <c r="P66" s="74"/>
      <c r="Q66" s="74"/>
      <c r="R66" s="74"/>
      <c r="S66" s="74"/>
      <c r="T66" s="74"/>
      <c r="U66" s="74"/>
      <c r="V66" s="74"/>
      <c r="W66" s="74"/>
      <c r="X66" s="74"/>
      <c r="Y66" s="74"/>
      <c r="Z66" s="74"/>
    </row>
    <row r="67" ht="14.25" customHeight="1">
      <c r="A67" s="74"/>
      <c r="B67" s="110" t="s">
        <v>98</v>
      </c>
      <c r="C67" s="74"/>
      <c r="D67" s="74"/>
      <c r="E67" s="74"/>
      <c r="F67" s="74"/>
      <c r="G67" s="74"/>
      <c r="H67" s="74"/>
      <c r="I67" s="74"/>
      <c r="J67" s="74"/>
      <c r="K67" s="74"/>
      <c r="L67" s="89"/>
      <c r="M67" s="74"/>
      <c r="N67" s="74"/>
      <c r="O67" s="105"/>
      <c r="P67" s="74"/>
      <c r="Q67" s="74"/>
      <c r="R67" s="74"/>
      <c r="S67" s="74"/>
      <c r="T67" s="74"/>
      <c r="U67" s="74"/>
      <c r="V67" s="74"/>
      <c r="W67" s="74"/>
      <c r="X67" s="74"/>
      <c r="Y67" s="74"/>
      <c r="Z67" s="74"/>
    </row>
    <row r="68" ht="14.25" customHeight="1">
      <c r="A68" s="74"/>
      <c r="B68" s="74"/>
      <c r="C68" s="74"/>
      <c r="D68" s="74"/>
      <c r="E68" s="74"/>
      <c r="F68" s="74"/>
      <c r="G68" s="74"/>
      <c r="H68" s="74"/>
      <c r="I68" s="74"/>
      <c r="J68" s="74"/>
      <c r="K68" s="74"/>
      <c r="L68" s="74"/>
      <c r="M68" s="74"/>
      <c r="N68" s="74"/>
      <c r="O68" s="105"/>
      <c r="P68" s="74"/>
      <c r="Q68" s="74"/>
      <c r="R68" s="74"/>
      <c r="S68" s="74"/>
      <c r="T68" s="74"/>
      <c r="U68" s="74"/>
      <c r="V68" s="74"/>
      <c r="W68" s="74"/>
      <c r="X68" s="74"/>
      <c r="Y68" s="74"/>
      <c r="Z68" s="74"/>
    </row>
    <row r="69" ht="14.25" customHeight="1">
      <c r="A69" s="74"/>
      <c r="B69" s="74"/>
      <c r="C69" s="111"/>
      <c r="D69" s="111"/>
      <c r="E69" s="112"/>
      <c r="F69" s="91"/>
      <c r="G69" s="113"/>
      <c r="H69" s="74"/>
      <c r="I69" s="74"/>
      <c r="J69" s="74"/>
      <c r="K69" s="74"/>
      <c r="L69" s="74"/>
      <c r="M69" s="104"/>
      <c r="N69" s="109"/>
      <c r="O69" s="105"/>
      <c r="P69" s="74"/>
      <c r="Q69" s="74"/>
      <c r="R69" s="74"/>
      <c r="S69" s="74"/>
      <c r="T69" s="74"/>
      <c r="U69" s="74"/>
      <c r="V69" s="74"/>
      <c r="W69" s="74"/>
      <c r="X69" s="74"/>
      <c r="Y69" s="74"/>
      <c r="Z69" s="74"/>
    </row>
    <row r="70" ht="14.25" customHeight="1">
      <c r="A70" s="74"/>
      <c r="B70" s="114" t="s">
        <v>99</v>
      </c>
      <c r="C70" s="115"/>
      <c r="D70" s="116"/>
      <c r="E70" s="117"/>
      <c r="F70" s="118" t="s">
        <v>100</v>
      </c>
      <c r="G70" s="119"/>
      <c r="H70" s="120"/>
      <c r="I70" s="117"/>
      <c r="J70" s="118" t="s">
        <v>101</v>
      </c>
      <c r="K70" s="118"/>
      <c r="L70" s="117"/>
      <c r="M70" s="74"/>
      <c r="N70" s="104"/>
      <c r="O70" s="105"/>
      <c r="P70" s="74"/>
      <c r="Q70" s="74"/>
      <c r="R70" s="74"/>
      <c r="S70" s="74"/>
      <c r="T70" s="74"/>
      <c r="U70" s="74"/>
      <c r="V70" s="74"/>
      <c r="W70" s="74"/>
      <c r="X70" s="74"/>
      <c r="Y70" s="74"/>
      <c r="Z70" s="74"/>
    </row>
    <row r="71" ht="14.25" customHeight="1">
      <c r="A71" s="74"/>
      <c r="B71" s="121" t="s">
        <v>102</v>
      </c>
      <c r="C71" s="121" t="s">
        <v>103</v>
      </c>
      <c r="D71" s="121" t="s">
        <v>104</v>
      </c>
      <c r="E71" s="117"/>
      <c r="F71" s="121" t="s">
        <v>102</v>
      </c>
      <c r="G71" s="121" t="s">
        <v>103</v>
      </c>
      <c r="H71" s="121" t="s">
        <v>104</v>
      </c>
      <c r="I71" s="117"/>
      <c r="J71" s="118" t="s">
        <v>105</v>
      </c>
      <c r="K71" s="122"/>
      <c r="L71" s="117"/>
      <c r="M71" s="74"/>
      <c r="N71" s="74"/>
      <c r="O71" s="74"/>
      <c r="P71" s="74"/>
      <c r="Q71" s="74"/>
      <c r="R71" s="74"/>
      <c r="S71" s="74"/>
      <c r="T71" s="74"/>
      <c r="U71" s="74"/>
      <c r="V71" s="74"/>
      <c r="W71" s="74"/>
      <c r="X71" s="74"/>
      <c r="Y71" s="74"/>
      <c r="Z71" s="74"/>
    </row>
    <row r="72" ht="14.25" customHeight="1">
      <c r="A72" s="74"/>
      <c r="B72" s="123" t="s">
        <v>106</v>
      </c>
      <c r="C72" s="124" t="s">
        <v>107</v>
      </c>
      <c r="D72" s="124">
        <v>3924.048</v>
      </c>
      <c r="E72" s="117"/>
      <c r="F72" s="123" t="s">
        <v>108</v>
      </c>
      <c r="G72" s="124" t="s">
        <v>109</v>
      </c>
      <c r="H72" s="124">
        <v>320.0</v>
      </c>
      <c r="I72" s="117"/>
      <c r="J72" s="110" t="s">
        <v>110</v>
      </c>
      <c r="K72" s="125">
        <f>SUM(D72:D75)</f>
        <v>4996.348</v>
      </c>
      <c r="L72" s="126"/>
      <c r="M72" s="74"/>
      <c r="N72" s="74"/>
      <c r="O72" s="74"/>
      <c r="P72" s="74"/>
      <c r="Q72" s="74"/>
      <c r="R72" s="74"/>
      <c r="S72" s="74"/>
      <c r="T72" s="74"/>
      <c r="U72" s="74"/>
      <c r="V72" s="74"/>
      <c r="W72" s="74"/>
      <c r="X72" s="74"/>
      <c r="Y72" s="74"/>
      <c r="Z72" s="74"/>
    </row>
    <row r="73" ht="14.25" customHeight="1">
      <c r="A73" s="105"/>
      <c r="B73" s="123" t="s">
        <v>111</v>
      </c>
      <c r="C73" s="124" t="s">
        <v>112</v>
      </c>
      <c r="D73" s="124">
        <v>105.0</v>
      </c>
      <c r="E73" s="117"/>
      <c r="F73" s="123" t="s">
        <v>113</v>
      </c>
      <c r="G73" s="124" t="s">
        <v>109</v>
      </c>
      <c r="H73" s="124">
        <v>320.0</v>
      </c>
      <c r="I73" s="117"/>
      <c r="J73" s="110" t="s">
        <v>114</v>
      </c>
      <c r="K73" s="125">
        <f>SUM(H72:H74)</f>
        <v>960</v>
      </c>
      <c r="L73" s="117"/>
      <c r="M73" s="74"/>
      <c r="N73" s="74"/>
      <c r="O73" s="74"/>
      <c r="P73" s="74"/>
      <c r="Q73" s="74"/>
      <c r="R73" s="74"/>
      <c r="S73" s="74"/>
      <c r="T73" s="74"/>
      <c r="U73" s="74"/>
      <c r="V73" s="74"/>
      <c r="W73" s="74"/>
      <c r="X73" s="74"/>
      <c r="Y73" s="74"/>
      <c r="Z73" s="74"/>
    </row>
    <row r="74" ht="14.25" customHeight="1">
      <c r="A74" s="105"/>
      <c r="B74" s="123" t="s">
        <v>115</v>
      </c>
      <c r="C74" s="124" t="s">
        <v>112</v>
      </c>
      <c r="D74" s="124">
        <v>7.3</v>
      </c>
      <c r="E74" s="117"/>
      <c r="F74" s="123" t="s">
        <v>116</v>
      </c>
      <c r="G74" s="124" t="s">
        <v>109</v>
      </c>
      <c r="H74" s="124">
        <v>320.0</v>
      </c>
      <c r="I74" s="117"/>
      <c r="J74" s="110" t="s">
        <v>117</v>
      </c>
      <c r="K74" s="125">
        <f>H75</f>
        <v>4036.295</v>
      </c>
      <c r="L74" s="117"/>
      <c r="M74" s="74"/>
      <c r="N74" s="74"/>
      <c r="O74" s="74"/>
      <c r="P74" s="74"/>
      <c r="Q74" s="74"/>
      <c r="R74" s="74"/>
      <c r="S74" s="74"/>
      <c r="T74" s="74"/>
      <c r="U74" s="74"/>
      <c r="V74" s="74"/>
      <c r="W74" s="74"/>
      <c r="X74" s="74"/>
      <c r="Y74" s="74"/>
      <c r="Z74" s="74"/>
    </row>
    <row r="75" ht="14.25" customHeight="1">
      <c r="A75" s="74"/>
      <c r="B75" s="123" t="s">
        <v>118</v>
      </c>
      <c r="C75" s="124" t="s">
        <v>109</v>
      </c>
      <c r="D75" s="124">
        <v>960.0</v>
      </c>
      <c r="E75" s="117"/>
      <c r="F75" s="124" t="s">
        <v>119</v>
      </c>
      <c r="G75" s="127" t="s">
        <v>120</v>
      </c>
      <c r="H75" s="128">
        <v>4036.295</v>
      </c>
      <c r="I75" s="117"/>
      <c r="J75" s="117"/>
      <c r="K75" s="117"/>
      <c r="L75" s="129"/>
      <c r="M75" s="74"/>
      <c r="N75" s="74"/>
      <c r="O75" s="74"/>
      <c r="P75" s="74"/>
      <c r="Q75" s="74"/>
      <c r="R75" s="74"/>
      <c r="S75" s="74"/>
      <c r="T75" s="74"/>
      <c r="U75" s="74"/>
      <c r="V75" s="74"/>
      <c r="W75" s="74"/>
      <c r="X75" s="74"/>
      <c r="Y75" s="74"/>
      <c r="Z75" s="74"/>
    </row>
    <row r="76" ht="14.25" customHeight="1">
      <c r="A76" s="74"/>
      <c r="B76" s="130"/>
      <c r="C76" s="131"/>
      <c r="D76" s="132"/>
      <c r="E76" s="133"/>
      <c r="F76" s="130"/>
      <c r="G76" s="130"/>
      <c r="H76" s="131"/>
      <c r="I76" s="134"/>
      <c r="J76" s="110" t="s">
        <v>101</v>
      </c>
      <c r="K76" s="125">
        <f>K72-K73-K74</f>
        <v>0.053</v>
      </c>
      <c r="L76" s="91"/>
      <c r="M76" s="74"/>
      <c r="N76" s="74"/>
      <c r="O76" s="74"/>
      <c r="P76" s="74"/>
      <c r="Q76" s="74"/>
      <c r="R76" s="74"/>
      <c r="S76" s="74"/>
      <c r="T76" s="74"/>
      <c r="U76" s="74"/>
      <c r="V76" s="74"/>
      <c r="W76" s="74"/>
      <c r="X76" s="74"/>
      <c r="Y76" s="74"/>
      <c r="Z76" s="74"/>
    </row>
    <row r="77" ht="14.25" customHeight="1">
      <c r="A77" s="74"/>
      <c r="B77" s="130"/>
      <c r="C77" s="131"/>
      <c r="D77" s="132"/>
      <c r="E77" s="133"/>
      <c r="F77" s="130"/>
      <c r="G77" s="117"/>
      <c r="H77" s="130"/>
      <c r="I77" s="117"/>
      <c r="J77" s="135" t="s">
        <v>121</v>
      </c>
      <c r="K77" s="124">
        <f>(K76/K72)*100</f>
        <v>0.00106077479</v>
      </c>
      <c r="L77" s="117"/>
      <c r="M77" s="74"/>
      <c r="N77" s="74"/>
      <c r="O77" s="74"/>
      <c r="P77" s="74"/>
      <c r="Q77" s="74"/>
      <c r="R77" s="74"/>
      <c r="S77" s="74"/>
      <c r="T77" s="74"/>
      <c r="U77" s="74"/>
      <c r="V77" s="74"/>
      <c r="W77" s="74"/>
      <c r="X77" s="74"/>
      <c r="Y77" s="74"/>
      <c r="Z77" s="74"/>
    </row>
    <row r="78" ht="15.0" customHeight="1">
      <c r="A78" s="74"/>
      <c r="B78" s="117"/>
      <c r="C78" s="117"/>
      <c r="D78" s="117"/>
      <c r="E78" s="117"/>
      <c r="F78" s="117"/>
      <c r="G78" s="117"/>
      <c r="H78" s="117"/>
      <c r="I78" s="117"/>
      <c r="J78" s="117"/>
      <c r="K78" s="117"/>
      <c r="L78" s="117"/>
      <c r="M78" s="74"/>
      <c r="N78" s="74"/>
      <c r="O78" s="74"/>
      <c r="P78" s="74"/>
      <c r="Q78" s="74"/>
      <c r="R78" s="74"/>
      <c r="S78" s="74"/>
      <c r="T78" s="74"/>
      <c r="U78" s="74"/>
      <c r="V78" s="74"/>
      <c r="W78" s="74"/>
      <c r="X78" s="74"/>
      <c r="Y78" s="74"/>
      <c r="Z78" s="74"/>
    </row>
    <row r="79" ht="14.25" customHeight="1">
      <c r="A79" s="74"/>
      <c r="B79" s="89"/>
      <c r="C79" s="89"/>
      <c r="D79" s="89"/>
      <c r="E79" s="89"/>
      <c r="F79" s="89"/>
      <c r="G79" s="89"/>
      <c r="H79" s="91"/>
      <c r="I79" s="91"/>
      <c r="J79" s="91"/>
      <c r="K79" s="91"/>
      <c r="L79" s="117"/>
      <c r="M79" s="74"/>
      <c r="N79" s="74"/>
      <c r="O79" s="74"/>
      <c r="P79" s="74"/>
      <c r="Q79" s="74"/>
      <c r="R79" s="74"/>
      <c r="S79" s="74"/>
      <c r="T79" s="74"/>
      <c r="U79" s="74"/>
      <c r="V79" s="74"/>
      <c r="W79" s="74"/>
      <c r="X79" s="74"/>
      <c r="Y79" s="74"/>
      <c r="Z79" s="74"/>
    </row>
    <row r="80" ht="14.25" customHeight="1">
      <c r="A80" s="74"/>
      <c r="B80" s="74"/>
      <c r="C80" s="74"/>
      <c r="D80" s="74"/>
      <c r="E80" s="74"/>
      <c r="F80" s="74"/>
      <c r="G80" s="74"/>
      <c r="H80" s="74"/>
      <c r="I80" s="74"/>
      <c r="J80" s="74"/>
      <c r="K80" s="74"/>
      <c r="L80" s="136"/>
      <c r="M80" s="74"/>
      <c r="N80" s="74"/>
      <c r="O80" s="74"/>
      <c r="P80" s="74"/>
      <c r="Q80" s="74"/>
      <c r="R80" s="74"/>
      <c r="S80" s="74"/>
      <c r="T80" s="74"/>
      <c r="U80" s="74"/>
      <c r="V80" s="74"/>
      <c r="W80" s="74"/>
      <c r="X80" s="74"/>
      <c r="Y80" s="74"/>
      <c r="Z80" s="74"/>
    </row>
    <row r="81" ht="14.25" customHeight="1">
      <c r="A81" s="74"/>
      <c r="B81" s="110" t="s">
        <v>122</v>
      </c>
      <c r="C81" s="74"/>
      <c r="D81" s="74"/>
      <c r="E81" s="74"/>
      <c r="F81" s="74"/>
      <c r="G81" s="137"/>
      <c r="H81" s="137"/>
      <c r="I81" s="74"/>
      <c r="J81" s="74"/>
      <c r="K81" s="74"/>
      <c r="L81" s="91"/>
      <c r="M81" s="74"/>
      <c r="N81" s="74"/>
      <c r="O81" s="74"/>
      <c r="P81" s="74"/>
      <c r="Q81" s="74"/>
      <c r="R81" s="74"/>
      <c r="S81" s="74"/>
      <c r="T81" s="74"/>
      <c r="U81" s="74"/>
      <c r="V81" s="74"/>
      <c r="W81" s="74"/>
      <c r="X81" s="74"/>
      <c r="Y81" s="74"/>
      <c r="Z81" s="74"/>
    </row>
    <row r="82" ht="14.25" customHeight="1">
      <c r="A82" s="74"/>
      <c r="B82" s="74"/>
      <c r="C82" s="74"/>
      <c r="D82" s="74"/>
      <c r="E82" s="74"/>
      <c r="F82" s="74"/>
      <c r="G82" s="74"/>
      <c r="H82" s="74"/>
      <c r="I82" s="74"/>
      <c r="J82" s="74"/>
      <c r="K82" s="138" t="s">
        <v>123</v>
      </c>
      <c r="L82" s="139"/>
      <c r="M82" s="140"/>
      <c r="N82" s="140"/>
      <c r="O82" s="140"/>
      <c r="P82" s="140"/>
      <c r="Q82" s="141"/>
      <c r="R82" s="74"/>
      <c r="S82" s="74"/>
      <c r="T82" s="74"/>
      <c r="U82" s="74"/>
      <c r="V82" s="74"/>
      <c r="W82" s="74"/>
      <c r="X82" s="74"/>
      <c r="Y82" s="74"/>
      <c r="Z82" s="74"/>
    </row>
    <row r="83" ht="14.25" customHeight="1">
      <c r="A83" s="74"/>
      <c r="B83" s="118" t="s">
        <v>3</v>
      </c>
      <c r="C83" s="118" t="s">
        <v>4</v>
      </c>
      <c r="D83" s="118" t="s">
        <v>124</v>
      </c>
      <c r="E83" s="142" t="s">
        <v>5</v>
      </c>
      <c r="F83" s="142" t="s">
        <v>125</v>
      </c>
      <c r="G83" s="143" t="s">
        <v>126</v>
      </c>
      <c r="H83" s="143" t="s">
        <v>127</v>
      </c>
      <c r="I83" s="144" t="s">
        <v>128</v>
      </c>
      <c r="J83" s="129"/>
      <c r="K83" s="118" t="s">
        <v>3</v>
      </c>
      <c r="L83" s="114" t="s">
        <v>129</v>
      </c>
      <c r="M83" s="121" t="s">
        <v>130</v>
      </c>
      <c r="N83" s="121" t="s">
        <v>131</v>
      </c>
      <c r="O83" s="121" t="s">
        <v>132</v>
      </c>
      <c r="P83" s="121" t="s">
        <v>133</v>
      </c>
      <c r="Q83" s="114" t="s">
        <v>134</v>
      </c>
      <c r="R83" s="74"/>
      <c r="S83" s="74"/>
      <c r="T83" s="74"/>
      <c r="U83" s="74"/>
      <c r="V83" s="74"/>
      <c r="W83" s="74"/>
      <c r="X83" s="74"/>
      <c r="Y83" s="74"/>
      <c r="Z83" s="74"/>
    </row>
    <row r="84" ht="14.25" customHeight="1">
      <c r="A84" s="74"/>
      <c r="B84" s="145" t="s">
        <v>8</v>
      </c>
      <c r="C84" s="146">
        <v>0.0</v>
      </c>
      <c r="D84" s="146">
        <v>0.0</v>
      </c>
      <c r="E84" s="146">
        <v>-722.24</v>
      </c>
      <c r="F84" s="146">
        <v>-320.0</v>
      </c>
      <c r="G84" s="146">
        <v>-722.24</v>
      </c>
      <c r="H84" s="146">
        <v>-320.0</v>
      </c>
      <c r="I84" s="147" t="s">
        <v>135</v>
      </c>
      <c r="J84" s="129"/>
      <c r="K84" s="148" t="s">
        <v>136</v>
      </c>
      <c r="L84" s="149" t="s">
        <v>137</v>
      </c>
      <c r="M84" s="149" t="s">
        <v>137</v>
      </c>
      <c r="N84" s="149" t="s">
        <v>137</v>
      </c>
      <c r="O84" s="149" t="s">
        <v>137</v>
      </c>
      <c r="P84" s="149" t="s">
        <v>137</v>
      </c>
      <c r="Q84" s="149" t="s">
        <v>137</v>
      </c>
      <c r="R84" s="74"/>
      <c r="S84" s="74"/>
      <c r="T84" s="74"/>
      <c r="U84" s="74"/>
      <c r="V84" s="74"/>
      <c r="W84" s="74"/>
      <c r="X84" s="74"/>
      <c r="Y84" s="74"/>
      <c r="Z84" s="74"/>
    </row>
    <row r="85" ht="14.25" customHeight="1">
      <c r="A85" s="74"/>
      <c r="B85" s="145" t="s">
        <v>10</v>
      </c>
      <c r="C85" s="146">
        <v>0.0</v>
      </c>
      <c r="D85" s="146">
        <v>0.0</v>
      </c>
      <c r="E85" s="146">
        <v>-604.8</v>
      </c>
      <c r="F85" s="146">
        <v>-320.0</v>
      </c>
      <c r="G85" s="146">
        <v>-604.8</v>
      </c>
      <c r="H85" s="146">
        <v>-320.0</v>
      </c>
      <c r="I85" s="147" t="s">
        <v>135</v>
      </c>
      <c r="J85" s="129"/>
      <c r="K85" s="150" t="s">
        <v>8</v>
      </c>
      <c r="L85" s="149">
        <v>155.0</v>
      </c>
      <c r="M85" s="149">
        <v>155.0</v>
      </c>
      <c r="N85" s="151">
        <v>5.5</v>
      </c>
      <c r="O85" s="151">
        <v>5.5</v>
      </c>
      <c r="P85" s="149">
        <v>2096.77163841359</v>
      </c>
      <c r="Q85" s="149" t="s">
        <v>138</v>
      </c>
      <c r="R85" s="74"/>
      <c r="S85" s="74"/>
      <c r="T85" s="74"/>
      <c r="U85" s="74"/>
      <c r="V85" s="74"/>
      <c r="W85" s="74"/>
      <c r="X85" s="74"/>
      <c r="Y85" s="74"/>
      <c r="Z85" s="74"/>
    </row>
    <row r="86" ht="14.25" customHeight="1">
      <c r="A86" s="74"/>
      <c r="B86" s="145" t="s">
        <v>11</v>
      </c>
      <c r="C86" s="146">
        <v>0.0</v>
      </c>
      <c r="D86" s="146">
        <v>0.0</v>
      </c>
      <c r="E86" s="146">
        <v>-524.8</v>
      </c>
      <c r="F86" s="146">
        <v>-320.0</v>
      </c>
      <c r="G86" s="146">
        <v>-524.8</v>
      </c>
      <c r="H86" s="146">
        <v>-320.0</v>
      </c>
      <c r="I86" s="147" t="s">
        <v>135</v>
      </c>
      <c r="J86" s="129"/>
      <c r="K86" s="118" t="s">
        <v>10</v>
      </c>
      <c r="L86" s="149">
        <v>214.0</v>
      </c>
      <c r="M86" s="149">
        <v>214.0</v>
      </c>
      <c r="N86" s="149">
        <v>21.0</v>
      </c>
      <c r="O86" s="149">
        <v>21.0</v>
      </c>
      <c r="P86" s="149">
        <v>1879.6128145344</v>
      </c>
      <c r="Q86" s="149" t="s">
        <v>138</v>
      </c>
      <c r="R86" s="74"/>
      <c r="S86" s="74"/>
      <c r="T86" s="74"/>
      <c r="U86" s="74"/>
      <c r="V86" s="74"/>
      <c r="W86" s="74"/>
      <c r="X86" s="74"/>
      <c r="Y86" s="74"/>
      <c r="Z86" s="74"/>
    </row>
    <row r="87" ht="14.25" customHeight="1">
      <c r="A87" s="74"/>
      <c r="B87" s="145" t="s">
        <v>12</v>
      </c>
      <c r="C87" s="146">
        <v>1111.520098224864</v>
      </c>
      <c r="D87" s="146">
        <v>17759.2</v>
      </c>
      <c r="E87" s="146">
        <v>0.0</v>
      </c>
      <c r="F87" s="146">
        <v>0.0</v>
      </c>
      <c r="G87" s="146">
        <v>1111.520098224864</v>
      </c>
      <c r="H87" s="146">
        <v>17759.2</v>
      </c>
      <c r="I87" s="147"/>
      <c r="J87" s="129"/>
      <c r="K87" s="118" t="s">
        <v>11</v>
      </c>
      <c r="L87" s="149">
        <v>265.0</v>
      </c>
      <c r="M87" s="149">
        <v>265.0</v>
      </c>
      <c r="N87" s="149">
        <v>51.0</v>
      </c>
      <c r="O87" s="149">
        <v>51.0</v>
      </c>
      <c r="P87" s="149">
        <v>1632.4494056856</v>
      </c>
      <c r="Q87" s="149" t="s">
        <v>138</v>
      </c>
      <c r="R87" s="74"/>
      <c r="S87" s="74"/>
      <c r="T87" s="74"/>
      <c r="U87" s="74"/>
      <c r="V87" s="74"/>
      <c r="W87" s="74"/>
      <c r="X87" s="74"/>
      <c r="Y87" s="74"/>
      <c r="Z87" s="74"/>
    </row>
    <row r="88" ht="14.25" customHeight="1">
      <c r="A88" s="74"/>
      <c r="B88" s="145" t="s">
        <v>13</v>
      </c>
      <c r="C88" s="146">
        <v>708.044126476031</v>
      </c>
      <c r="D88" s="152" t="s">
        <v>139</v>
      </c>
      <c r="E88" s="152">
        <v>0.0</v>
      </c>
      <c r="F88" s="152" t="s">
        <v>139</v>
      </c>
      <c r="G88" s="152">
        <v>708.044126476031</v>
      </c>
      <c r="H88" s="152" t="s">
        <v>139</v>
      </c>
      <c r="I88" s="147"/>
      <c r="J88" s="129"/>
      <c r="K88" s="153" t="s">
        <v>13</v>
      </c>
      <c r="L88" s="154">
        <v>1000.0</v>
      </c>
      <c r="M88" s="154">
        <v>750.0</v>
      </c>
      <c r="N88" s="154">
        <v>2.0</v>
      </c>
      <c r="O88" s="154">
        <v>2.0</v>
      </c>
      <c r="P88" s="155" t="s">
        <v>137</v>
      </c>
      <c r="Q88" s="149" t="s">
        <v>137</v>
      </c>
      <c r="R88" s="74"/>
      <c r="S88" s="74"/>
      <c r="T88" s="74"/>
      <c r="U88" s="74"/>
      <c r="V88" s="74"/>
      <c r="W88" s="74"/>
      <c r="X88" s="74"/>
      <c r="Y88" s="74"/>
      <c r="Z88" s="74"/>
    </row>
    <row r="89" ht="14.25" customHeight="1">
      <c r="A89" s="74"/>
      <c r="B89" s="145" t="s">
        <v>34</v>
      </c>
      <c r="C89" s="146">
        <v>1407.1023054345596</v>
      </c>
      <c r="D89" s="156">
        <v>48857.7</v>
      </c>
      <c r="E89" s="146">
        <v>-2857.0219931232</v>
      </c>
      <c r="F89" s="157" t="s">
        <v>140</v>
      </c>
      <c r="G89" s="146">
        <v>-1449.9196876886404</v>
      </c>
      <c r="H89" s="157" t="s">
        <v>141</v>
      </c>
      <c r="I89" s="158" t="s">
        <v>142</v>
      </c>
      <c r="J89" s="129"/>
      <c r="K89" s="118" t="s">
        <v>12</v>
      </c>
      <c r="L89" s="159">
        <v>25.0</v>
      </c>
      <c r="M89" s="159">
        <v>40.0</v>
      </c>
      <c r="N89" s="160">
        <v>1.02</v>
      </c>
      <c r="O89" s="160">
        <v>1.02</v>
      </c>
      <c r="P89" s="160">
        <f>62.74243314036/(M89-L89)</f>
        <v>4.182828876</v>
      </c>
      <c r="Q89" s="159" t="s">
        <v>143</v>
      </c>
      <c r="R89" s="74"/>
      <c r="S89" s="74"/>
      <c r="T89" s="74"/>
      <c r="U89" s="74"/>
      <c r="V89" s="74"/>
      <c r="W89" s="74"/>
      <c r="X89" s="74"/>
      <c r="Y89" s="74"/>
      <c r="Z89" s="74"/>
    </row>
    <row r="90" ht="14.25" customHeight="1">
      <c r="A90" s="74"/>
      <c r="B90" s="74" t="s">
        <v>144</v>
      </c>
      <c r="C90" s="74"/>
      <c r="D90" s="74"/>
      <c r="E90" s="74"/>
      <c r="F90" s="74"/>
      <c r="G90" s="161">
        <f t="shared" ref="G90:H90" si="1">SUM(G84:G89)</f>
        <v>-1482.195463</v>
      </c>
      <c r="H90" s="161">
        <f t="shared" si="1"/>
        <v>16799.2</v>
      </c>
      <c r="I90" s="74"/>
      <c r="J90" s="74"/>
      <c r="K90" s="74"/>
      <c r="L90" s="74"/>
      <c r="M90" s="74"/>
      <c r="N90" s="74"/>
      <c r="O90" s="74"/>
      <c r="P90" s="74"/>
      <c r="Q90" s="74"/>
      <c r="R90" s="74"/>
      <c r="S90" s="74"/>
      <c r="T90" s="74"/>
      <c r="U90" s="74"/>
      <c r="V90" s="74"/>
      <c r="W90" s="74"/>
      <c r="X90" s="74"/>
      <c r="Y90" s="74"/>
      <c r="Z90" s="74"/>
    </row>
    <row r="91" ht="14.25" customHeight="1">
      <c r="A91" s="74"/>
      <c r="B91" s="162"/>
      <c r="C91" s="162"/>
      <c r="D91" s="162"/>
      <c r="E91" s="162"/>
      <c r="F91" s="74"/>
      <c r="G91" s="74"/>
      <c r="H91" s="74"/>
      <c r="I91" s="74"/>
      <c r="J91" s="74"/>
      <c r="K91" s="74"/>
      <c r="L91" s="74"/>
      <c r="M91" s="74"/>
      <c r="N91" s="74"/>
      <c r="O91" s="74"/>
      <c r="P91" s="74"/>
      <c r="Q91" s="74"/>
      <c r="R91" s="74"/>
      <c r="S91" s="74"/>
      <c r="T91" s="74"/>
      <c r="U91" s="74"/>
      <c r="V91" s="74"/>
      <c r="W91" s="74"/>
      <c r="X91" s="74"/>
      <c r="Y91" s="74"/>
      <c r="Z91" s="74"/>
    </row>
    <row r="92" ht="14.25" customHeight="1">
      <c r="A92" s="163"/>
      <c r="B92" s="164"/>
      <c r="C92" s="164" t="s">
        <v>145</v>
      </c>
      <c r="D92" s="164" t="s">
        <v>134</v>
      </c>
      <c r="E92" s="164" t="s">
        <v>146</v>
      </c>
      <c r="F92" s="165"/>
      <c r="G92" s="74"/>
      <c r="H92" s="74"/>
      <c r="I92" s="74"/>
      <c r="J92" s="74"/>
      <c r="K92" s="74"/>
      <c r="L92" s="74"/>
      <c r="M92" s="74"/>
      <c r="N92" s="74"/>
      <c r="O92" s="74"/>
      <c r="P92" s="74"/>
      <c r="Q92" s="74"/>
      <c r="R92" s="74"/>
      <c r="S92" s="74"/>
      <c r="T92" s="74"/>
      <c r="U92" s="74"/>
      <c r="V92" s="74"/>
      <c r="W92" s="74"/>
      <c r="X92" s="74"/>
      <c r="Y92" s="74"/>
      <c r="Z92" s="74"/>
    </row>
    <row r="93" ht="14.25" customHeight="1">
      <c r="A93" s="163"/>
      <c r="B93" s="166" t="s">
        <v>147</v>
      </c>
      <c r="C93" s="167">
        <f>SUM('Olefins Production Plant'!D134,'Aromatics Production Plant'!D153,'Biogas Plant'!C96,'Biogas Plant'!D96,'Methanol Production Plant'!D113,'DME Plant'!D106)</f>
        <v>517970587</v>
      </c>
      <c r="D93" s="168" t="s">
        <v>9</v>
      </c>
      <c r="E93" s="166" t="s">
        <v>148</v>
      </c>
      <c r="F93" s="165"/>
      <c r="G93" s="74"/>
      <c r="H93" s="74"/>
      <c r="I93" s="74"/>
      <c r="J93" s="74"/>
      <c r="K93" s="74"/>
      <c r="L93" s="74"/>
      <c r="M93" s="74"/>
      <c r="N93" s="74"/>
      <c r="O93" s="74"/>
      <c r="P93" s="74"/>
      <c r="Q93" s="74"/>
      <c r="R93" s="74"/>
      <c r="S93" s="74"/>
      <c r="T93" s="74"/>
      <c r="U93" s="74"/>
      <c r="V93" s="74"/>
      <c r="W93" s="74"/>
      <c r="X93" s="74"/>
      <c r="Y93" s="74"/>
      <c r="Z93" s="74"/>
    </row>
    <row r="94" ht="29.25" customHeight="1">
      <c r="A94" s="163"/>
      <c r="B94" s="168" t="s">
        <v>149</v>
      </c>
      <c r="C94" s="168">
        <v>50.0</v>
      </c>
      <c r="D94" s="168" t="s">
        <v>150</v>
      </c>
      <c r="E94" s="166" t="s">
        <v>151</v>
      </c>
      <c r="F94" s="165"/>
      <c r="G94" s="74"/>
      <c r="H94" s="74"/>
      <c r="I94" s="74"/>
      <c r="J94" s="74"/>
      <c r="K94" s="74"/>
      <c r="L94" s="74"/>
      <c r="M94" s="74"/>
      <c r="N94" s="74"/>
      <c r="O94" s="74"/>
      <c r="P94" s="74"/>
      <c r="Q94" s="74"/>
      <c r="R94" s="74"/>
      <c r="S94" s="74"/>
      <c r="T94" s="74"/>
      <c r="U94" s="74"/>
      <c r="V94" s="74"/>
      <c r="W94" s="74"/>
      <c r="X94" s="74"/>
      <c r="Y94" s="74"/>
      <c r="Z94" s="74"/>
    </row>
    <row r="95" ht="29.25" customHeight="1">
      <c r="A95" s="163"/>
      <c r="B95" s="168" t="s">
        <v>152</v>
      </c>
      <c r="C95" s="169">
        <v>8765.82</v>
      </c>
      <c r="D95" s="168" t="s">
        <v>153</v>
      </c>
      <c r="E95" s="166"/>
      <c r="F95" s="165"/>
      <c r="G95" s="74"/>
      <c r="H95" s="74"/>
      <c r="I95" s="74"/>
      <c r="J95" s="74"/>
      <c r="K95" s="74"/>
      <c r="L95" s="74"/>
      <c r="M95" s="74"/>
      <c r="N95" s="74"/>
      <c r="O95" s="74"/>
      <c r="P95" s="74"/>
      <c r="Q95" s="74"/>
      <c r="R95" s="74"/>
      <c r="S95" s="74"/>
      <c r="T95" s="74"/>
      <c r="U95" s="74"/>
      <c r="V95" s="74"/>
      <c r="W95" s="74"/>
      <c r="X95" s="74"/>
      <c r="Y95" s="74"/>
      <c r="Z95" s="74"/>
    </row>
    <row r="96" ht="14.25" customHeight="1">
      <c r="A96" s="163"/>
      <c r="B96" s="166" t="s">
        <v>154</v>
      </c>
      <c r="C96" s="167">
        <f>C94*1000*C95</f>
        <v>438291000</v>
      </c>
      <c r="D96" s="168" t="s">
        <v>9</v>
      </c>
      <c r="E96" s="166" t="s">
        <v>155</v>
      </c>
      <c r="F96" s="165"/>
      <c r="G96" s="74"/>
      <c r="H96" s="74"/>
      <c r="I96" s="74"/>
      <c r="J96" s="74"/>
      <c r="K96" s="74"/>
      <c r="L96" s="74"/>
      <c r="M96" s="74"/>
      <c r="N96" s="74"/>
      <c r="O96" s="74"/>
      <c r="P96" s="74"/>
      <c r="Q96" s="74"/>
      <c r="R96" s="74"/>
      <c r="S96" s="74"/>
      <c r="T96" s="74"/>
      <c r="U96" s="74"/>
      <c r="V96" s="74"/>
      <c r="W96" s="74"/>
      <c r="X96" s="74"/>
      <c r="Y96" s="74"/>
      <c r="Z96" s="74"/>
    </row>
    <row r="97" ht="14.25" customHeight="1">
      <c r="A97" s="163"/>
      <c r="B97" s="168" t="s">
        <v>156</v>
      </c>
      <c r="C97" s="167">
        <f>C96/C93</f>
        <v>0.8461696688</v>
      </c>
      <c r="D97" s="168" t="s">
        <v>157</v>
      </c>
      <c r="E97" s="167"/>
      <c r="F97" s="165"/>
      <c r="G97" s="74"/>
      <c r="H97" s="74"/>
      <c r="I97" s="74"/>
      <c r="J97" s="74"/>
      <c r="K97" s="74"/>
      <c r="L97" s="74"/>
      <c r="M97" s="74"/>
      <c r="N97" s="74"/>
      <c r="O97" s="74"/>
      <c r="P97" s="74"/>
      <c r="Q97" s="74"/>
      <c r="R97" s="74"/>
      <c r="S97" s="74"/>
      <c r="T97" s="74"/>
      <c r="U97" s="74"/>
      <c r="V97" s="74"/>
      <c r="W97" s="74"/>
      <c r="X97" s="74"/>
      <c r="Y97" s="74"/>
      <c r="Z97" s="74"/>
    </row>
    <row r="98" ht="14.25" customHeight="1">
      <c r="A98" s="74"/>
      <c r="B98" s="170"/>
      <c r="C98" s="170"/>
      <c r="D98" s="170"/>
      <c r="E98" s="170"/>
      <c r="F98" s="74"/>
      <c r="G98" s="74"/>
      <c r="H98" s="74"/>
      <c r="I98" s="74"/>
      <c r="J98" s="74"/>
      <c r="K98" s="74"/>
      <c r="L98" s="74"/>
      <c r="M98" s="74"/>
      <c r="N98" s="74"/>
      <c r="O98" s="74"/>
      <c r="P98" s="74"/>
      <c r="Q98" s="74"/>
      <c r="R98" s="74"/>
      <c r="S98" s="74"/>
      <c r="T98" s="74"/>
      <c r="U98" s="74"/>
      <c r="V98" s="74"/>
      <c r="W98" s="74"/>
      <c r="X98" s="74"/>
      <c r="Y98" s="74"/>
      <c r="Z98" s="74"/>
    </row>
    <row r="99" ht="14.25" customHeight="1">
      <c r="A99" s="74"/>
      <c r="B99" s="171" t="s">
        <v>158</v>
      </c>
      <c r="C99" s="172" t="s">
        <v>159</v>
      </c>
      <c r="D99" s="172">
        <v>320.0</v>
      </c>
      <c r="E99" s="173" t="s">
        <v>156</v>
      </c>
      <c r="F99" s="173">
        <f>C97</f>
        <v>0.8461696688</v>
      </c>
      <c r="G99" s="174"/>
      <c r="H99" s="174"/>
      <c r="I99" s="174"/>
      <c r="J99" s="74"/>
      <c r="K99" s="74"/>
      <c r="L99" s="74"/>
      <c r="M99" s="74"/>
      <c r="N99" s="74"/>
      <c r="O99" s="74"/>
      <c r="P99" s="74"/>
      <c r="Q99" s="74"/>
      <c r="R99" s="74"/>
      <c r="S99" s="74"/>
      <c r="T99" s="74"/>
      <c r="U99" s="74"/>
      <c r="V99" s="74"/>
      <c r="W99" s="74"/>
      <c r="X99" s="74"/>
      <c r="Y99" s="74"/>
      <c r="Z99" s="74"/>
    </row>
    <row r="100" ht="14.25" customHeight="1">
      <c r="A100" s="74"/>
      <c r="B100" s="175"/>
      <c r="C100" s="175"/>
      <c r="D100" s="175"/>
      <c r="E100" s="174"/>
      <c r="F100" s="176"/>
      <c r="G100" s="176"/>
      <c r="H100" s="176"/>
      <c r="I100" s="176"/>
      <c r="J100" s="74"/>
      <c r="K100" s="74"/>
      <c r="L100" s="74"/>
      <c r="M100" s="74"/>
      <c r="N100" s="74"/>
      <c r="O100" s="74"/>
      <c r="P100" s="74"/>
      <c r="Q100" s="74"/>
      <c r="R100" s="74"/>
      <c r="S100" s="74"/>
      <c r="T100" s="74"/>
      <c r="U100" s="74"/>
      <c r="V100" s="74"/>
      <c r="W100" s="74"/>
      <c r="X100" s="74"/>
      <c r="Y100" s="74"/>
      <c r="Z100" s="74"/>
    </row>
    <row r="101" ht="14.25" customHeight="1">
      <c r="A101" s="74"/>
      <c r="B101" s="118" t="s">
        <v>3</v>
      </c>
      <c r="C101" s="118" t="s">
        <v>4</v>
      </c>
      <c r="D101" s="118" t="s">
        <v>124</v>
      </c>
      <c r="E101" s="142" t="s">
        <v>5</v>
      </c>
      <c r="F101" s="142" t="s">
        <v>125</v>
      </c>
      <c r="G101" s="143" t="s">
        <v>126</v>
      </c>
      <c r="H101" s="143" t="s">
        <v>127</v>
      </c>
      <c r="I101" s="144" t="s">
        <v>128</v>
      </c>
      <c r="J101" s="74"/>
      <c r="K101" s="74"/>
      <c r="L101" s="74"/>
      <c r="M101" s="74"/>
      <c r="N101" s="74"/>
      <c r="O101" s="74"/>
      <c r="P101" s="74"/>
      <c r="Q101" s="74"/>
      <c r="R101" s="74"/>
      <c r="S101" s="74"/>
      <c r="T101" s="74"/>
      <c r="U101" s="74"/>
      <c r="V101" s="74"/>
      <c r="W101" s="74"/>
      <c r="X101" s="74"/>
      <c r="Y101" s="74"/>
      <c r="Z101" s="74"/>
    </row>
    <row r="102" ht="14.25" customHeight="1">
      <c r="A102" s="74"/>
      <c r="B102" s="177" t="s">
        <v>8</v>
      </c>
      <c r="C102" s="178">
        <f t="shared" ref="C102:F102" si="2">C84*$F$99</f>
        <v>0</v>
      </c>
      <c r="D102" s="179">
        <f t="shared" si="2"/>
        <v>0</v>
      </c>
      <c r="E102" s="178">
        <f t="shared" si="2"/>
        <v>-611.1375816</v>
      </c>
      <c r="F102" s="179">
        <f t="shared" si="2"/>
        <v>-270.774294</v>
      </c>
      <c r="G102" s="179">
        <f t="shared" ref="G102:H102" si="3">C102+E102</f>
        <v>-611.1375816</v>
      </c>
      <c r="H102" s="179">
        <f t="shared" si="3"/>
        <v>-270.774294</v>
      </c>
      <c r="I102" s="180" t="s">
        <v>135</v>
      </c>
      <c r="J102" s="74"/>
      <c r="K102" s="74"/>
      <c r="L102" s="74"/>
      <c r="M102" s="74"/>
      <c r="N102" s="74"/>
      <c r="O102" s="74"/>
      <c r="P102" s="74"/>
      <c r="Q102" s="74"/>
      <c r="R102" s="74"/>
      <c r="S102" s="74"/>
      <c r="T102" s="74"/>
      <c r="U102" s="74"/>
      <c r="V102" s="74"/>
      <c r="W102" s="74"/>
      <c r="X102" s="74"/>
      <c r="Y102" s="74"/>
      <c r="Z102" s="74"/>
    </row>
    <row r="103" ht="14.25" customHeight="1">
      <c r="A103" s="74"/>
      <c r="B103" s="177" t="s">
        <v>10</v>
      </c>
      <c r="C103" s="178">
        <f t="shared" ref="C103:F103" si="4">C85*$F$99</f>
        <v>0</v>
      </c>
      <c r="D103" s="179">
        <f t="shared" si="4"/>
        <v>0</v>
      </c>
      <c r="E103" s="178">
        <f t="shared" si="4"/>
        <v>-511.7634157</v>
      </c>
      <c r="F103" s="179">
        <f t="shared" si="4"/>
        <v>-270.774294</v>
      </c>
      <c r="G103" s="179">
        <f t="shared" ref="G103:H103" si="5">C103+E103</f>
        <v>-511.7634157</v>
      </c>
      <c r="H103" s="179">
        <f t="shared" si="5"/>
        <v>-270.774294</v>
      </c>
      <c r="I103" s="180" t="s">
        <v>135</v>
      </c>
      <c r="J103" s="74"/>
      <c r="K103" s="74"/>
      <c r="L103" s="74"/>
      <c r="M103" s="74"/>
      <c r="N103" s="74"/>
      <c r="O103" s="74"/>
      <c r="P103" s="74"/>
      <c r="Q103" s="74"/>
      <c r="R103" s="74"/>
      <c r="S103" s="74"/>
      <c r="T103" s="74"/>
      <c r="U103" s="74"/>
      <c r="V103" s="74"/>
      <c r="W103" s="74"/>
      <c r="X103" s="74"/>
      <c r="Y103" s="74"/>
      <c r="Z103" s="74"/>
    </row>
    <row r="104" ht="14.25" customHeight="1">
      <c r="A104" s="74"/>
      <c r="B104" s="177" t="s">
        <v>11</v>
      </c>
      <c r="C104" s="178">
        <f t="shared" ref="C104:F104" si="6">C86*$F$99</f>
        <v>0</v>
      </c>
      <c r="D104" s="179">
        <f t="shared" si="6"/>
        <v>0</v>
      </c>
      <c r="E104" s="178">
        <f t="shared" si="6"/>
        <v>-444.0698422</v>
      </c>
      <c r="F104" s="179">
        <f t="shared" si="6"/>
        <v>-270.774294</v>
      </c>
      <c r="G104" s="179">
        <f t="shared" ref="G104:H104" si="7">C104+E104</f>
        <v>-444.0698422</v>
      </c>
      <c r="H104" s="179">
        <f t="shared" si="7"/>
        <v>-270.774294</v>
      </c>
      <c r="I104" s="180" t="s">
        <v>135</v>
      </c>
      <c r="J104" s="74"/>
      <c r="K104" s="74"/>
      <c r="L104" s="74"/>
      <c r="M104" s="74"/>
      <c r="N104" s="74"/>
      <c r="O104" s="74"/>
      <c r="P104" s="74"/>
      <c r="Q104" s="74"/>
      <c r="R104" s="74"/>
      <c r="S104" s="74"/>
      <c r="T104" s="74"/>
      <c r="U104" s="74"/>
      <c r="V104" s="74"/>
      <c r="W104" s="74"/>
      <c r="X104" s="74"/>
      <c r="Y104" s="74"/>
      <c r="Z104" s="74"/>
    </row>
    <row r="105" ht="14.25" customHeight="1">
      <c r="A105" s="74"/>
      <c r="B105" s="177" t="s">
        <v>12</v>
      </c>
      <c r="C105" s="178">
        <f t="shared" ref="C105:F105" si="8">C87*$F$99</f>
        <v>940.5345933</v>
      </c>
      <c r="D105" s="179">
        <f t="shared" si="8"/>
        <v>15027.29638</v>
      </c>
      <c r="E105" s="178">
        <f t="shared" si="8"/>
        <v>0</v>
      </c>
      <c r="F105" s="179">
        <f t="shared" si="8"/>
        <v>0</v>
      </c>
      <c r="G105" s="179">
        <f t="shared" ref="G105:H105" si="9">C105+E105</f>
        <v>940.5345933</v>
      </c>
      <c r="H105" s="179">
        <f t="shared" si="9"/>
        <v>15027.29638</v>
      </c>
      <c r="I105" s="180"/>
      <c r="J105" s="74"/>
      <c r="K105" s="74"/>
      <c r="L105" s="74"/>
      <c r="M105" s="74"/>
      <c r="N105" s="74"/>
      <c r="O105" s="74"/>
      <c r="P105" s="74"/>
      <c r="Q105" s="74"/>
      <c r="R105" s="74"/>
      <c r="S105" s="74"/>
      <c r="T105" s="74"/>
      <c r="U105" s="74"/>
      <c r="V105" s="74"/>
      <c r="W105" s="74"/>
      <c r="X105" s="74"/>
      <c r="Y105" s="74"/>
      <c r="Z105" s="74"/>
    </row>
    <row r="106" ht="14.25" customHeight="1">
      <c r="A106" s="74"/>
      <c r="B106" s="177" t="s">
        <v>13</v>
      </c>
      <c r="C106" s="178">
        <f t="shared" ref="C106:C107" si="10">C88*$F$99</f>
        <v>599.125464</v>
      </c>
      <c r="D106" s="181" t="s">
        <v>139</v>
      </c>
      <c r="E106" s="178">
        <f>E88*$F$99</f>
        <v>0</v>
      </c>
      <c r="F106" s="181" t="s">
        <v>139</v>
      </c>
      <c r="G106" s="179">
        <f t="shared" ref="G106:G107" si="12">C106+E106</f>
        <v>599.125464</v>
      </c>
      <c r="H106" s="181" t="s">
        <v>139</v>
      </c>
      <c r="I106" s="180"/>
      <c r="J106" s="74"/>
      <c r="K106" s="74"/>
      <c r="L106" s="74"/>
      <c r="M106" s="74"/>
      <c r="N106" s="74"/>
      <c r="O106" s="74"/>
      <c r="P106" s="74"/>
      <c r="Q106" s="74"/>
      <c r="R106" s="74"/>
      <c r="S106" s="74"/>
      <c r="T106" s="74"/>
      <c r="U106" s="74"/>
      <c r="V106" s="74"/>
      <c r="W106" s="74"/>
      <c r="X106" s="74"/>
      <c r="Y106" s="74"/>
      <c r="Z106" s="74"/>
    </row>
    <row r="107" ht="14.25" customHeight="1">
      <c r="A107" s="74"/>
      <c r="B107" s="177" t="s">
        <v>34</v>
      </c>
      <c r="C107" s="179">
        <f t="shared" si="10"/>
        <v>1190.647292</v>
      </c>
      <c r="D107" s="179">
        <f t="shared" ref="D107:F107" si="11">D89*$F$99</f>
        <v>41341.90383</v>
      </c>
      <c r="E107" s="179">
        <f t="shared" si="11"/>
        <v>-2417.525354</v>
      </c>
      <c r="F107" s="179">
        <f t="shared" si="11"/>
        <v>-83941.89272</v>
      </c>
      <c r="G107" s="179">
        <f t="shared" si="12"/>
        <v>-1226.878062</v>
      </c>
      <c r="H107" s="179">
        <f>D107+F107</f>
        <v>-42599.98889</v>
      </c>
      <c r="I107" s="182" t="s">
        <v>160</v>
      </c>
      <c r="J107" s="74"/>
      <c r="K107" s="74"/>
      <c r="L107" s="74"/>
      <c r="M107" s="74"/>
      <c r="N107" s="74"/>
      <c r="O107" s="74"/>
      <c r="P107" s="74"/>
      <c r="Q107" s="74"/>
      <c r="R107" s="74"/>
      <c r="S107" s="74"/>
      <c r="T107" s="74"/>
      <c r="U107" s="74"/>
      <c r="V107" s="74"/>
      <c r="W107" s="74"/>
      <c r="X107" s="74"/>
      <c r="Y107" s="74"/>
      <c r="Z107" s="74"/>
    </row>
    <row r="108" ht="14.25" customHeight="1">
      <c r="A108" s="74"/>
      <c r="B108" s="175" t="s">
        <v>144</v>
      </c>
      <c r="C108" s="175"/>
      <c r="D108" s="175"/>
      <c r="E108" s="175"/>
      <c r="F108" s="175"/>
      <c r="G108" s="183">
        <f t="shared" ref="G108:H108" si="13">SUM(G102:G107)</f>
        <v>-1254.188844</v>
      </c>
      <c r="H108" s="183">
        <f t="shared" si="13"/>
        <v>-28385.01539</v>
      </c>
      <c r="I108" s="175"/>
      <c r="J108" s="74"/>
      <c r="K108" s="74"/>
      <c r="L108" s="74"/>
      <c r="M108" s="74"/>
      <c r="N108" s="74"/>
      <c r="O108" s="74"/>
      <c r="P108" s="74"/>
      <c r="Q108" s="74"/>
      <c r="R108" s="74"/>
      <c r="S108" s="74"/>
      <c r="T108" s="74"/>
      <c r="U108" s="74"/>
      <c r="V108" s="74"/>
      <c r="W108" s="74"/>
      <c r="X108" s="74"/>
      <c r="Y108" s="74"/>
      <c r="Z108" s="74"/>
    </row>
    <row r="109" ht="14.25" customHeight="1">
      <c r="A109" s="74"/>
      <c r="B109" s="184" t="s">
        <v>161</v>
      </c>
      <c r="C109" s="175"/>
      <c r="D109" s="185">
        <f>D107*C95</f>
        <v>362395687.4</v>
      </c>
      <c r="E109" s="175"/>
      <c r="F109" s="185">
        <f>F107*C95</f>
        <v>-735819522</v>
      </c>
      <c r="G109" s="175"/>
      <c r="H109" s="175"/>
      <c r="I109" s="175"/>
      <c r="J109" s="74"/>
      <c r="K109" s="74"/>
      <c r="L109" s="74"/>
      <c r="M109" s="74"/>
      <c r="N109" s="74"/>
      <c r="O109" s="74"/>
      <c r="P109" s="74"/>
      <c r="Q109" s="74"/>
      <c r="R109" s="74"/>
      <c r="S109" s="74"/>
      <c r="T109" s="74"/>
      <c r="U109" s="74"/>
      <c r="V109" s="74"/>
      <c r="W109" s="74"/>
      <c r="X109" s="74"/>
      <c r="Y109" s="74"/>
      <c r="Z109" s="74"/>
    </row>
    <row r="110" ht="14.25" customHeight="1">
      <c r="A110" s="74"/>
      <c r="B110" s="186"/>
      <c r="C110" s="175"/>
      <c r="D110" s="175"/>
      <c r="E110" s="175"/>
      <c r="F110" s="175"/>
      <c r="G110" s="175"/>
      <c r="H110" s="175"/>
      <c r="I110" s="175"/>
      <c r="J110" s="74"/>
      <c r="K110" s="74"/>
      <c r="L110" s="74"/>
      <c r="M110" s="74"/>
      <c r="N110" s="74"/>
      <c r="O110" s="74"/>
      <c r="P110" s="74"/>
      <c r="Q110" s="74"/>
      <c r="R110" s="74"/>
      <c r="S110" s="74"/>
      <c r="T110" s="74"/>
      <c r="U110" s="74"/>
      <c r="V110" s="74"/>
      <c r="W110" s="74"/>
      <c r="X110" s="74"/>
      <c r="Y110" s="74"/>
      <c r="Z110" s="74"/>
    </row>
    <row r="111" ht="14.25" customHeight="1">
      <c r="A111" s="74"/>
      <c r="B111" s="187" t="s">
        <v>162</v>
      </c>
      <c r="C111" s="183">
        <f>SUM(C102:C107)</f>
        <v>2730.307349</v>
      </c>
      <c r="D111" s="175"/>
      <c r="E111" s="183">
        <f>SUM(E102:E107)</f>
        <v>-3984.496193</v>
      </c>
      <c r="F111" s="175"/>
      <c r="G111" s="175"/>
      <c r="H111" s="175"/>
      <c r="I111" s="175"/>
      <c r="J111" s="74"/>
      <c r="K111" s="74"/>
      <c r="L111" s="74"/>
      <c r="M111" s="74"/>
      <c r="N111" s="74"/>
      <c r="O111" s="74"/>
      <c r="P111" s="74"/>
      <c r="Q111" s="74"/>
      <c r="R111" s="74"/>
      <c r="S111" s="74"/>
      <c r="T111" s="74"/>
      <c r="U111" s="74"/>
      <c r="V111" s="74"/>
      <c r="W111" s="74"/>
      <c r="X111" s="74"/>
      <c r="Y111" s="74"/>
      <c r="Z111" s="74"/>
    </row>
    <row r="112" ht="14.25" customHeight="1">
      <c r="A112" s="74"/>
      <c r="B112" s="186"/>
      <c r="C112" s="175"/>
      <c r="D112" s="175"/>
      <c r="E112" s="175"/>
      <c r="F112" s="175"/>
      <c r="G112" s="175"/>
      <c r="H112" s="175"/>
      <c r="I112" s="175"/>
      <c r="J112" s="74"/>
      <c r="K112" s="74"/>
      <c r="L112" s="74"/>
      <c r="M112" s="74"/>
      <c r="N112" s="74"/>
      <c r="O112" s="74"/>
      <c r="P112" s="74"/>
      <c r="Q112" s="74"/>
      <c r="R112" s="74"/>
      <c r="S112" s="74"/>
      <c r="T112" s="74"/>
      <c r="U112" s="74"/>
      <c r="V112" s="74"/>
      <c r="W112" s="74"/>
      <c r="X112" s="74"/>
      <c r="Y112" s="74"/>
      <c r="Z112" s="74"/>
    </row>
    <row r="113" ht="14.25" customHeight="1">
      <c r="A113" s="74"/>
      <c r="B113" s="110" t="s">
        <v>163</v>
      </c>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22.5" customHeight="1">
      <c r="A114" s="74"/>
      <c r="B114" s="188" t="s">
        <v>164</v>
      </c>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21.75" customHeight="1">
      <c r="A115" s="74"/>
      <c r="B115" s="188" t="s">
        <v>165</v>
      </c>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25.5" customHeight="1">
      <c r="A116" s="74"/>
      <c r="B116" s="188" t="s">
        <v>166</v>
      </c>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24.75" customHeight="1">
      <c r="A117" s="74"/>
      <c r="B117" s="74"/>
      <c r="C117" s="74"/>
      <c r="D117" s="74"/>
      <c r="E117" s="74"/>
      <c r="F117" s="74"/>
      <c r="G117" s="74"/>
      <c r="H117" s="74"/>
      <c r="I117" s="74"/>
      <c r="J117" s="74"/>
      <c r="K117" s="74"/>
      <c r="L117" s="74"/>
      <c r="M117" s="74"/>
      <c r="N117" s="137"/>
      <c r="O117" s="74"/>
      <c r="P117" s="74"/>
      <c r="Q117" s="74"/>
      <c r="R117" s="74"/>
      <c r="S117" s="74"/>
      <c r="T117" s="74"/>
      <c r="U117" s="74"/>
      <c r="V117" s="74"/>
      <c r="W117" s="74"/>
      <c r="X117" s="74"/>
      <c r="Y117" s="74"/>
      <c r="Z117" s="74"/>
    </row>
    <row r="118" ht="57.0" customHeight="1">
      <c r="A118" s="74"/>
      <c r="B118" s="189" t="s">
        <v>167</v>
      </c>
      <c r="C118" s="190" t="s">
        <v>168</v>
      </c>
      <c r="D118" s="191"/>
      <c r="E118" s="80"/>
      <c r="F118" s="74"/>
      <c r="G118" s="74"/>
      <c r="H118" s="74"/>
      <c r="I118" s="74"/>
      <c r="J118" s="74"/>
      <c r="K118" s="74"/>
      <c r="L118" s="74"/>
      <c r="M118" s="74"/>
      <c r="N118" s="74"/>
      <c r="O118" s="74"/>
      <c r="P118" s="74"/>
      <c r="Q118" s="74"/>
      <c r="R118" s="74"/>
      <c r="S118" s="74"/>
      <c r="T118" s="74"/>
      <c r="U118" s="74"/>
      <c r="V118" s="74"/>
      <c r="W118" s="74"/>
      <c r="X118" s="74"/>
      <c r="Y118" s="74"/>
      <c r="Z118" s="74"/>
    </row>
    <row r="119" ht="74.25" customHeight="1">
      <c r="A119" s="74"/>
      <c r="B119" s="192" t="s">
        <v>169</v>
      </c>
      <c r="C119" s="193" t="s">
        <v>170</v>
      </c>
      <c r="D119" s="93"/>
      <c r="E119" s="94"/>
      <c r="F119" s="74"/>
      <c r="G119" s="74"/>
      <c r="H119" s="74"/>
      <c r="I119" s="74"/>
      <c r="J119" s="74"/>
      <c r="K119" s="74"/>
      <c r="L119" s="74"/>
      <c r="M119" s="74"/>
      <c r="N119" s="74"/>
      <c r="O119" s="74"/>
      <c r="P119" s="74"/>
      <c r="Q119" s="74"/>
      <c r="R119" s="74"/>
      <c r="S119" s="74"/>
      <c r="T119" s="74"/>
      <c r="U119" s="74"/>
      <c r="V119" s="74"/>
      <c r="W119" s="74"/>
      <c r="X119" s="74"/>
      <c r="Y119" s="74"/>
      <c r="Z119" s="74"/>
    </row>
    <row r="120" ht="73.5" customHeight="1">
      <c r="A120" s="74"/>
      <c r="B120" s="192" t="s">
        <v>171</v>
      </c>
      <c r="C120" s="194" t="s">
        <v>172</v>
      </c>
      <c r="E120" s="29"/>
      <c r="F120" s="74"/>
      <c r="G120" s="74"/>
      <c r="H120" s="74"/>
      <c r="I120" s="74"/>
      <c r="J120" s="74"/>
      <c r="K120" s="74"/>
      <c r="L120" s="74"/>
      <c r="M120" s="74"/>
      <c r="N120" s="74"/>
      <c r="O120" s="74"/>
      <c r="P120" s="74"/>
      <c r="Q120" s="74"/>
      <c r="R120" s="74"/>
      <c r="S120" s="74"/>
      <c r="T120" s="74"/>
      <c r="U120" s="74"/>
      <c r="V120" s="74"/>
      <c r="W120" s="74"/>
      <c r="X120" s="74"/>
      <c r="Y120" s="74"/>
      <c r="Z120" s="74"/>
    </row>
    <row r="121" ht="51.0" customHeight="1">
      <c r="A121" s="74"/>
      <c r="B121" s="192" t="s">
        <v>173</v>
      </c>
      <c r="C121" s="194" t="s">
        <v>174</v>
      </c>
      <c r="E121" s="29"/>
      <c r="F121" s="74"/>
      <c r="G121" s="74"/>
      <c r="H121" s="74"/>
      <c r="I121" s="74"/>
      <c r="J121" s="74"/>
      <c r="K121" s="74"/>
      <c r="L121" s="74"/>
      <c r="M121" s="74"/>
      <c r="N121" s="74"/>
      <c r="O121" s="74"/>
      <c r="P121" s="74"/>
      <c r="Q121" s="74"/>
      <c r="R121" s="74"/>
      <c r="S121" s="74"/>
      <c r="T121" s="74"/>
      <c r="U121" s="74"/>
      <c r="V121" s="74"/>
      <c r="W121" s="74"/>
      <c r="X121" s="74"/>
      <c r="Y121" s="74"/>
      <c r="Z121" s="74"/>
    </row>
    <row r="122" ht="67.5" customHeight="1">
      <c r="A122" s="74"/>
      <c r="B122" s="192" t="s">
        <v>175</v>
      </c>
      <c r="C122" s="194" t="s">
        <v>176</v>
      </c>
      <c r="E122" s="29"/>
      <c r="F122" s="74"/>
      <c r="G122" s="74"/>
      <c r="H122" s="74"/>
      <c r="I122" s="74"/>
      <c r="J122" s="74"/>
      <c r="K122" s="74"/>
      <c r="L122" s="74"/>
      <c r="M122" s="74"/>
      <c r="N122" s="74"/>
      <c r="O122" s="74"/>
      <c r="P122" s="74"/>
      <c r="Q122" s="74"/>
      <c r="R122" s="74"/>
      <c r="S122" s="74"/>
      <c r="T122" s="74"/>
      <c r="U122" s="74"/>
      <c r="V122" s="74"/>
      <c r="W122" s="74"/>
      <c r="X122" s="74"/>
      <c r="Y122" s="74"/>
      <c r="Z122" s="74"/>
    </row>
    <row r="123" ht="79.5" customHeight="1">
      <c r="A123" s="74"/>
      <c r="B123" s="192" t="s">
        <v>177</v>
      </c>
      <c r="C123" s="194" t="s">
        <v>178</v>
      </c>
      <c r="E123" s="29"/>
      <c r="F123" s="74"/>
      <c r="G123" s="74"/>
      <c r="H123" s="74"/>
      <c r="I123" s="74"/>
      <c r="J123" s="74"/>
      <c r="K123" s="74"/>
      <c r="L123" s="74"/>
      <c r="M123" s="74"/>
      <c r="N123" s="74"/>
      <c r="O123" s="74"/>
      <c r="P123" s="74"/>
      <c r="Q123" s="74"/>
      <c r="R123" s="74"/>
      <c r="S123" s="74"/>
      <c r="T123" s="74"/>
      <c r="U123" s="74"/>
      <c r="V123" s="74"/>
      <c r="W123" s="74"/>
      <c r="X123" s="74"/>
      <c r="Y123" s="74"/>
      <c r="Z123" s="74"/>
    </row>
    <row r="124" ht="55.5" customHeight="1">
      <c r="A124" s="74"/>
      <c r="B124" s="192" t="s">
        <v>179</v>
      </c>
      <c r="C124" s="194" t="s">
        <v>180</v>
      </c>
      <c r="E124" s="29"/>
      <c r="F124" s="74"/>
      <c r="G124" s="74"/>
      <c r="H124" s="74"/>
      <c r="I124" s="74"/>
      <c r="J124" s="74"/>
      <c r="K124" s="74"/>
      <c r="L124" s="74"/>
      <c r="M124" s="74"/>
      <c r="N124" s="74"/>
      <c r="O124" s="74"/>
      <c r="P124" s="74"/>
      <c r="Q124" s="74"/>
      <c r="R124" s="74"/>
      <c r="S124" s="74"/>
      <c r="T124" s="74"/>
      <c r="U124" s="74"/>
      <c r="V124" s="74"/>
      <c r="W124" s="74"/>
      <c r="X124" s="74"/>
      <c r="Y124" s="74"/>
      <c r="Z124" s="74"/>
    </row>
    <row r="125" ht="49.5" customHeight="1">
      <c r="A125" s="74"/>
      <c r="B125" s="192" t="s">
        <v>181</v>
      </c>
      <c r="C125" s="194" t="s">
        <v>182</v>
      </c>
      <c r="E125" s="29"/>
      <c r="F125" s="74"/>
      <c r="G125" s="74"/>
      <c r="H125" s="74"/>
      <c r="I125" s="74"/>
      <c r="J125" s="74"/>
      <c r="K125" s="74"/>
      <c r="L125" s="74"/>
      <c r="M125" s="74"/>
      <c r="N125" s="74"/>
      <c r="O125" s="74"/>
      <c r="P125" s="74"/>
      <c r="Q125" s="74"/>
      <c r="R125" s="74"/>
      <c r="S125" s="74"/>
      <c r="T125" s="74"/>
      <c r="U125" s="74"/>
      <c r="V125" s="74"/>
      <c r="W125" s="74"/>
      <c r="X125" s="74"/>
      <c r="Y125" s="74"/>
      <c r="Z125" s="74"/>
    </row>
    <row r="126" ht="69.0" customHeight="1">
      <c r="A126" s="74"/>
      <c r="B126" s="192" t="s">
        <v>183</v>
      </c>
      <c r="C126" s="194" t="s">
        <v>184</v>
      </c>
      <c r="E126" s="29"/>
      <c r="F126" s="74"/>
      <c r="G126" s="74"/>
      <c r="H126" s="74"/>
      <c r="I126" s="74"/>
      <c r="J126" s="74"/>
      <c r="K126" s="74"/>
      <c r="L126" s="74"/>
      <c r="M126" s="74"/>
      <c r="N126" s="74"/>
      <c r="O126" s="74"/>
      <c r="P126" s="74"/>
      <c r="Q126" s="74"/>
      <c r="R126" s="74"/>
      <c r="S126" s="74"/>
      <c r="T126" s="74"/>
      <c r="U126" s="74"/>
      <c r="V126" s="74"/>
      <c r="W126" s="74"/>
      <c r="X126" s="74"/>
      <c r="Y126" s="74"/>
      <c r="Z126" s="74"/>
    </row>
    <row r="127" ht="57.0" customHeight="1">
      <c r="A127" s="74"/>
      <c r="B127" s="192" t="s">
        <v>185</v>
      </c>
      <c r="C127" s="194" t="s">
        <v>186</v>
      </c>
      <c r="E127" s="29"/>
      <c r="F127" s="74"/>
      <c r="G127" s="74"/>
      <c r="H127" s="74"/>
      <c r="I127" s="74"/>
      <c r="J127" s="74"/>
      <c r="K127" s="74"/>
      <c r="L127" s="74"/>
      <c r="M127" s="74"/>
      <c r="N127" s="74"/>
      <c r="O127" s="74"/>
      <c r="P127" s="74"/>
      <c r="Q127" s="74"/>
      <c r="R127" s="74"/>
      <c r="S127" s="74"/>
      <c r="T127" s="74"/>
      <c r="U127" s="74"/>
      <c r="V127" s="74"/>
      <c r="W127" s="74"/>
      <c r="X127" s="74"/>
      <c r="Y127" s="74"/>
      <c r="Z127" s="74"/>
    </row>
    <row r="128" ht="69.0" customHeight="1">
      <c r="A128" s="74"/>
      <c r="B128" s="192" t="s">
        <v>187</v>
      </c>
      <c r="C128" s="194" t="s">
        <v>188</v>
      </c>
      <c r="E128" s="29"/>
      <c r="F128" s="74"/>
      <c r="G128" s="74"/>
      <c r="H128" s="74"/>
      <c r="I128" s="74"/>
      <c r="J128" s="74"/>
      <c r="K128" s="74"/>
      <c r="L128" s="74"/>
      <c r="M128" s="74"/>
      <c r="N128" s="74"/>
      <c r="O128" s="74"/>
      <c r="P128" s="74"/>
      <c r="Q128" s="74"/>
      <c r="R128" s="74"/>
      <c r="S128" s="74"/>
      <c r="T128" s="74"/>
      <c r="U128" s="74"/>
      <c r="V128" s="74"/>
      <c r="W128" s="74"/>
      <c r="X128" s="74"/>
      <c r="Y128" s="74"/>
      <c r="Z128" s="74"/>
    </row>
    <row r="129" ht="57.0" customHeight="1">
      <c r="A129" s="74"/>
      <c r="B129" s="192" t="s">
        <v>189</v>
      </c>
      <c r="C129" s="194" t="s">
        <v>190</v>
      </c>
      <c r="E129" s="29"/>
      <c r="F129" s="74"/>
      <c r="G129" s="74"/>
      <c r="H129" s="74"/>
      <c r="I129" s="74"/>
      <c r="J129" s="74"/>
      <c r="K129" s="74"/>
      <c r="L129" s="74"/>
      <c r="M129" s="74"/>
      <c r="N129" s="74"/>
      <c r="O129" s="74"/>
      <c r="P129" s="74"/>
      <c r="Q129" s="74"/>
      <c r="R129" s="74"/>
      <c r="S129" s="74"/>
      <c r="T129" s="74"/>
      <c r="U129" s="74"/>
      <c r="V129" s="74"/>
      <c r="W129" s="74"/>
      <c r="X129" s="74"/>
      <c r="Y129" s="74"/>
      <c r="Z129" s="74"/>
    </row>
    <row r="130" ht="48.0" customHeight="1">
      <c r="A130" s="74"/>
      <c r="B130" s="192" t="s">
        <v>191</v>
      </c>
      <c r="C130" s="194" t="s">
        <v>192</v>
      </c>
      <c r="E130" s="29"/>
      <c r="F130" s="74"/>
      <c r="G130" s="74"/>
      <c r="H130" s="74"/>
      <c r="I130" s="74"/>
      <c r="J130" s="74"/>
      <c r="K130" s="74"/>
      <c r="L130" s="74"/>
      <c r="M130" s="74"/>
      <c r="N130" s="74"/>
      <c r="O130" s="74"/>
      <c r="P130" s="74"/>
      <c r="Q130" s="74"/>
      <c r="R130" s="74"/>
      <c r="S130" s="74"/>
      <c r="T130" s="74"/>
      <c r="U130" s="74"/>
      <c r="V130" s="74"/>
      <c r="W130" s="74"/>
      <c r="X130" s="74"/>
      <c r="Y130" s="74"/>
      <c r="Z130" s="74"/>
    </row>
    <row r="131" ht="42.0" customHeight="1">
      <c r="A131" s="74"/>
      <c r="B131" s="192" t="s">
        <v>193</v>
      </c>
      <c r="C131" s="194" t="s">
        <v>194</v>
      </c>
      <c r="E131" s="29"/>
      <c r="F131" s="74"/>
      <c r="G131" s="74"/>
      <c r="H131" s="74"/>
      <c r="I131" s="74"/>
      <c r="J131" s="74"/>
      <c r="K131" s="74"/>
      <c r="L131" s="74"/>
      <c r="M131" s="74"/>
      <c r="N131" s="74"/>
      <c r="O131" s="74"/>
      <c r="P131" s="74"/>
      <c r="Q131" s="74"/>
      <c r="R131" s="74"/>
      <c r="S131" s="74"/>
      <c r="T131" s="74"/>
      <c r="U131" s="74"/>
      <c r="V131" s="74"/>
      <c r="W131" s="74"/>
      <c r="X131" s="74"/>
      <c r="Y131" s="74"/>
      <c r="Z131" s="74"/>
    </row>
    <row r="132" ht="46.5" customHeight="1">
      <c r="A132" s="74"/>
      <c r="B132" s="192" t="s">
        <v>195</v>
      </c>
      <c r="C132" s="194" t="s">
        <v>196</v>
      </c>
      <c r="E132" s="29"/>
      <c r="F132" s="74"/>
      <c r="G132" s="74"/>
      <c r="H132" s="74"/>
      <c r="I132" s="74"/>
      <c r="J132" s="74"/>
      <c r="K132" s="74"/>
      <c r="L132" s="74"/>
      <c r="M132" s="74"/>
      <c r="N132" s="74"/>
      <c r="O132" s="74"/>
      <c r="P132" s="74"/>
      <c r="Q132" s="74"/>
      <c r="R132" s="74"/>
      <c r="S132" s="74"/>
      <c r="T132" s="74"/>
      <c r="U132" s="74"/>
      <c r="V132" s="74"/>
      <c r="W132" s="74"/>
      <c r="X132" s="74"/>
      <c r="Y132" s="74"/>
      <c r="Z132" s="74"/>
    </row>
    <row r="133" ht="63.0" customHeight="1">
      <c r="A133" s="74"/>
      <c r="B133" s="192" t="s">
        <v>197</v>
      </c>
      <c r="C133" s="194" t="s">
        <v>198</v>
      </c>
      <c r="E133" s="29"/>
      <c r="F133" s="74"/>
      <c r="G133" s="74"/>
      <c r="H133" s="74"/>
      <c r="I133" s="74"/>
      <c r="J133" s="74"/>
      <c r="K133" s="74"/>
      <c r="L133" s="74"/>
      <c r="M133" s="74"/>
      <c r="N133" s="74"/>
      <c r="O133" s="74"/>
      <c r="P133" s="74"/>
      <c r="Q133" s="74"/>
      <c r="R133" s="74"/>
      <c r="S133" s="74"/>
      <c r="T133" s="74"/>
      <c r="U133" s="74"/>
      <c r="V133" s="74"/>
      <c r="W133" s="74"/>
      <c r="X133" s="74"/>
      <c r="Y133" s="74"/>
      <c r="Z133" s="74"/>
    </row>
    <row r="134" ht="39.0" customHeight="1">
      <c r="A134" s="74"/>
      <c r="B134" s="192" t="s">
        <v>199</v>
      </c>
      <c r="C134" s="194" t="s">
        <v>200</v>
      </c>
      <c r="E134" s="29"/>
      <c r="F134" s="74"/>
      <c r="G134" s="74"/>
      <c r="H134" s="74"/>
      <c r="I134" s="74"/>
      <c r="J134" s="74"/>
      <c r="K134" s="74"/>
      <c r="L134" s="74"/>
      <c r="M134" s="74"/>
      <c r="N134" s="74"/>
      <c r="O134" s="74"/>
      <c r="P134" s="74"/>
      <c r="Q134" s="74"/>
      <c r="R134" s="74"/>
      <c r="S134" s="74"/>
      <c r="T134" s="74"/>
      <c r="U134" s="74"/>
      <c r="V134" s="74"/>
      <c r="W134" s="74"/>
      <c r="X134" s="74"/>
      <c r="Y134" s="74"/>
      <c r="Z134" s="74"/>
    </row>
    <row r="135" ht="51.0" customHeight="1">
      <c r="A135" s="74"/>
      <c r="B135" s="192" t="s">
        <v>201</v>
      </c>
      <c r="C135" s="194" t="s">
        <v>202</v>
      </c>
      <c r="E135" s="29"/>
      <c r="F135" s="74"/>
      <c r="G135" s="74"/>
      <c r="H135" s="74"/>
      <c r="I135" s="74"/>
      <c r="J135" s="74"/>
      <c r="K135" s="74"/>
      <c r="L135" s="74"/>
      <c r="M135" s="74"/>
      <c r="N135" s="74"/>
      <c r="O135" s="74"/>
      <c r="P135" s="74"/>
      <c r="Q135" s="74"/>
      <c r="R135" s="74"/>
      <c r="S135" s="74"/>
      <c r="T135" s="74"/>
      <c r="U135" s="74"/>
      <c r="V135" s="74"/>
      <c r="W135" s="74"/>
      <c r="X135" s="74"/>
      <c r="Y135" s="74"/>
      <c r="Z135" s="74"/>
    </row>
    <row r="136" ht="33.75" customHeight="1">
      <c r="A136" s="74"/>
      <c r="B136" s="192" t="s">
        <v>203</v>
      </c>
      <c r="C136" s="194" t="s">
        <v>204</v>
      </c>
      <c r="E136" s="29"/>
      <c r="F136" s="74"/>
      <c r="G136" s="74"/>
      <c r="H136" s="74"/>
      <c r="I136" s="74"/>
      <c r="J136" s="74"/>
      <c r="K136" s="74"/>
      <c r="L136" s="74"/>
      <c r="M136" s="74"/>
      <c r="N136" s="74"/>
      <c r="O136" s="74"/>
      <c r="P136" s="74"/>
      <c r="Q136" s="74"/>
      <c r="R136" s="74"/>
      <c r="S136" s="74"/>
      <c r="T136" s="74"/>
      <c r="U136" s="74"/>
      <c r="V136" s="74"/>
      <c r="W136" s="74"/>
      <c r="X136" s="74"/>
      <c r="Y136" s="74"/>
      <c r="Z136" s="74"/>
    </row>
    <row r="137" ht="44.25" customHeight="1">
      <c r="A137" s="74"/>
      <c r="B137" s="192" t="s">
        <v>205</v>
      </c>
      <c r="C137" s="194" t="s">
        <v>206</v>
      </c>
      <c r="E137" s="29"/>
      <c r="F137" s="74"/>
      <c r="G137" s="74"/>
      <c r="H137" s="74"/>
      <c r="I137" s="74"/>
      <c r="J137" s="74"/>
      <c r="K137" s="74"/>
      <c r="L137" s="74"/>
      <c r="M137" s="74"/>
      <c r="N137" s="74"/>
      <c r="O137" s="74"/>
      <c r="P137" s="74"/>
      <c r="Q137" s="74"/>
      <c r="R137" s="74"/>
      <c r="S137" s="74"/>
      <c r="T137" s="74"/>
      <c r="U137" s="74"/>
      <c r="V137" s="74"/>
      <c r="W137" s="74"/>
      <c r="X137" s="74"/>
      <c r="Y137" s="74"/>
      <c r="Z137" s="74"/>
    </row>
    <row r="138" ht="57.0" customHeight="1">
      <c r="A138" s="74"/>
      <c r="B138" s="192" t="s">
        <v>207</v>
      </c>
      <c r="C138" s="194" t="s">
        <v>208</v>
      </c>
      <c r="E138" s="29"/>
      <c r="F138" s="74"/>
      <c r="G138" s="74"/>
      <c r="H138" s="74"/>
      <c r="I138" s="74"/>
      <c r="J138" s="74"/>
      <c r="K138" s="74"/>
      <c r="L138" s="74"/>
      <c r="M138" s="74"/>
      <c r="N138" s="74"/>
      <c r="O138" s="74"/>
      <c r="P138" s="74"/>
      <c r="Q138" s="74"/>
      <c r="R138" s="74"/>
      <c r="S138" s="74"/>
      <c r="T138" s="74"/>
      <c r="U138" s="74"/>
      <c r="V138" s="74"/>
      <c r="W138" s="74"/>
      <c r="X138" s="74"/>
      <c r="Y138" s="74"/>
      <c r="Z138" s="74"/>
    </row>
    <row r="139" ht="54.0" customHeight="1">
      <c r="A139" s="74"/>
      <c r="B139" s="192" t="s">
        <v>209</v>
      </c>
      <c r="C139" s="194" t="s">
        <v>210</v>
      </c>
      <c r="E139" s="29"/>
      <c r="F139" s="74"/>
      <c r="G139" s="74"/>
      <c r="H139" s="74"/>
      <c r="I139" s="74"/>
      <c r="J139" s="74"/>
      <c r="K139" s="74"/>
      <c r="L139" s="74"/>
      <c r="M139" s="74"/>
      <c r="N139" s="74"/>
      <c r="O139" s="74"/>
      <c r="P139" s="74"/>
      <c r="Q139" s="74"/>
      <c r="R139" s="74"/>
      <c r="S139" s="74"/>
      <c r="T139" s="74"/>
      <c r="U139" s="74"/>
      <c r="V139" s="74"/>
      <c r="W139" s="74"/>
      <c r="X139" s="74"/>
      <c r="Y139" s="74"/>
      <c r="Z139" s="74"/>
    </row>
    <row r="140" ht="60.0" customHeight="1">
      <c r="A140" s="74"/>
      <c r="B140" s="192" t="s">
        <v>211</v>
      </c>
      <c r="C140" s="194" t="s">
        <v>212</v>
      </c>
      <c r="E140" s="29"/>
      <c r="F140" s="74"/>
      <c r="G140" s="74"/>
      <c r="H140" s="74"/>
      <c r="I140" s="74"/>
      <c r="J140" s="74"/>
      <c r="K140" s="74"/>
      <c r="L140" s="74"/>
      <c r="M140" s="74"/>
      <c r="N140" s="74"/>
      <c r="O140" s="74"/>
      <c r="P140" s="74"/>
      <c r="Q140" s="74"/>
      <c r="R140" s="74"/>
      <c r="S140" s="74"/>
      <c r="T140" s="74"/>
      <c r="U140" s="74"/>
      <c r="V140" s="74"/>
      <c r="W140" s="74"/>
      <c r="X140" s="74"/>
      <c r="Y140" s="74"/>
      <c r="Z140" s="74"/>
    </row>
    <row r="141" ht="42.75" customHeight="1">
      <c r="A141" s="74"/>
      <c r="B141" s="192" t="s">
        <v>213</v>
      </c>
      <c r="C141" s="195" t="s">
        <v>214</v>
      </c>
      <c r="E141" s="29"/>
      <c r="F141" s="74"/>
      <c r="G141" s="74"/>
      <c r="H141" s="74"/>
      <c r="I141" s="74"/>
      <c r="J141" s="74"/>
      <c r="K141" s="74"/>
      <c r="L141" s="74"/>
      <c r="M141" s="74"/>
      <c r="N141" s="74"/>
      <c r="O141" s="74"/>
      <c r="P141" s="74"/>
      <c r="Q141" s="74"/>
      <c r="R141" s="74"/>
      <c r="S141" s="74"/>
      <c r="T141" s="74"/>
      <c r="U141" s="74"/>
      <c r="V141" s="74"/>
      <c r="W141" s="74"/>
      <c r="X141" s="74"/>
      <c r="Y141" s="74"/>
      <c r="Z141" s="74"/>
    </row>
    <row r="142" ht="65.25" customHeight="1">
      <c r="A142" s="74"/>
      <c r="B142" s="192" t="s">
        <v>215</v>
      </c>
      <c r="C142" s="194" t="s">
        <v>216</v>
      </c>
      <c r="E142" s="29"/>
      <c r="F142" s="74"/>
      <c r="G142" s="74"/>
      <c r="H142" s="74"/>
      <c r="I142" s="74"/>
      <c r="J142" s="74"/>
      <c r="K142" s="74"/>
      <c r="L142" s="74"/>
      <c r="M142" s="74"/>
      <c r="N142" s="74"/>
      <c r="O142" s="74"/>
      <c r="P142" s="74"/>
      <c r="Q142" s="74"/>
      <c r="R142" s="74"/>
      <c r="S142" s="74"/>
      <c r="T142" s="74"/>
      <c r="U142" s="74"/>
      <c r="V142" s="74"/>
      <c r="W142" s="74"/>
      <c r="X142" s="74"/>
      <c r="Y142" s="74"/>
      <c r="Z142" s="74"/>
    </row>
    <row r="143" ht="54.75" customHeight="1">
      <c r="A143" s="74"/>
      <c r="B143" s="192" t="s">
        <v>217</v>
      </c>
      <c r="C143" s="194" t="s">
        <v>218</v>
      </c>
      <c r="E143" s="29"/>
      <c r="F143" s="74"/>
      <c r="G143" s="74"/>
      <c r="H143" s="74"/>
      <c r="I143" s="74"/>
      <c r="J143" s="74"/>
      <c r="K143" s="74"/>
      <c r="L143" s="74"/>
      <c r="M143" s="74"/>
      <c r="N143" s="74"/>
      <c r="O143" s="74"/>
      <c r="P143" s="74"/>
      <c r="Q143" s="74"/>
      <c r="R143" s="74"/>
      <c r="S143" s="74"/>
      <c r="T143" s="74"/>
      <c r="U143" s="74"/>
      <c r="V143" s="74"/>
      <c r="W143" s="74"/>
      <c r="X143" s="74"/>
      <c r="Y143" s="74"/>
      <c r="Z143" s="74"/>
    </row>
    <row r="144" ht="60.75" customHeight="1">
      <c r="A144" s="74"/>
      <c r="B144" s="192" t="s">
        <v>219</v>
      </c>
      <c r="C144" s="194" t="s">
        <v>220</v>
      </c>
      <c r="E144" s="29"/>
      <c r="F144" s="74"/>
      <c r="G144" s="74"/>
      <c r="H144" s="74"/>
      <c r="I144" s="74"/>
      <c r="J144" s="74"/>
      <c r="K144" s="74"/>
      <c r="L144" s="74"/>
      <c r="M144" s="74"/>
      <c r="N144" s="74"/>
      <c r="O144" s="74"/>
      <c r="P144" s="74"/>
      <c r="Q144" s="74"/>
      <c r="R144" s="74"/>
      <c r="S144" s="74"/>
      <c r="T144" s="74"/>
      <c r="U144" s="74"/>
      <c r="V144" s="74"/>
      <c r="W144" s="74"/>
      <c r="X144" s="74"/>
      <c r="Y144" s="74"/>
      <c r="Z144" s="74"/>
    </row>
    <row r="145" ht="51.75" customHeight="1">
      <c r="A145" s="74"/>
      <c r="B145" s="192" t="s">
        <v>221</v>
      </c>
      <c r="C145" s="194" t="s">
        <v>222</v>
      </c>
      <c r="E145" s="29"/>
      <c r="F145" s="74"/>
      <c r="G145" s="74"/>
      <c r="H145" s="74"/>
      <c r="I145" s="74"/>
      <c r="J145" s="74"/>
      <c r="K145" s="74"/>
      <c r="L145" s="74"/>
      <c r="M145" s="74"/>
      <c r="N145" s="74"/>
      <c r="O145" s="74"/>
      <c r="P145" s="74"/>
      <c r="Q145" s="74"/>
      <c r="R145" s="74"/>
      <c r="S145" s="74"/>
      <c r="T145" s="74"/>
      <c r="U145" s="74"/>
      <c r="V145" s="74"/>
      <c r="W145" s="74"/>
      <c r="X145" s="74"/>
      <c r="Y145" s="74"/>
      <c r="Z145" s="74"/>
    </row>
    <row r="146" ht="45.0" customHeight="1">
      <c r="A146" s="74"/>
      <c r="B146" s="192" t="s">
        <v>223</v>
      </c>
      <c r="C146" s="194" t="s">
        <v>224</v>
      </c>
      <c r="E146" s="29"/>
      <c r="F146" s="74"/>
      <c r="G146" s="74"/>
      <c r="H146" s="74"/>
      <c r="I146" s="74"/>
      <c r="J146" s="74"/>
      <c r="K146" s="74"/>
      <c r="L146" s="74"/>
      <c r="M146" s="74"/>
      <c r="N146" s="74"/>
      <c r="O146" s="74"/>
      <c r="P146" s="74"/>
      <c r="Q146" s="74"/>
      <c r="R146" s="74"/>
      <c r="S146" s="74"/>
      <c r="T146" s="74"/>
      <c r="U146" s="74"/>
      <c r="V146" s="74"/>
      <c r="W146" s="74"/>
      <c r="X146" s="74"/>
      <c r="Y146" s="74"/>
      <c r="Z146" s="74"/>
    </row>
    <row r="147" ht="101.25" customHeight="1">
      <c r="A147" s="74"/>
      <c r="B147" s="192" t="s">
        <v>225</v>
      </c>
      <c r="C147" s="194" t="s">
        <v>226</v>
      </c>
      <c r="E147" s="29"/>
      <c r="F147" s="74"/>
      <c r="G147" s="74"/>
      <c r="H147" s="74"/>
      <c r="I147" s="74"/>
      <c r="J147" s="74"/>
      <c r="K147" s="74"/>
      <c r="L147" s="74"/>
      <c r="M147" s="74"/>
      <c r="N147" s="74"/>
      <c r="O147" s="74"/>
      <c r="P147" s="74"/>
      <c r="Q147" s="74"/>
      <c r="R147" s="74"/>
      <c r="S147" s="74"/>
      <c r="T147" s="74"/>
      <c r="U147" s="74"/>
      <c r="V147" s="74"/>
      <c r="W147" s="74"/>
      <c r="X147" s="74"/>
      <c r="Y147" s="74"/>
      <c r="Z147" s="74"/>
    </row>
    <row r="148" ht="84.75" customHeight="1">
      <c r="A148" s="74"/>
      <c r="B148" s="192" t="s">
        <v>227</v>
      </c>
      <c r="C148" s="194" t="s">
        <v>228</v>
      </c>
      <c r="E148" s="29"/>
      <c r="F148" s="74"/>
      <c r="G148" s="74"/>
      <c r="H148" s="74"/>
      <c r="I148" s="74"/>
      <c r="J148" s="74"/>
      <c r="K148" s="74"/>
      <c r="L148" s="74"/>
      <c r="M148" s="74"/>
      <c r="N148" s="74"/>
      <c r="O148" s="74"/>
      <c r="P148" s="74"/>
      <c r="Q148" s="74"/>
      <c r="R148" s="74"/>
      <c r="S148" s="74"/>
      <c r="T148" s="74"/>
      <c r="U148" s="74"/>
      <c r="V148" s="74"/>
      <c r="W148" s="74"/>
      <c r="X148" s="74"/>
      <c r="Y148" s="74"/>
      <c r="Z148" s="74"/>
    </row>
    <row r="149" ht="85.5" customHeight="1">
      <c r="A149" s="74"/>
      <c r="B149" s="192" t="s">
        <v>229</v>
      </c>
      <c r="C149" s="194" t="s">
        <v>230</v>
      </c>
      <c r="E149" s="29"/>
      <c r="F149" s="74"/>
      <c r="G149" s="74"/>
      <c r="H149" s="74"/>
      <c r="I149" s="74"/>
      <c r="J149" s="74"/>
      <c r="K149" s="74"/>
      <c r="L149" s="74"/>
      <c r="M149" s="74"/>
      <c r="N149" s="74"/>
      <c r="O149" s="74"/>
      <c r="P149" s="74"/>
      <c r="Q149" s="74"/>
      <c r="R149" s="74"/>
      <c r="S149" s="74"/>
      <c r="T149" s="74"/>
      <c r="U149" s="74"/>
      <c r="V149" s="74"/>
      <c r="W149" s="74"/>
      <c r="X149" s="74"/>
      <c r="Y149" s="74"/>
      <c r="Z149" s="74"/>
    </row>
    <row r="150" ht="52.5" customHeight="1">
      <c r="A150" s="74"/>
      <c r="B150" s="192" t="s">
        <v>231</v>
      </c>
      <c r="C150" s="194" t="s">
        <v>232</v>
      </c>
      <c r="E150" s="29"/>
      <c r="F150" s="74"/>
      <c r="G150" s="74"/>
      <c r="H150" s="74"/>
      <c r="I150" s="74"/>
      <c r="J150" s="74"/>
      <c r="K150" s="74"/>
      <c r="L150" s="74"/>
      <c r="M150" s="74"/>
      <c r="N150" s="74"/>
      <c r="O150" s="74"/>
      <c r="P150" s="74"/>
      <c r="Q150" s="74"/>
      <c r="R150" s="74"/>
      <c r="S150" s="74"/>
      <c r="T150" s="74"/>
      <c r="U150" s="74"/>
      <c r="V150" s="74"/>
      <c r="W150" s="74"/>
      <c r="X150" s="74"/>
      <c r="Y150" s="74"/>
      <c r="Z150" s="74"/>
    </row>
    <row r="151" ht="69.0" customHeight="1">
      <c r="A151" s="74"/>
      <c r="B151" s="196" t="s">
        <v>233</v>
      </c>
      <c r="C151" s="197" t="s">
        <v>234</v>
      </c>
      <c r="D151" s="95"/>
      <c r="E151" s="38"/>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row r="1001" ht="14.25" customHeight="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row>
    <row r="1002" ht="14.25" customHeight="1">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c r="Y1002" s="74"/>
      <c r="Z1002" s="74"/>
    </row>
    <row r="1003" ht="14.25" customHeight="1">
      <c r="A1003" s="74"/>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c r="Y1003" s="74"/>
      <c r="Z1003" s="74"/>
    </row>
    <row r="1004" ht="14.25" customHeight="1">
      <c r="A1004" s="74"/>
      <c r="B1004" s="74"/>
      <c r="C1004" s="74"/>
      <c r="D1004" s="74"/>
      <c r="E1004" s="74"/>
      <c r="F1004" s="74"/>
      <c r="G1004" s="74"/>
      <c r="H1004" s="74"/>
      <c r="I1004" s="74"/>
      <c r="J1004" s="74"/>
      <c r="K1004" s="74"/>
      <c r="L1004" s="74"/>
      <c r="M1004" s="74"/>
      <c r="N1004" s="74"/>
      <c r="O1004" s="74"/>
      <c r="P1004" s="74"/>
      <c r="Q1004" s="74"/>
      <c r="R1004" s="74"/>
      <c r="S1004" s="74"/>
      <c r="T1004" s="74"/>
      <c r="U1004" s="74"/>
      <c r="V1004" s="74"/>
      <c r="W1004" s="74"/>
      <c r="X1004" s="74"/>
      <c r="Y1004" s="74"/>
      <c r="Z1004" s="74"/>
    </row>
    <row r="1005" ht="14.25" customHeight="1">
      <c r="A1005" s="74"/>
      <c r="B1005" s="74"/>
      <c r="C1005" s="74"/>
      <c r="D1005" s="74"/>
      <c r="E1005" s="74"/>
      <c r="F1005" s="74"/>
      <c r="G1005" s="74"/>
      <c r="H1005" s="74"/>
      <c r="I1005" s="74"/>
      <c r="J1005" s="74"/>
      <c r="K1005" s="74"/>
      <c r="L1005" s="74"/>
      <c r="M1005" s="74"/>
      <c r="N1005" s="74"/>
      <c r="O1005" s="74"/>
      <c r="P1005" s="74"/>
      <c r="Q1005" s="74"/>
      <c r="R1005" s="74"/>
      <c r="S1005" s="74"/>
      <c r="T1005" s="74"/>
      <c r="U1005" s="74"/>
      <c r="V1005" s="74"/>
      <c r="W1005" s="74"/>
      <c r="X1005" s="74"/>
      <c r="Y1005" s="74"/>
      <c r="Z1005" s="74"/>
    </row>
    <row r="1006" ht="14.25" customHeight="1">
      <c r="A1006" s="74"/>
      <c r="B1006" s="74"/>
      <c r="C1006" s="74"/>
      <c r="D1006" s="74"/>
      <c r="E1006" s="74"/>
      <c r="F1006" s="74"/>
      <c r="G1006" s="74"/>
      <c r="H1006" s="74"/>
      <c r="I1006" s="74"/>
      <c r="J1006" s="74"/>
      <c r="K1006" s="74"/>
      <c r="L1006" s="74"/>
      <c r="M1006" s="74"/>
      <c r="N1006" s="74"/>
      <c r="O1006" s="74"/>
      <c r="P1006" s="74"/>
      <c r="Q1006" s="74"/>
      <c r="R1006" s="74"/>
      <c r="S1006" s="74"/>
      <c r="T1006" s="74"/>
      <c r="U1006" s="74"/>
      <c r="V1006" s="74"/>
      <c r="W1006" s="74"/>
      <c r="X1006" s="74"/>
      <c r="Y1006" s="74"/>
      <c r="Z1006" s="74"/>
    </row>
    <row r="1007" ht="14.25" customHeight="1">
      <c r="A1007" s="74"/>
      <c r="B1007" s="74"/>
      <c r="C1007" s="74"/>
      <c r="D1007" s="74"/>
      <c r="E1007" s="74"/>
      <c r="F1007" s="74"/>
      <c r="G1007" s="74"/>
      <c r="H1007" s="74"/>
      <c r="I1007" s="74"/>
      <c r="J1007" s="74"/>
      <c r="K1007" s="74"/>
      <c r="L1007" s="74"/>
      <c r="M1007" s="74"/>
      <c r="N1007" s="74"/>
      <c r="O1007" s="74"/>
      <c r="P1007" s="74"/>
      <c r="Q1007" s="74"/>
      <c r="R1007" s="74"/>
      <c r="S1007" s="74"/>
      <c r="T1007" s="74"/>
      <c r="U1007" s="74"/>
      <c r="V1007" s="74"/>
      <c r="W1007" s="74"/>
      <c r="X1007" s="74"/>
      <c r="Y1007" s="74"/>
      <c r="Z1007" s="74"/>
    </row>
    <row r="1008" ht="14.25" customHeight="1">
      <c r="A1008" s="74"/>
      <c r="B1008" s="74"/>
      <c r="C1008" s="74"/>
      <c r="D1008" s="74"/>
      <c r="E1008" s="74"/>
      <c r="F1008" s="74"/>
      <c r="G1008" s="74"/>
      <c r="H1008" s="74"/>
      <c r="I1008" s="74"/>
      <c r="J1008" s="74"/>
      <c r="K1008" s="74"/>
      <c r="L1008" s="74"/>
      <c r="M1008" s="74"/>
      <c r="N1008" s="74"/>
      <c r="O1008" s="74"/>
      <c r="P1008" s="74"/>
      <c r="Q1008" s="74"/>
      <c r="R1008" s="74"/>
      <c r="S1008" s="74"/>
      <c r="T1008" s="74"/>
      <c r="U1008" s="74"/>
      <c r="V1008" s="74"/>
      <c r="W1008" s="74"/>
      <c r="X1008" s="74"/>
      <c r="Y1008" s="74"/>
      <c r="Z1008" s="74"/>
    </row>
    <row r="1009" ht="14.25" customHeight="1">
      <c r="A1009" s="74"/>
      <c r="B1009" s="74"/>
      <c r="C1009" s="74"/>
      <c r="D1009" s="74"/>
      <c r="E1009" s="74"/>
      <c r="F1009" s="74"/>
      <c r="G1009" s="74"/>
      <c r="H1009" s="74"/>
      <c r="I1009" s="74"/>
      <c r="J1009" s="74"/>
      <c r="K1009" s="74"/>
      <c r="L1009" s="74"/>
      <c r="M1009" s="74"/>
      <c r="N1009" s="74"/>
      <c r="O1009" s="74"/>
      <c r="P1009" s="74"/>
      <c r="Q1009" s="74"/>
      <c r="R1009" s="74"/>
      <c r="S1009" s="74"/>
      <c r="T1009" s="74"/>
      <c r="U1009" s="74"/>
      <c r="V1009" s="74"/>
      <c r="W1009" s="74"/>
      <c r="X1009" s="74"/>
      <c r="Y1009" s="74"/>
      <c r="Z1009" s="74"/>
    </row>
    <row r="1010" ht="14.25" customHeight="1">
      <c r="A1010" s="74"/>
      <c r="B1010" s="74"/>
      <c r="C1010" s="74"/>
      <c r="D1010" s="74"/>
      <c r="E1010" s="74"/>
      <c r="F1010" s="74"/>
      <c r="G1010" s="74"/>
      <c r="H1010" s="74"/>
      <c r="I1010" s="74"/>
      <c r="J1010" s="74"/>
      <c r="K1010" s="74"/>
      <c r="L1010" s="74"/>
      <c r="M1010" s="74"/>
      <c r="N1010" s="74"/>
      <c r="O1010" s="74"/>
      <c r="P1010" s="74"/>
      <c r="Q1010" s="74"/>
      <c r="R1010" s="74"/>
      <c r="S1010" s="74"/>
      <c r="T1010" s="74"/>
      <c r="U1010" s="74"/>
      <c r="V1010" s="74"/>
      <c r="W1010" s="74"/>
      <c r="X1010" s="74"/>
      <c r="Y1010" s="74"/>
      <c r="Z1010" s="74"/>
    </row>
    <row r="1011" ht="14.25" customHeight="1">
      <c r="A1011" s="74"/>
      <c r="B1011" s="74"/>
      <c r="C1011" s="74"/>
      <c r="D1011" s="74"/>
      <c r="E1011" s="74"/>
      <c r="F1011" s="74"/>
      <c r="G1011" s="74"/>
      <c r="H1011" s="74"/>
      <c r="I1011" s="74"/>
      <c r="J1011" s="74"/>
      <c r="K1011" s="74"/>
      <c r="L1011" s="74"/>
      <c r="M1011" s="74"/>
      <c r="N1011" s="74"/>
      <c r="O1011" s="74"/>
      <c r="P1011" s="74"/>
      <c r="Q1011" s="74"/>
      <c r="R1011" s="74"/>
      <c r="S1011" s="74"/>
      <c r="T1011" s="74"/>
      <c r="U1011" s="74"/>
      <c r="V1011" s="74"/>
      <c r="W1011" s="74"/>
      <c r="X1011" s="74"/>
      <c r="Y1011" s="74"/>
      <c r="Z1011" s="74"/>
    </row>
    <row r="1012" ht="14.25" customHeight="1">
      <c r="A1012" s="74"/>
      <c r="B1012" s="74"/>
      <c r="C1012" s="74"/>
      <c r="D1012" s="74"/>
      <c r="E1012" s="74"/>
      <c r="F1012" s="74"/>
      <c r="G1012" s="74"/>
      <c r="H1012" s="74"/>
      <c r="I1012" s="74"/>
      <c r="J1012" s="74"/>
      <c r="K1012" s="74"/>
      <c r="L1012" s="74"/>
      <c r="M1012" s="74"/>
      <c r="N1012" s="74"/>
      <c r="O1012" s="74"/>
      <c r="P1012" s="74"/>
      <c r="Q1012" s="74"/>
      <c r="R1012" s="74"/>
      <c r="S1012" s="74"/>
      <c r="T1012" s="74"/>
      <c r="U1012" s="74"/>
      <c r="V1012" s="74"/>
      <c r="W1012" s="74"/>
      <c r="X1012" s="74"/>
      <c r="Y1012" s="74"/>
      <c r="Z1012" s="74"/>
    </row>
    <row r="1013" ht="14.25" customHeight="1">
      <c r="A1013" s="74"/>
      <c r="B1013" s="74"/>
      <c r="C1013" s="74"/>
      <c r="D1013" s="74"/>
      <c r="E1013" s="74"/>
      <c r="F1013" s="74"/>
      <c r="G1013" s="74"/>
      <c r="H1013" s="74"/>
      <c r="I1013" s="74"/>
      <c r="J1013" s="74"/>
      <c r="K1013" s="74"/>
      <c r="L1013" s="74"/>
      <c r="M1013" s="74"/>
      <c r="N1013" s="74"/>
      <c r="O1013" s="74"/>
      <c r="P1013" s="74"/>
      <c r="Q1013" s="74"/>
      <c r="R1013" s="74"/>
      <c r="S1013" s="74"/>
      <c r="T1013" s="74"/>
      <c r="U1013" s="74"/>
      <c r="V1013" s="74"/>
      <c r="W1013" s="74"/>
      <c r="X1013" s="74"/>
      <c r="Y1013" s="74"/>
      <c r="Z1013" s="74"/>
    </row>
    <row r="1014" ht="14.25" customHeight="1">
      <c r="A1014" s="74"/>
      <c r="B1014" s="74"/>
      <c r="C1014" s="74"/>
      <c r="D1014" s="74"/>
      <c r="E1014" s="74"/>
      <c r="F1014" s="74"/>
      <c r="G1014" s="74"/>
      <c r="H1014" s="74"/>
      <c r="I1014" s="74"/>
      <c r="J1014" s="74"/>
      <c r="K1014" s="74"/>
      <c r="L1014" s="74"/>
      <c r="M1014" s="74"/>
      <c r="N1014" s="74"/>
      <c r="O1014" s="74"/>
      <c r="P1014" s="74"/>
      <c r="Q1014" s="74"/>
      <c r="R1014" s="74"/>
      <c r="S1014" s="74"/>
      <c r="T1014" s="74"/>
      <c r="U1014" s="74"/>
      <c r="V1014" s="74"/>
      <c r="W1014" s="74"/>
      <c r="X1014" s="74"/>
      <c r="Y1014" s="74"/>
      <c r="Z1014" s="74"/>
    </row>
    <row r="1015" ht="14.25" customHeight="1">
      <c r="A1015" s="74"/>
      <c r="B1015" s="74"/>
      <c r="C1015" s="74"/>
      <c r="D1015" s="74"/>
      <c r="E1015" s="74"/>
      <c r="F1015" s="74"/>
      <c r="G1015" s="74"/>
      <c r="H1015" s="74"/>
      <c r="I1015" s="74"/>
      <c r="J1015" s="74"/>
      <c r="K1015" s="74"/>
      <c r="L1015" s="74"/>
      <c r="M1015" s="74"/>
      <c r="N1015" s="74"/>
      <c r="O1015" s="74"/>
      <c r="P1015" s="74"/>
      <c r="Q1015" s="74"/>
      <c r="R1015" s="74"/>
      <c r="S1015" s="74"/>
      <c r="T1015" s="74"/>
      <c r="U1015" s="74"/>
      <c r="V1015" s="74"/>
      <c r="W1015" s="74"/>
      <c r="X1015" s="74"/>
      <c r="Y1015" s="74"/>
      <c r="Z1015" s="74"/>
    </row>
    <row r="1016" ht="14.25" customHeight="1">
      <c r="A1016" s="74"/>
      <c r="B1016" s="74"/>
      <c r="C1016" s="74"/>
      <c r="D1016" s="74"/>
      <c r="E1016" s="74"/>
      <c r="F1016" s="74"/>
      <c r="G1016" s="74"/>
      <c r="H1016" s="74"/>
      <c r="I1016" s="74"/>
      <c r="J1016" s="74"/>
      <c r="K1016" s="74"/>
      <c r="L1016" s="74"/>
      <c r="M1016" s="74"/>
      <c r="N1016" s="74"/>
      <c r="O1016" s="74"/>
      <c r="P1016" s="74"/>
      <c r="Q1016" s="74"/>
      <c r="R1016" s="74"/>
      <c r="S1016" s="74"/>
      <c r="T1016" s="74"/>
      <c r="U1016" s="74"/>
      <c r="V1016" s="74"/>
      <c r="W1016" s="74"/>
      <c r="X1016" s="74"/>
      <c r="Y1016" s="74"/>
      <c r="Z1016" s="74"/>
    </row>
    <row r="1017" ht="14.25" customHeight="1">
      <c r="A1017" s="74"/>
      <c r="B1017" s="74"/>
      <c r="C1017" s="74"/>
      <c r="D1017" s="74"/>
      <c r="E1017" s="74"/>
      <c r="F1017" s="74"/>
      <c r="G1017" s="74"/>
      <c r="H1017" s="74"/>
      <c r="I1017" s="74"/>
      <c r="J1017" s="74"/>
      <c r="K1017" s="74"/>
      <c r="L1017" s="74"/>
      <c r="M1017" s="74"/>
      <c r="N1017" s="74"/>
      <c r="O1017" s="74"/>
      <c r="P1017" s="74"/>
      <c r="Q1017" s="74"/>
      <c r="R1017" s="74"/>
      <c r="S1017" s="74"/>
      <c r="T1017" s="74"/>
      <c r="U1017" s="74"/>
      <c r="V1017" s="74"/>
      <c r="W1017" s="74"/>
      <c r="X1017" s="74"/>
      <c r="Y1017" s="74"/>
      <c r="Z1017" s="74"/>
    </row>
    <row r="1018" ht="14.25" customHeight="1">
      <c r="A1018" s="74"/>
      <c r="B1018" s="74"/>
      <c r="C1018" s="74"/>
      <c r="D1018" s="74"/>
      <c r="E1018" s="74"/>
      <c r="F1018" s="74"/>
      <c r="G1018" s="74"/>
      <c r="H1018" s="74"/>
      <c r="I1018" s="74"/>
      <c r="J1018" s="74"/>
      <c r="K1018" s="74"/>
      <c r="L1018" s="74"/>
      <c r="M1018" s="74"/>
      <c r="N1018" s="74"/>
      <c r="O1018" s="74"/>
      <c r="P1018" s="74"/>
      <c r="Q1018" s="74"/>
      <c r="R1018" s="74"/>
      <c r="S1018" s="74"/>
      <c r="T1018" s="74"/>
      <c r="U1018" s="74"/>
      <c r="V1018" s="74"/>
      <c r="W1018" s="74"/>
      <c r="X1018" s="74"/>
      <c r="Y1018" s="74"/>
      <c r="Z1018" s="74"/>
    </row>
    <row r="1019" ht="14.25" customHeight="1">
      <c r="A1019" s="74"/>
      <c r="B1019" s="74"/>
      <c r="C1019" s="74"/>
      <c r="D1019" s="74"/>
      <c r="E1019" s="74"/>
      <c r="F1019" s="74"/>
      <c r="G1019" s="74"/>
      <c r="H1019" s="74"/>
      <c r="I1019" s="74"/>
      <c r="J1019" s="74"/>
      <c r="K1019" s="74"/>
      <c r="L1019" s="74"/>
      <c r="M1019" s="74"/>
      <c r="N1019" s="74"/>
      <c r="O1019" s="74"/>
      <c r="P1019" s="74"/>
      <c r="Q1019" s="74"/>
      <c r="R1019" s="74"/>
      <c r="S1019" s="74"/>
      <c r="T1019" s="74"/>
      <c r="U1019" s="74"/>
      <c r="V1019" s="74"/>
      <c r="W1019" s="74"/>
      <c r="X1019" s="74"/>
      <c r="Y1019" s="74"/>
      <c r="Z1019" s="74"/>
    </row>
  </sheetData>
  <mergeCells count="42">
    <mergeCell ref="B3:O3"/>
    <mergeCell ref="B4:O4"/>
    <mergeCell ref="B6:C6"/>
    <mergeCell ref="E6:O7"/>
    <mergeCell ref="B7:C7"/>
    <mergeCell ref="B10:O14"/>
    <mergeCell ref="B19:O23"/>
    <mergeCell ref="K82:L82"/>
    <mergeCell ref="C118:E118"/>
    <mergeCell ref="C119:E119"/>
    <mergeCell ref="C120:E120"/>
    <mergeCell ref="C121:E121"/>
    <mergeCell ref="C122:E122"/>
    <mergeCell ref="C123:E123"/>
    <mergeCell ref="C124:E124"/>
    <mergeCell ref="C125:E125"/>
    <mergeCell ref="C126:E126"/>
    <mergeCell ref="C127:E127"/>
    <mergeCell ref="C128:E128"/>
    <mergeCell ref="C129:E129"/>
    <mergeCell ref="C130:E130"/>
    <mergeCell ref="C131:E131"/>
    <mergeCell ref="C132:E132"/>
    <mergeCell ref="C133:E133"/>
    <mergeCell ref="C134:E134"/>
    <mergeCell ref="C135:E135"/>
    <mergeCell ref="C136:E136"/>
    <mergeCell ref="C137:E137"/>
    <mergeCell ref="C145:E145"/>
    <mergeCell ref="C146:E146"/>
    <mergeCell ref="C147:E147"/>
    <mergeCell ref="C148:E148"/>
    <mergeCell ref="C149:E149"/>
    <mergeCell ref="C150:E150"/>
    <mergeCell ref="C151:E151"/>
    <mergeCell ref="C138:E138"/>
    <mergeCell ref="C139:E139"/>
    <mergeCell ref="C140:E140"/>
    <mergeCell ref="C141:E141"/>
    <mergeCell ref="C142:E142"/>
    <mergeCell ref="C143:E143"/>
    <mergeCell ref="C144:E144"/>
  </mergeCells>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35.57"/>
    <col customWidth="1" min="4" max="4" width="34.57"/>
    <col customWidth="1" min="5" max="6" width="23.43"/>
    <col customWidth="1" min="7" max="7" width="44.0"/>
    <col customWidth="1" min="8" max="8" width="20.0"/>
    <col customWidth="1" min="9" max="9" width="19.86"/>
    <col customWidth="1" min="10" max="10" width="27.57"/>
    <col customWidth="1" min="11" max="11" width="32.14"/>
    <col customWidth="1" min="12" max="12" width="27.86"/>
    <col customWidth="1" min="13" max="13" width="17.14"/>
    <col customWidth="1" min="14" max="14" width="19.86"/>
    <col customWidth="1" min="15" max="15" width="21.57"/>
    <col customWidth="1" min="16" max="16" width="21.14"/>
    <col customWidth="1" min="17"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235</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45.0" customHeight="1">
      <c r="A6" s="74"/>
      <c r="B6" s="79" t="s">
        <v>85</v>
      </c>
      <c r="C6" s="80"/>
      <c r="D6" s="198" t="s">
        <v>236</v>
      </c>
      <c r="E6" s="82"/>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v>8000.0</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97" t="s">
        <v>237</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75.0"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97" t="s">
        <v>238</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409.5"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100" t="s">
        <v>93</v>
      </c>
      <c r="L36" s="74"/>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101" t="s">
        <v>94</v>
      </c>
      <c r="L37" s="74"/>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101" t="s">
        <v>95</v>
      </c>
      <c r="L38" s="74"/>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101" t="s">
        <v>96</v>
      </c>
      <c r="L39" s="74"/>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74"/>
      <c r="D61" s="74"/>
      <c r="E61" s="74"/>
      <c r="F61" s="74"/>
      <c r="G61" s="74"/>
      <c r="H61" s="74"/>
      <c r="I61" s="74"/>
      <c r="J61" s="74"/>
      <c r="K61" s="74"/>
      <c r="L61" s="74"/>
      <c r="M61" s="74"/>
      <c r="N61" s="74"/>
      <c r="O61" s="109"/>
      <c r="P61" s="74"/>
      <c r="Q61" s="74"/>
      <c r="R61" s="74"/>
      <c r="S61" s="74"/>
      <c r="T61" s="74"/>
      <c r="U61" s="74"/>
      <c r="V61" s="74"/>
      <c r="W61" s="74"/>
      <c r="X61" s="74"/>
      <c r="Y61" s="74"/>
      <c r="Z61" s="74"/>
    </row>
    <row r="62" ht="14.25" customHeight="1">
      <c r="A62" s="74"/>
      <c r="B62" s="74"/>
      <c r="C62" s="74"/>
      <c r="D62" s="74"/>
      <c r="E62" s="74"/>
      <c r="F62" s="74"/>
      <c r="G62" s="74"/>
      <c r="H62" s="74"/>
      <c r="I62" s="74"/>
      <c r="J62" s="74"/>
      <c r="K62" s="74"/>
      <c r="L62" s="74"/>
      <c r="M62" s="74"/>
      <c r="N62" s="74"/>
      <c r="O62" s="105"/>
      <c r="P62" s="74"/>
      <c r="Q62" s="74"/>
      <c r="R62" s="74"/>
      <c r="S62" s="74"/>
      <c r="T62" s="74"/>
      <c r="U62" s="74"/>
      <c r="V62" s="74"/>
      <c r="W62" s="74"/>
      <c r="X62" s="74"/>
      <c r="Y62" s="74"/>
      <c r="Z62" s="74"/>
    </row>
    <row r="63" ht="14.25" customHeight="1">
      <c r="A63" s="74"/>
      <c r="B63" s="74"/>
      <c r="C63" s="74"/>
      <c r="D63" s="74"/>
      <c r="E63" s="74"/>
      <c r="F63" s="74"/>
      <c r="G63" s="74"/>
      <c r="H63" s="74"/>
      <c r="I63" s="74"/>
      <c r="J63" s="74"/>
      <c r="K63" s="74"/>
      <c r="L63" s="74"/>
      <c r="M63" s="74"/>
      <c r="N63" s="74"/>
      <c r="O63" s="105"/>
      <c r="P63" s="74"/>
      <c r="Q63" s="74"/>
      <c r="R63" s="74"/>
      <c r="S63" s="74"/>
      <c r="T63" s="74"/>
      <c r="U63" s="74"/>
      <c r="V63" s="74"/>
      <c r="W63" s="74"/>
      <c r="X63" s="74"/>
      <c r="Y63" s="74"/>
      <c r="Z63" s="74"/>
    </row>
    <row r="64" ht="14.25" customHeight="1">
      <c r="A64" s="74"/>
      <c r="B64" s="74"/>
      <c r="C64" s="74"/>
      <c r="D64" s="74"/>
      <c r="E64" s="74"/>
      <c r="F64" s="74"/>
      <c r="G64" s="74"/>
      <c r="H64" s="74"/>
      <c r="I64" s="74"/>
      <c r="J64" s="74"/>
      <c r="K64" s="74"/>
      <c r="L64" s="74"/>
      <c r="M64" s="74"/>
      <c r="N64" s="74"/>
      <c r="O64" s="105"/>
      <c r="P64" s="74"/>
      <c r="Q64" s="74"/>
      <c r="R64" s="74"/>
      <c r="S64" s="74"/>
      <c r="T64" s="74"/>
      <c r="U64" s="74"/>
      <c r="V64" s="74"/>
      <c r="W64" s="74"/>
      <c r="X64" s="74"/>
      <c r="Y64" s="74"/>
      <c r="Z64" s="74"/>
    </row>
    <row r="65" ht="14.25" customHeight="1">
      <c r="A65" s="74"/>
      <c r="B65" s="74"/>
      <c r="C65" s="74"/>
      <c r="D65" s="74"/>
      <c r="E65" s="74"/>
      <c r="F65" s="74"/>
      <c r="G65" s="74"/>
      <c r="H65" s="74"/>
      <c r="I65" s="74"/>
      <c r="J65" s="74"/>
      <c r="K65" s="74"/>
      <c r="L65" s="74"/>
      <c r="M65" s="74"/>
      <c r="N65" s="74"/>
      <c r="O65" s="105"/>
      <c r="P65" s="74"/>
      <c r="Q65" s="74"/>
      <c r="R65" s="74"/>
      <c r="S65" s="74"/>
      <c r="T65" s="74"/>
      <c r="U65" s="74"/>
      <c r="V65" s="74"/>
      <c r="W65" s="74"/>
      <c r="X65" s="74"/>
      <c r="Y65" s="74"/>
      <c r="Z65" s="74"/>
    </row>
    <row r="66" ht="14.25" customHeight="1">
      <c r="A66" s="74"/>
      <c r="B66" s="74"/>
      <c r="C66" s="74"/>
      <c r="D66" s="74"/>
      <c r="E66" s="74"/>
      <c r="F66" s="74"/>
      <c r="G66" s="74"/>
      <c r="H66" s="74"/>
      <c r="I66" s="74"/>
      <c r="J66" s="74"/>
      <c r="K66" s="74"/>
      <c r="L66" s="74"/>
      <c r="M66" s="74"/>
      <c r="N66" s="74"/>
      <c r="O66" s="105"/>
      <c r="P66" s="74"/>
      <c r="Q66" s="74"/>
      <c r="R66" s="74"/>
      <c r="S66" s="74"/>
      <c r="T66" s="74"/>
      <c r="U66" s="74"/>
      <c r="V66" s="74"/>
      <c r="W66" s="74"/>
      <c r="X66" s="74"/>
      <c r="Y66" s="74"/>
      <c r="Z66" s="74"/>
    </row>
    <row r="67" ht="14.25" customHeight="1">
      <c r="A67" s="74"/>
      <c r="B67" s="74"/>
      <c r="C67" s="74"/>
      <c r="D67" s="74"/>
      <c r="E67" s="74"/>
      <c r="F67" s="74"/>
      <c r="G67" s="74"/>
      <c r="H67" s="74"/>
      <c r="I67" s="74"/>
      <c r="J67" s="74"/>
      <c r="K67" s="74"/>
      <c r="L67" s="74"/>
      <c r="M67" s="74"/>
      <c r="N67" s="74"/>
      <c r="O67" s="105"/>
      <c r="P67" s="74"/>
      <c r="Q67" s="74"/>
      <c r="R67" s="74"/>
      <c r="S67" s="74"/>
      <c r="T67" s="74"/>
      <c r="U67" s="74"/>
      <c r="V67" s="74"/>
      <c r="W67" s="74"/>
      <c r="X67" s="74"/>
      <c r="Y67" s="74"/>
      <c r="Z67" s="74"/>
    </row>
    <row r="68" ht="14.25" customHeight="1">
      <c r="A68" s="74"/>
      <c r="B68" s="74"/>
      <c r="C68" s="74"/>
      <c r="D68" s="74"/>
      <c r="E68" s="74"/>
      <c r="F68" s="74"/>
      <c r="G68" s="74"/>
      <c r="H68" s="74"/>
      <c r="I68" s="74"/>
      <c r="J68" s="74"/>
      <c r="K68" s="74"/>
      <c r="L68" s="74"/>
      <c r="M68" s="74"/>
      <c r="N68" s="74"/>
      <c r="O68" s="105"/>
      <c r="P68" s="74"/>
      <c r="Q68" s="74"/>
      <c r="R68" s="74"/>
      <c r="S68" s="74"/>
      <c r="T68" s="74"/>
      <c r="U68" s="74"/>
      <c r="V68" s="74"/>
      <c r="W68" s="74"/>
      <c r="X68" s="74"/>
      <c r="Y68" s="74"/>
      <c r="Z68" s="74"/>
    </row>
    <row r="69" ht="14.25" customHeight="1">
      <c r="A69" s="74"/>
      <c r="B69" s="74"/>
      <c r="C69" s="74"/>
      <c r="D69" s="74"/>
      <c r="E69" s="74"/>
      <c r="F69" s="74"/>
      <c r="G69" s="74"/>
      <c r="H69" s="74"/>
      <c r="I69" s="74"/>
      <c r="J69" s="74"/>
      <c r="K69" s="74"/>
      <c r="L69" s="74"/>
      <c r="M69" s="104"/>
      <c r="N69" s="109"/>
      <c r="O69" s="105"/>
      <c r="P69" s="74"/>
      <c r="Q69" s="74"/>
      <c r="R69" s="74"/>
      <c r="S69" s="74"/>
      <c r="T69" s="74"/>
      <c r="U69" s="74"/>
      <c r="V69" s="74"/>
      <c r="W69" s="74"/>
      <c r="X69" s="74"/>
      <c r="Y69" s="74"/>
      <c r="Z69" s="74"/>
    </row>
    <row r="70" ht="14.25" customHeight="1">
      <c r="A70" s="74"/>
      <c r="B70" s="74"/>
      <c r="C70" s="74"/>
      <c r="D70" s="74"/>
      <c r="E70" s="74"/>
      <c r="F70" s="74"/>
      <c r="G70" s="74"/>
      <c r="H70" s="74"/>
      <c r="I70" s="74"/>
      <c r="J70" s="74"/>
      <c r="K70" s="74"/>
      <c r="L70" s="74"/>
      <c r="M70" s="74"/>
      <c r="N70" s="104"/>
      <c r="O70" s="105"/>
      <c r="P70" s="74"/>
      <c r="Q70" s="74"/>
      <c r="R70" s="74"/>
      <c r="S70" s="74"/>
      <c r="T70" s="74"/>
      <c r="U70" s="74"/>
      <c r="V70" s="74"/>
      <c r="W70" s="74"/>
      <c r="X70" s="74"/>
      <c r="Y70" s="74"/>
      <c r="Z70" s="74"/>
    </row>
    <row r="71" ht="14.2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4.25" customHeight="1">
      <c r="A72" s="74"/>
      <c r="B72" s="74"/>
      <c r="C72" s="74"/>
      <c r="D72" s="74"/>
      <c r="E72" s="74"/>
      <c r="F72" s="74" t="s">
        <v>239</v>
      </c>
      <c r="G72" s="74"/>
      <c r="H72" s="74"/>
      <c r="I72" s="74"/>
      <c r="J72" s="74"/>
      <c r="K72" s="74"/>
      <c r="L72" s="74"/>
      <c r="M72" s="74"/>
      <c r="N72" s="74"/>
      <c r="O72" s="74"/>
      <c r="P72" s="74"/>
      <c r="Q72" s="74"/>
      <c r="R72" s="74"/>
      <c r="S72" s="74"/>
      <c r="T72" s="74"/>
      <c r="U72" s="74"/>
      <c r="V72" s="74"/>
      <c r="W72" s="74"/>
      <c r="X72" s="74"/>
      <c r="Y72" s="74"/>
      <c r="Z72" s="74"/>
    </row>
    <row r="73" ht="14.2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ht="14.2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ht="14.2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ht="15.0" customHeight="1">
      <c r="A76" s="74"/>
      <c r="B76" s="110" t="s">
        <v>98</v>
      </c>
      <c r="C76" s="74"/>
      <c r="D76" s="74"/>
      <c r="E76" s="74"/>
      <c r="F76" s="74"/>
      <c r="G76" s="74"/>
      <c r="H76" s="74"/>
      <c r="I76" s="74"/>
      <c r="J76" s="74"/>
      <c r="K76" s="74"/>
      <c r="L76" s="74"/>
      <c r="M76" s="74"/>
      <c r="N76" s="74"/>
      <c r="O76" s="74"/>
      <c r="P76" s="74"/>
      <c r="Q76" s="74"/>
      <c r="R76" s="74"/>
      <c r="S76" s="74"/>
      <c r="T76" s="74"/>
      <c r="U76" s="74"/>
      <c r="V76" s="74"/>
      <c r="W76" s="74"/>
      <c r="X76" s="74"/>
      <c r="Y76" s="74"/>
      <c r="Z76" s="74"/>
    </row>
    <row r="77" ht="15.0"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ht="15.0" customHeight="1">
      <c r="A78" s="74"/>
      <c r="B78" s="74"/>
      <c r="C78" s="111"/>
      <c r="D78" s="111"/>
      <c r="E78" s="112"/>
      <c r="F78" s="91"/>
      <c r="G78" s="113"/>
      <c r="H78" s="74"/>
      <c r="I78" s="74"/>
      <c r="J78" s="74"/>
      <c r="K78" s="74"/>
      <c r="L78" s="74"/>
      <c r="M78" s="74"/>
      <c r="N78" s="74"/>
      <c r="O78" s="74"/>
      <c r="P78" s="74"/>
      <c r="Q78" s="74"/>
      <c r="R78" s="74"/>
      <c r="S78" s="74"/>
      <c r="T78" s="74"/>
      <c r="U78" s="74"/>
      <c r="V78" s="74"/>
      <c r="W78" s="74"/>
      <c r="X78" s="74"/>
      <c r="Y78" s="74"/>
      <c r="Z78" s="74"/>
    </row>
    <row r="79" ht="14.25" customHeight="1">
      <c r="A79" s="74"/>
      <c r="B79" s="202" t="s">
        <v>99</v>
      </c>
      <c r="C79" s="203"/>
      <c r="D79" s="80"/>
      <c r="E79" s="74"/>
      <c r="F79" s="74"/>
      <c r="G79" s="74"/>
      <c r="H79" s="118" t="s">
        <v>100</v>
      </c>
      <c r="I79" s="119"/>
      <c r="J79" s="120"/>
      <c r="K79" s="74"/>
      <c r="L79" s="89"/>
      <c r="M79" s="74"/>
      <c r="N79" s="74"/>
      <c r="O79" s="118" t="s">
        <v>101</v>
      </c>
      <c r="P79" s="118"/>
      <c r="Q79" s="74"/>
      <c r="R79" s="74"/>
      <c r="S79" s="74"/>
      <c r="T79" s="74"/>
      <c r="U79" s="74"/>
      <c r="V79" s="74"/>
      <c r="W79" s="74"/>
      <c r="X79" s="74"/>
      <c r="Y79" s="74"/>
      <c r="Z79" s="74"/>
    </row>
    <row r="80" ht="14.25" customHeight="1">
      <c r="A80" s="74"/>
      <c r="B80" s="121" t="s">
        <v>102</v>
      </c>
      <c r="C80" s="121" t="s">
        <v>103</v>
      </c>
      <c r="D80" s="121" t="s">
        <v>104</v>
      </c>
      <c r="E80" s="204" t="s">
        <v>240</v>
      </c>
      <c r="F80" s="204" t="s">
        <v>241</v>
      </c>
      <c r="G80" s="74"/>
      <c r="H80" s="121" t="s">
        <v>102</v>
      </c>
      <c r="I80" s="121" t="s">
        <v>103</v>
      </c>
      <c r="J80" s="121" t="s">
        <v>104</v>
      </c>
      <c r="K80" s="204" t="s">
        <v>240</v>
      </c>
      <c r="L80" s="204" t="s">
        <v>241</v>
      </c>
      <c r="M80" s="74"/>
      <c r="N80" s="74"/>
      <c r="O80" s="118" t="s">
        <v>105</v>
      </c>
      <c r="P80" s="122"/>
      <c r="Q80" s="74"/>
      <c r="R80" s="74"/>
      <c r="S80" s="74"/>
      <c r="T80" s="74"/>
      <c r="U80" s="74"/>
      <c r="V80" s="74"/>
      <c r="W80" s="74"/>
      <c r="X80" s="74"/>
      <c r="Y80" s="74"/>
      <c r="Z80" s="74"/>
    </row>
    <row r="81" ht="14.25" customHeight="1">
      <c r="A81" s="74"/>
      <c r="B81" s="205" t="s">
        <v>242</v>
      </c>
      <c r="C81" s="206" t="s">
        <v>243</v>
      </c>
      <c r="D81" s="207">
        <v>3000.0</v>
      </c>
      <c r="E81" s="208">
        <v>40.0</v>
      </c>
      <c r="F81" s="208">
        <v>1.02</v>
      </c>
      <c r="G81" s="74"/>
      <c r="H81" s="205" t="s">
        <v>244</v>
      </c>
      <c r="I81" s="209" t="s">
        <v>245</v>
      </c>
      <c r="J81" s="207">
        <v>876.1176</v>
      </c>
      <c r="K81" s="208">
        <v>-27.0</v>
      </c>
      <c r="L81" s="208">
        <v>20.0</v>
      </c>
      <c r="M81" s="74"/>
      <c r="N81" s="74"/>
      <c r="O81" s="110" t="s">
        <v>110</v>
      </c>
      <c r="P81" s="125">
        <f>SUM(D81:D92)</f>
        <v>28767.13909</v>
      </c>
      <c r="Q81" s="74"/>
      <c r="R81" s="74"/>
      <c r="S81" s="74"/>
      <c r="T81" s="74"/>
      <c r="U81" s="74"/>
      <c r="V81" s="74"/>
      <c r="W81" s="74"/>
      <c r="X81" s="74"/>
      <c r="Y81" s="74"/>
      <c r="Z81" s="74"/>
    </row>
    <row r="82" ht="14.25" customHeight="1">
      <c r="A82" s="74"/>
      <c r="B82" s="205" t="s">
        <v>246</v>
      </c>
      <c r="C82" s="206" t="s">
        <v>247</v>
      </c>
      <c r="D82" s="207">
        <v>1500.0</v>
      </c>
      <c r="E82" s="208">
        <v>156.0</v>
      </c>
      <c r="F82" s="208">
        <v>5.5</v>
      </c>
      <c r="G82" s="74"/>
      <c r="H82" s="205" t="s">
        <v>248</v>
      </c>
      <c r="I82" s="209" t="s">
        <v>249</v>
      </c>
      <c r="J82" s="207">
        <v>493.8954</v>
      </c>
      <c r="K82" s="208">
        <v>38.0</v>
      </c>
      <c r="L82" s="208">
        <v>16.0</v>
      </c>
      <c r="M82" s="74"/>
      <c r="N82" s="74"/>
      <c r="O82" s="110" t="s">
        <v>114</v>
      </c>
      <c r="P82" s="125">
        <f>SUM(J81:J88)</f>
        <v>2783.33479</v>
      </c>
      <c r="Q82" s="74"/>
      <c r="R82" s="74"/>
      <c r="S82" s="74"/>
      <c r="T82" s="74"/>
      <c r="U82" s="74"/>
      <c r="V82" s="74"/>
      <c r="W82" s="74"/>
      <c r="X82" s="74"/>
      <c r="Y82" s="74"/>
      <c r="Z82" s="74"/>
    </row>
    <row r="83" ht="14.25" customHeight="1">
      <c r="A83" s="74"/>
      <c r="B83" s="205" t="s">
        <v>250</v>
      </c>
      <c r="C83" s="206" t="s">
        <v>251</v>
      </c>
      <c r="D83" s="207">
        <v>23311.12</v>
      </c>
      <c r="E83" s="208">
        <v>15.0</v>
      </c>
      <c r="F83" s="208">
        <v>1.02</v>
      </c>
      <c r="G83" s="74"/>
      <c r="H83" s="205" t="s">
        <v>252</v>
      </c>
      <c r="I83" s="209" t="s">
        <v>253</v>
      </c>
      <c r="J83" s="207">
        <v>17.06651</v>
      </c>
      <c r="K83" s="208">
        <v>4.0</v>
      </c>
      <c r="L83" s="208">
        <v>1.02</v>
      </c>
      <c r="M83" s="74"/>
      <c r="N83" s="74"/>
      <c r="O83" s="110" t="s">
        <v>117</v>
      </c>
      <c r="P83" s="125">
        <f>SUM(J94:J101)</f>
        <v>25983.74845</v>
      </c>
      <c r="Q83" s="74"/>
      <c r="R83" s="74"/>
      <c r="S83" s="74"/>
      <c r="T83" s="74"/>
      <c r="U83" s="74"/>
      <c r="V83" s="74"/>
      <c r="W83" s="74"/>
      <c r="X83" s="74"/>
      <c r="Y83" s="74"/>
      <c r="Z83" s="74"/>
    </row>
    <row r="84" ht="14.25" customHeight="1">
      <c r="A84" s="74"/>
      <c r="B84" s="205" t="s">
        <v>254</v>
      </c>
      <c r="C84" s="206" t="s">
        <v>255</v>
      </c>
      <c r="D84" s="207">
        <v>17.53785</v>
      </c>
      <c r="E84" s="208">
        <v>40.0</v>
      </c>
      <c r="F84" s="208">
        <v>1.02</v>
      </c>
      <c r="G84" s="74"/>
      <c r="H84" s="205" t="s">
        <v>256</v>
      </c>
      <c r="I84" s="209" t="s">
        <v>257</v>
      </c>
      <c r="J84" s="207">
        <v>92.55048</v>
      </c>
      <c r="K84" s="208">
        <v>30.0</v>
      </c>
      <c r="L84" s="208">
        <v>3.0</v>
      </c>
      <c r="M84" s="74"/>
      <c r="N84" s="74"/>
      <c r="O84" s="74"/>
      <c r="P84" s="74"/>
      <c r="Q84" s="74"/>
      <c r="R84" s="74"/>
      <c r="S84" s="74"/>
      <c r="T84" s="74"/>
      <c r="U84" s="74"/>
      <c r="V84" s="74"/>
      <c r="W84" s="74"/>
      <c r="X84" s="74"/>
      <c r="Y84" s="74"/>
      <c r="Z84" s="74"/>
    </row>
    <row r="85" ht="14.25" customHeight="1">
      <c r="A85" s="105"/>
      <c r="B85" s="205" t="s">
        <v>258</v>
      </c>
      <c r="C85" s="206" t="s">
        <v>247</v>
      </c>
      <c r="D85" s="207">
        <v>146.5753</v>
      </c>
      <c r="E85" s="208">
        <v>15.0</v>
      </c>
      <c r="F85" s="208">
        <v>1.02</v>
      </c>
      <c r="G85" s="74"/>
      <c r="H85" s="205" t="s">
        <v>259</v>
      </c>
      <c r="I85" s="209" t="s">
        <v>260</v>
      </c>
      <c r="J85" s="207">
        <v>116.3208</v>
      </c>
      <c r="K85" s="208">
        <v>42.0</v>
      </c>
      <c r="L85" s="208">
        <v>8.0</v>
      </c>
      <c r="M85" s="74"/>
      <c r="N85" s="74"/>
      <c r="O85" s="110" t="s">
        <v>101</v>
      </c>
      <c r="P85" s="125">
        <f>P81-P82-P83</f>
        <v>0.0558422</v>
      </c>
      <c r="Q85" s="74"/>
      <c r="R85" s="74"/>
      <c r="S85" s="74"/>
      <c r="T85" s="74"/>
      <c r="U85" s="74"/>
      <c r="V85" s="74"/>
      <c r="W85" s="74"/>
      <c r="X85" s="74"/>
      <c r="Y85" s="74"/>
      <c r="Z85" s="74"/>
    </row>
    <row r="86" ht="125.25" customHeight="1">
      <c r="A86" s="105"/>
      <c r="B86" s="205" t="s">
        <v>261</v>
      </c>
      <c r="C86" s="206" t="s">
        <v>262</v>
      </c>
      <c r="D86" s="210">
        <v>0.0313159</v>
      </c>
      <c r="E86" s="208">
        <v>15.0</v>
      </c>
      <c r="F86" s="208">
        <v>1.02</v>
      </c>
      <c r="G86" s="74"/>
      <c r="H86" s="205" t="s">
        <v>263</v>
      </c>
      <c r="I86" s="209" t="s">
        <v>264</v>
      </c>
      <c r="J86" s="207">
        <v>220.5914</v>
      </c>
      <c r="K86" s="208">
        <v>41.0</v>
      </c>
      <c r="L86" s="208">
        <v>2.0</v>
      </c>
      <c r="M86" s="74"/>
      <c r="N86" s="74"/>
      <c r="O86" s="135" t="s">
        <v>121</v>
      </c>
      <c r="P86" s="124">
        <f>(P85/P81)*100</f>
        <v>0.0001941180172</v>
      </c>
      <c r="Q86" s="74"/>
      <c r="R86" s="74"/>
      <c r="S86" s="74"/>
      <c r="T86" s="74"/>
      <c r="U86" s="74"/>
      <c r="V86" s="74"/>
      <c r="W86" s="74"/>
      <c r="X86" s="74"/>
      <c r="Y86" s="74"/>
      <c r="Z86" s="74"/>
    </row>
    <row r="87" ht="14.25" customHeight="1">
      <c r="A87" s="74"/>
      <c r="B87" s="205" t="s">
        <v>265</v>
      </c>
      <c r="C87" s="206" t="s">
        <v>266</v>
      </c>
      <c r="D87" s="210">
        <v>0.081866</v>
      </c>
      <c r="E87" s="208">
        <v>15.0</v>
      </c>
      <c r="F87" s="208">
        <v>1.02</v>
      </c>
      <c r="G87" s="74"/>
      <c r="H87" s="205" t="s">
        <v>267</v>
      </c>
      <c r="I87" s="209" t="s">
        <v>268</v>
      </c>
      <c r="J87" s="207">
        <v>672.5194</v>
      </c>
      <c r="K87" s="208">
        <v>95.0</v>
      </c>
      <c r="L87" s="208">
        <v>1.02</v>
      </c>
      <c r="M87" s="74"/>
      <c r="N87" s="74"/>
      <c r="O87" s="74"/>
      <c r="P87" s="74"/>
      <c r="Q87" s="74"/>
      <c r="R87" s="74"/>
      <c r="S87" s="74"/>
      <c r="T87" s="74"/>
      <c r="U87" s="74"/>
      <c r="V87" s="74"/>
      <c r="W87" s="74"/>
      <c r="X87" s="74"/>
      <c r="Y87" s="74"/>
      <c r="Z87" s="74"/>
    </row>
    <row r="88" ht="98.25" customHeight="1">
      <c r="A88" s="74"/>
      <c r="B88" s="205" t="s">
        <v>269</v>
      </c>
      <c r="C88" s="206" t="s">
        <v>247</v>
      </c>
      <c r="D88" s="211">
        <v>1.498871</v>
      </c>
      <c r="E88" s="208">
        <v>15.0</v>
      </c>
      <c r="F88" s="208">
        <v>1.02</v>
      </c>
      <c r="G88" s="74"/>
      <c r="H88" s="205" t="s">
        <v>270</v>
      </c>
      <c r="I88" s="209" t="s">
        <v>271</v>
      </c>
      <c r="J88" s="207">
        <v>294.2732</v>
      </c>
      <c r="K88" s="208">
        <v>77.0</v>
      </c>
      <c r="L88" s="208">
        <v>2.0</v>
      </c>
      <c r="M88" s="74"/>
      <c r="N88" s="74"/>
      <c r="O88" s="74"/>
      <c r="P88" s="74"/>
      <c r="Q88" s="74"/>
      <c r="R88" s="74"/>
      <c r="S88" s="74"/>
      <c r="T88" s="74"/>
      <c r="U88" s="74"/>
      <c r="V88" s="74"/>
      <c r="W88" s="74"/>
      <c r="X88" s="74"/>
      <c r="Y88" s="74"/>
      <c r="Z88" s="74"/>
    </row>
    <row r="89" ht="81.75" customHeight="1">
      <c r="A89" s="74"/>
      <c r="B89" s="205" t="s">
        <v>272</v>
      </c>
      <c r="C89" s="206" t="s">
        <v>273</v>
      </c>
      <c r="D89" s="210">
        <v>0.0262123</v>
      </c>
      <c r="E89" s="208">
        <v>15.0</v>
      </c>
      <c r="F89" s="208">
        <v>1.02</v>
      </c>
      <c r="G89" s="74"/>
      <c r="H89" s="74"/>
      <c r="I89" s="74"/>
      <c r="J89" s="74"/>
      <c r="K89" s="74"/>
      <c r="L89" s="74"/>
      <c r="M89" s="74"/>
      <c r="N89" s="74"/>
      <c r="O89" s="74"/>
      <c r="P89" s="74"/>
      <c r="Q89" s="74"/>
      <c r="R89" s="74"/>
      <c r="S89" s="74"/>
      <c r="T89" s="74"/>
      <c r="U89" s="74"/>
      <c r="V89" s="74"/>
      <c r="W89" s="74"/>
      <c r="X89" s="74"/>
      <c r="Y89" s="74"/>
      <c r="Z89" s="74"/>
    </row>
    <row r="90" ht="29.25" customHeight="1">
      <c r="A90" s="74"/>
      <c r="B90" s="205" t="s">
        <v>274</v>
      </c>
      <c r="C90" s="206" t="s">
        <v>275</v>
      </c>
      <c r="D90" s="210">
        <v>1.143171</v>
      </c>
      <c r="E90" s="208">
        <v>40.0</v>
      </c>
      <c r="F90" s="208">
        <v>16.0</v>
      </c>
      <c r="G90" s="74"/>
      <c r="H90" s="74"/>
      <c r="I90" s="74"/>
      <c r="J90" s="74"/>
      <c r="K90" s="74"/>
      <c r="L90" s="74"/>
      <c r="M90" s="74"/>
      <c r="N90" s="74"/>
      <c r="O90" s="74"/>
      <c r="P90" s="74"/>
      <c r="Q90" s="74"/>
      <c r="R90" s="74"/>
      <c r="S90" s="74"/>
      <c r="T90" s="74"/>
      <c r="U90" s="74"/>
      <c r="V90" s="74"/>
      <c r="W90" s="74"/>
      <c r="X90" s="74"/>
      <c r="Y90" s="74"/>
      <c r="Z90" s="74"/>
    </row>
    <row r="91" ht="14.25" customHeight="1">
      <c r="A91" s="74"/>
      <c r="B91" s="205" t="s">
        <v>276</v>
      </c>
      <c r="C91" s="206" t="s">
        <v>277</v>
      </c>
      <c r="D91" s="207">
        <v>372.2084</v>
      </c>
      <c r="E91" s="208">
        <v>15.0</v>
      </c>
      <c r="F91" s="208">
        <v>1.02</v>
      </c>
      <c r="G91" s="74"/>
      <c r="H91" s="74"/>
      <c r="I91" s="74"/>
      <c r="J91" s="74"/>
      <c r="K91" s="89"/>
      <c r="L91" s="74"/>
      <c r="M91" s="74"/>
      <c r="N91" s="74"/>
      <c r="O91" s="74"/>
      <c r="P91" s="74"/>
      <c r="Q91" s="74"/>
      <c r="R91" s="74"/>
      <c r="S91" s="74"/>
      <c r="T91" s="74"/>
      <c r="U91" s="74"/>
      <c r="V91" s="74"/>
      <c r="W91" s="74"/>
      <c r="X91" s="74"/>
      <c r="Y91" s="74"/>
      <c r="Z91" s="74"/>
    </row>
    <row r="92" ht="73.5" customHeight="1">
      <c r="A92" s="74"/>
      <c r="B92" s="205" t="s">
        <v>278</v>
      </c>
      <c r="C92" s="206" t="s">
        <v>279</v>
      </c>
      <c r="D92" s="207">
        <v>416.9161</v>
      </c>
      <c r="E92" s="208">
        <v>15.0</v>
      </c>
      <c r="F92" s="208">
        <v>1.02</v>
      </c>
      <c r="G92" s="74"/>
      <c r="H92" s="118" t="s">
        <v>280</v>
      </c>
      <c r="I92" s="212"/>
      <c r="J92" s="213"/>
      <c r="K92" s="89"/>
      <c r="L92" s="136"/>
      <c r="M92" s="74"/>
      <c r="N92" s="74"/>
      <c r="O92" s="74"/>
      <c r="P92" s="74"/>
      <c r="Q92" s="74"/>
      <c r="R92" s="74"/>
      <c r="S92" s="74"/>
      <c r="T92" s="74"/>
      <c r="U92" s="74"/>
      <c r="V92" s="74"/>
      <c r="W92" s="74"/>
      <c r="X92" s="74"/>
      <c r="Y92" s="74"/>
      <c r="Z92" s="74"/>
    </row>
    <row r="93" ht="14.25" customHeight="1">
      <c r="A93" s="74"/>
      <c r="B93" s="74"/>
      <c r="C93" s="74"/>
      <c r="D93" s="74"/>
      <c r="E93" s="74"/>
      <c r="F93" s="74"/>
      <c r="G93" s="74"/>
      <c r="H93" s="214" t="s">
        <v>102</v>
      </c>
      <c r="I93" s="122" t="s">
        <v>281</v>
      </c>
      <c r="J93" s="121" t="s">
        <v>104</v>
      </c>
      <c r="K93" s="204" t="s">
        <v>240</v>
      </c>
      <c r="L93" s="204" t="s">
        <v>241</v>
      </c>
      <c r="M93" s="74"/>
      <c r="N93" s="74"/>
      <c r="O93" s="74"/>
      <c r="P93" s="74"/>
      <c r="Q93" s="74"/>
      <c r="R93" s="74"/>
      <c r="S93" s="74"/>
      <c r="T93" s="74"/>
      <c r="U93" s="74"/>
      <c r="V93" s="74"/>
      <c r="W93" s="74"/>
      <c r="X93" s="74"/>
      <c r="Y93" s="74"/>
      <c r="Z93" s="74"/>
    </row>
    <row r="94" ht="57.0" customHeight="1">
      <c r="A94" s="74"/>
      <c r="B94" s="74"/>
      <c r="C94" s="74"/>
      <c r="D94" s="74"/>
      <c r="E94" s="74"/>
      <c r="F94" s="74"/>
      <c r="G94" s="74"/>
      <c r="H94" s="205" t="s">
        <v>282</v>
      </c>
      <c r="I94" s="209" t="s">
        <v>283</v>
      </c>
      <c r="J94" s="207">
        <v>23996.62</v>
      </c>
      <c r="K94" s="208">
        <v>200.0</v>
      </c>
      <c r="L94" s="208">
        <v>1.02</v>
      </c>
      <c r="M94" s="74"/>
      <c r="N94" s="74"/>
      <c r="O94" s="74"/>
      <c r="P94" s="74"/>
      <c r="Q94" s="74"/>
      <c r="R94" s="74"/>
      <c r="S94" s="74"/>
      <c r="T94" s="74"/>
      <c r="U94" s="74"/>
      <c r="V94" s="74"/>
      <c r="W94" s="74"/>
      <c r="X94" s="74"/>
      <c r="Y94" s="74"/>
      <c r="Z94" s="74"/>
    </row>
    <row r="95" ht="108.75" customHeight="1">
      <c r="A95" s="74"/>
      <c r="B95" s="74"/>
      <c r="C95" s="74"/>
      <c r="D95" s="74"/>
      <c r="E95" s="74"/>
      <c r="F95" s="74"/>
      <c r="G95" s="74"/>
      <c r="H95" s="215" t="s">
        <v>284</v>
      </c>
      <c r="I95" s="216" t="s">
        <v>285</v>
      </c>
      <c r="J95" s="217">
        <v>113.641</v>
      </c>
      <c r="K95" s="218">
        <v>40.0</v>
      </c>
      <c r="L95" s="218">
        <v>1.02</v>
      </c>
      <c r="M95" s="74"/>
      <c r="N95" s="74"/>
      <c r="O95" s="74"/>
      <c r="P95" s="74"/>
      <c r="Q95" s="74"/>
      <c r="R95" s="74"/>
      <c r="S95" s="74"/>
      <c r="T95" s="74"/>
      <c r="U95" s="74"/>
      <c r="V95" s="74"/>
      <c r="W95" s="74"/>
      <c r="X95" s="74"/>
      <c r="Y95" s="74"/>
      <c r="Z95" s="74"/>
    </row>
    <row r="96" ht="64.5" customHeight="1">
      <c r="A96" s="74"/>
      <c r="B96" s="74"/>
      <c r="C96" s="74"/>
      <c r="D96" s="74"/>
      <c r="E96" s="74"/>
      <c r="F96" s="74"/>
      <c r="G96" s="74"/>
      <c r="H96" s="215" t="s">
        <v>286</v>
      </c>
      <c r="I96" s="216" t="s">
        <v>287</v>
      </c>
      <c r="J96" s="217">
        <v>1470.525</v>
      </c>
      <c r="K96" s="218">
        <v>40.0</v>
      </c>
      <c r="L96" s="218">
        <v>2.0</v>
      </c>
      <c r="M96" s="74"/>
      <c r="N96" s="74"/>
      <c r="O96" s="74"/>
      <c r="P96" s="74"/>
      <c r="Q96" s="74"/>
      <c r="R96" s="74"/>
      <c r="S96" s="74"/>
      <c r="T96" s="74"/>
      <c r="U96" s="74"/>
      <c r="V96" s="74"/>
      <c r="W96" s="74"/>
      <c r="X96" s="74"/>
      <c r="Y96" s="74"/>
      <c r="Z96" s="74"/>
    </row>
    <row r="97" ht="40.5" customHeight="1">
      <c r="A97" s="74"/>
      <c r="B97" s="74"/>
      <c r="C97" s="74"/>
      <c r="D97" s="74"/>
      <c r="E97" s="74"/>
      <c r="F97" s="74"/>
      <c r="G97" s="74"/>
      <c r="H97" s="215" t="s">
        <v>288</v>
      </c>
      <c r="I97" s="216" t="s">
        <v>247</v>
      </c>
      <c r="J97" s="217">
        <v>91.84616</v>
      </c>
      <c r="K97" s="218">
        <v>6.0</v>
      </c>
      <c r="L97" s="218">
        <v>2.0</v>
      </c>
      <c r="M97" s="74"/>
      <c r="N97" s="74"/>
      <c r="O97" s="74"/>
      <c r="P97" s="74"/>
      <c r="Q97" s="74"/>
      <c r="R97" s="74"/>
      <c r="S97" s="74"/>
      <c r="T97" s="74"/>
      <c r="U97" s="74"/>
      <c r="V97" s="74"/>
      <c r="W97" s="74"/>
      <c r="X97" s="74"/>
      <c r="Y97" s="74"/>
      <c r="Z97" s="74"/>
    </row>
    <row r="98" ht="57.0" customHeight="1">
      <c r="A98" s="74"/>
      <c r="B98" s="74"/>
      <c r="C98" s="74"/>
      <c r="D98" s="74"/>
      <c r="E98" s="74"/>
      <c r="F98" s="74"/>
      <c r="G98" s="74"/>
      <c r="H98" s="215" t="s">
        <v>289</v>
      </c>
      <c r="I98" s="216" t="s">
        <v>290</v>
      </c>
      <c r="J98" s="217">
        <v>10.58474</v>
      </c>
      <c r="K98" s="218">
        <v>46.0</v>
      </c>
      <c r="L98" s="218">
        <v>16.0</v>
      </c>
      <c r="M98" s="74"/>
      <c r="N98" s="74"/>
      <c r="O98" s="74"/>
      <c r="P98" s="74"/>
      <c r="Q98" s="74"/>
      <c r="R98" s="74"/>
      <c r="S98" s="74"/>
      <c r="T98" s="74"/>
      <c r="U98" s="74"/>
      <c r="V98" s="74"/>
      <c r="W98" s="74"/>
      <c r="X98" s="74"/>
      <c r="Y98" s="74"/>
      <c r="Z98" s="74"/>
    </row>
    <row r="99" ht="63.75" customHeight="1">
      <c r="A99" s="74"/>
      <c r="B99" s="74"/>
      <c r="C99" s="74"/>
      <c r="D99" s="74"/>
      <c r="E99" s="74"/>
      <c r="F99" s="74"/>
      <c r="G99" s="74"/>
      <c r="H99" s="215" t="s">
        <v>291</v>
      </c>
      <c r="I99" s="216" t="s">
        <v>292</v>
      </c>
      <c r="J99" s="217">
        <v>4.957122</v>
      </c>
      <c r="K99" s="218">
        <v>38.0</v>
      </c>
      <c r="L99" s="218">
        <v>3.0</v>
      </c>
      <c r="M99" s="74"/>
      <c r="N99" s="74"/>
      <c r="O99" s="74"/>
      <c r="P99" s="74"/>
      <c r="Q99" s="74"/>
      <c r="R99" s="74"/>
      <c r="S99" s="74"/>
      <c r="T99" s="74"/>
      <c r="U99" s="74"/>
      <c r="V99" s="74"/>
      <c r="W99" s="74"/>
      <c r="X99" s="74"/>
      <c r="Y99" s="74"/>
      <c r="Z99" s="74"/>
    </row>
    <row r="100" ht="25.5" customHeight="1">
      <c r="A100" s="74"/>
      <c r="B100" s="74"/>
      <c r="C100" s="74"/>
      <c r="D100" s="74"/>
      <c r="E100" s="74"/>
      <c r="F100" s="74"/>
      <c r="G100" s="74"/>
      <c r="H100" s="219" t="s">
        <v>293</v>
      </c>
      <c r="I100" s="220" t="s">
        <v>294</v>
      </c>
      <c r="J100" s="221">
        <v>1.125432</v>
      </c>
      <c r="K100" s="222">
        <v>42.0</v>
      </c>
      <c r="L100" s="222">
        <v>2.0</v>
      </c>
      <c r="M100" s="74"/>
      <c r="N100" s="74"/>
      <c r="O100" s="74"/>
      <c r="P100" s="74"/>
      <c r="Q100" s="74"/>
      <c r="R100" s="74"/>
      <c r="S100" s="74"/>
      <c r="T100" s="74"/>
      <c r="U100" s="74"/>
      <c r="V100" s="74"/>
      <c r="W100" s="74"/>
      <c r="X100" s="74"/>
      <c r="Y100" s="74"/>
      <c r="Z100" s="74"/>
    </row>
    <row r="101" ht="14.25" customHeight="1">
      <c r="A101" s="74"/>
      <c r="B101" s="74"/>
      <c r="C101" s="74"/>
      <c r="D101" s="74"/>
      <c r="E101" s="74"/>
      <c r="F101" s="74"/>
      <c r="G101" s="74"/>
      <c r="H101" s="205" t="s">
        <v>295</v>
      </c>
      <c r="I101" s="209" t="s">
        <v>296</v>
      </c>
      <c r="J101" s="207">
        <v>294.449</v>
      </c>
      <c r="K101" s="208">
        <v>176.0</v>
      </c>
      <c r="L101" s="208">
        <v>5.0</v>
      </c>
      <c r="M101" s="74"/>
      <c r="N101" s="74"/>
      <c r="O101" s="74"/>
      <c r="P101" s="74"/>
      <c r="Q101" s="74"/>
      <c r="R101" s="74"/>
      <c r="S101" s="74"/>
      <c r="T101" s="74"/>
      <c r="U101" s="74"/>
      <c r="V101" s="74"/>
      <c r="W101" s="74"/>
      <c r="X101" s="74"/>
      <c r="Y101" s="74"/>
      <c r="Z101" s="74"/>
    </row>
    <row r="102" ht="14.25" customHeight="1">
      <c r="A102" s="74"/>
      <c r="B102" s="74"/>
      <c r="C102" s="74"/>
      <c r="D102" s="74"/>
      <c r="E102" s="137"/>
      <c r="F102" s="74"/>
      <c r="G102" s="137"/>
      <c r="H102" s="137"/>
      <c r="I102" s="74"/>
      <c r="J102" s="74"/>
      <c r="K102" s="74"/>
      <c r="L102" s="74"/>
      <c r="M102" s="74"/>
      <c r="N102" s="74"/>
      <c r="O102" s="74"/>
      <c r="P102" s="74"/>
      <c r="Q102" s="74"/>
      <c r="R102" s="74"/>
      <c r="S102" s="74"/>
      <c r="T102" s="74"/>
      <c r="U102" s="74"/>
      <c r="V102" s="74"/>
      <c r="W102" s="74"/>
      <c r="X102" s="74"/>
      <c r="Y102" s="74"/>
      <c r="Z102" s="74"/>
    </row>
    <row r="103" ht="14.2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4.2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4.2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4.2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4.25" customHeight="1">
      <c r="A107" s="74"/>
      <c r="B107" s="74"/>
      <c r="C107" s="74"/>
      <c r="D107" s="74"/>
      <c r="E107" s="74"/>
      <c r="F107" s="74"/>
      <c r="G107" s="74"/>
      <c r="H107" s="74"/>
      <c r="I107" s="137"/>
      <c r="J107" s="74"/>
      <c r="K107" s="74"/>
      <c r="L107" s="74"/>
      <c r="M107" s="74"/>
      <c r="N107" s="74"/>
      <c r="O107" s="74"/>
      <c r="P107" s="74"/>
      <c r="Q107" s="74"/>
      <c r="R107" s="74"/>
      <c r="S107" s="74"/>
      <c r="T107" s="74"/>
      <c r="U107" s="74"/>
      <c r="V107" s="74"/>
      <c r="W107" s="74"/>
      <c r="X107" s="74"/>
      <c r="Y107" s="74"/>
      <c r="Z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4.25" customHeight="1">
      <c r="A112" s="74"/>
      <c r="B112" s="110" t="s">
        <v>122</v>
      </c>
      <c r="C112" s="117"/>
      <c r="D112" s="117"/>
      <c r="E112" s="117"/>
      <c r="F112" s="117"/>
      <c r="G112" s="74"/>
      <c r="H112" s="117"/>
      <c r="I112" s="117"/>
      <c r="J112" s="74"/>
      <c r="K112" s="74"/>
      <c r="L112" s="74"/>
      <c r="M112" s="74"/>
      <c r="N112" s="74"/>
      <c r="O112" s="74"/>
      <c r="P112" s="74"/>
      <c r="Q112" s="74"/>
      <c r="R112" s="74"/>
      <c r="S112" s="74"/>
      <c r="T112" s="74"/>
      <c r="U112" s="74"/>
      <c r="V112" s="74"/>
      <c r="W112" s="74"/>
      <c r="X112" s="74"/>
      <c r="Y112" s="74"/>
      <c r="Z112" s="74"/>
    </row>
    <row r="113" ht="14.25" customHeight="1">
      <c r="A113" s="74"/>
      <c r="B113" s="117"/>
      <c r="C113" s="117"/>
      <c r="D113" s="117"/>
      <c r="E113" s="117"/>
      <c r="F113" s="117"/>
      <c r="G113" s="117"/>
      <c r="H113" s="117"/>
      <c r="I113" s="117"/>
      <c r="J113" s="74"/>
      <c r="K113" s="74"/>
      <c r="L113" s="74"/>
      <c r="M113" s="74"/>
      <c r="N113" s="74"/>
      <c r="O113" s="74"/>
      <c r="P113" s="74"/>
      <c r="Q113" s="74"/>
      <c r="R113" s="74"/>
      <c r="S113" s="74"/>
      <c r="T113" s="74"/>
      <c r="U113" s="74"/>
      <c r="V113" s="74"/>
      <c r="W113" s="74"/>
      <c r="X113" s="74"/>
      <c r="Y113" s="74"/>
      <c r="Z113" s="74"/>
    </row>
    <row r="114" ht="39.0" customHeight="1">
      <c r="A114" s="74"/>
      <c r="B114" s="118" t="s">
        <v>3</v>
      </c>
      <c r="C114" s="118" t="s">
        <v>4</v>
      </c>
      <c r="D114" s="118" t="s">
        <v>124</v>
      </c>
      <c r="E114" s="142" t="s">
        <v>5</v>
      </c>
      <c r="F114" s="142" t="s">
        <v>125</v>
      </c>
      <c r="G114" s="143" t="s">
        <v>126</v>
      </c>
      <c r="H114" s="143" t="s">
        <v>127</v>
      </c>
      <c r="I114" s="144" t="s">
        <v>128</v>
      </c>
      <c r="J114" s="74"/>
      <c r="K114" s="138" t="s">
        <v>123</v>
      </c>
      <c r="L114" s="139"/>
      <c r="M114" s="140"/>
      <c r="N114" s="140"/>
      <c r="O114" s="140"/>
      <c r="P114" s="140"/>
      <c r="Q114" s="141"/>
      <c r="R114" s="74"/>
      <c r="S114" s="74"/>
      <c r="T114" s="74"/>
      <c r="U114" s="74"/>
      <c r="V114" s="74"/>
      <c r="W114" s="74"/>
      <c r="X114" s="74"/>
      <c r="Y114" s="74"/>
      <c r="Z114" s="74"/>
    </row>
    <row r="115" ht="14.25" customHeight="1">
      <c r="A115" s="74"/>
      <c r="B115" s="145" t="s">
        <v>8</v>
      </c>
      <c r="C115" s="146">
        <v>7780.491269444183</v>
      </c>
      <c r="D115" s="146">
        <v>3711.0</v>
      </c>
      <c r="E115" s="146">
        <v>-2659.2542623019517</v>
      </c>
      <c r="F115" s="146">
        <v>-1268.0</v>
      </c>
      <c r="G115" s="146">
        <v>5121.237007142231</v>
      </c>
      <c r="H115" s="146">
        <f t="shared" ref="H115:H118" si="1">D115+F115</f>
        <v>2443</v>
      </c>
      <c r="I115" s="147"/>
      <c r="J115" s="74"/>
      <c r="K115" s="118" t="s">
        <v>3</v>
      </c>
      <c r="L115" s="114" t="s">
        <v>129</v>
      </c>
      <c r="M115" s="121" t="s">
        <v>130</v>
      </c>
      <c r="N115" s="121" t="s">
        <v>131</v>
      </c>
      <c r="O115" s="121" t="s">
        <v>132</v>
      </c>
      <c r="P115" s="121" t="s">
        <v>133</v>
      </c>
      <c r="Q115" s="114" t="s">
        <v>134</v>
      </c>
      <c r="R115" s="74"/>
      <c r="S115" s="74"/>
      <c r="T115" s="74"/>
      <c r="U115" s="74"/>
      <c r="V115" s="74"/>
      <c r="W115" s="74"/>
      <c r="X115" s="74"/>
      <c r="Y115" s="74"/>
      <c r="Z115" s="74"/>
    </row>
    <row r="116" ht="14.25" customHeight="1">
      <c r="A116" s="74"/>
      <c r="B116" s="145" t="s">
        <v>10</v>
      </c>
      <c r="C116" s="146">
        <v>6519.801726328381</v>
      </c>
      <c r="D116" s="146">
        <v>3469.0</v>
      </c>
      <c r="E116" s="146">
        <v>-10026.36521662696</v>
      </c>
      <c r="F116" s="146">
        <v>-5334.0</v>
      </c>
      <c r="G116" s="146">
        <v>-3506.56349029858</v>
      </c>
      <c r="H116" s="146">
        <f t="shared" si="1"/>
        <v>-1865</v>
      </c>
      <c r="I116" s="147" t="s">
        <v>297</v>
      </c>
      <c r="J116" s="74"/>
      <c r="K116" s="150" t="s">
        <v>8</v>
      </c>
      <c r="L116" s="149">
        <v>155.0</v>
      </c>
      <c r="M116" s="149">
        <v>155.0</v>
      </c>
      <c r="N116" s="151">
        <v>5.5</v>
      </c>
      <c r="O116" s="151">
        <v>5.5</v>
      </c>
      <c r="P116" s="149">
        <v>2096.77163841359</v>
      </c>
      <c r="Q116" s="149" t="s">
        <v>138</v>
      </c>
      <c r="R116" s="74"/>
      <c r="S116" s="74"/>
      <c r="T116" s="74"/>
      <c r="U116" s="74"/>
      <c r="V116" s="74"/>
      <c r="W116" s="74"/>
      <c r="X116" s="74"/>
      <c r="Y116" s="74"/>
      <c r="Z116" s="74"/>
    </row>
    <row r="117" ht="14.25" customHeight="1">
      <c r="A117" s="74"/>
      <c r="B117" s="145" t="s">
        <v>11</v>
      </c>
      <c r="C117" s="146">
        <v>0.0</v>
      </c>
      <c r="D117" s="146">
        <v>0.0</v>
      </c>
      <c r="E117" s="146">
        <v>-5972.2457044538805</v>
      </c>
      <c r="F117" s="146">
        <v>-3658.0</v>
      </c>
      <c r="G117" s="146">
        <v>-5972.2457044538805</v>
      </c>
      <c r="H117" s="146">
        <f t="shared" si="1"/>
        <v>-3658</v>
      </c>
      <c r="I117" s="147" t="s">
        <v>297</v>
      </c>
      <c r="J117" s="74"/>
      <c r="K117" s="118" t="s">
        <v>10</v>
      </c>
      <c r="L117" s="149">
        <v>214.0</v>
      </c>
      <c r="M117" s="149">
        <v>214.0</v>
      </c>
      <c r="N117" s="149">
        <v>21.0</v>
      </c>
      <c r="O117" s="149">
        <v>21.0</v>
      </c>
      <c r="P117" s="149">
        <v>1879.6128145344</v>
      </c>
      <c r="Q117" s="149" t="s">
        <v>138</v>
      </c>
      <c r="R117" s="74"/>
      <c r="S117" s="74"/>
      <c r="T117" s="74"/>
      <c r="U117" s="74"/>
      <c r="V117" s="74"/>
      <c r="W117" s="74"/>
      <c r="X117" s="74"/>
      <c r="Y117" s="74"/>
      <c r="Z117" s="74"/>
    </row>
    <row r="118" ht="14.25" customHeight="1">
      <c r="A118" s="74"/>
      <c r="B118" s="145" t="s">
        <v>12</v>
      </c>
      <c r="C118" s="146">
        <v>13370.423460494172</v>
      </c>
      <c r="D118" s="146">
        <v>213148.0</v>
      </c>
      <c r="E118" s="146">
        <v>0.0</v>
      </c>
      <c r="F118" s="146">
        <v>0.0</v>
      </c>
      <c r="G118" s="146">
        <v>13370.423460494172</v>
      </c>
      <c r="H118" s="146">
        <f t="shared" si="1"/>
        <v>213148</v>
      </c>
      <c r="I118" s="147"/>
      <c r="J118" s="74"/>
      <c r="K118" s="118" t="s">
        <v>11</v>
      </c>
      <c r="L118" s="149">
        <v>265.0</v>
      </c>
      <c r="M118" s="149">
        <v>265.0</v>
      </c>
      <c r="N118" s="149">
        <v>51.0</v>
      </c>
      <c r="O118" s="149">
        <v>51.0</v>
      </c>
      <c r="P118" s="149">
        <v>1632.4494056856</v>
      </c>
      <c r="Q118" s="149" t="s">
        <v>138</v>
      </c>
      <c r="R118" s="74"/>
      <c r="S118" s="74"/>
      <c r="T118" s="74"/>
      <c r="U118" s="74"/>
      <c r="V118" s="74"/>
      <c r="W118" s="74"/>
      <c r="X118" s="74"/>
      <c r="Y118" s="74"/>
      <c r="Z118" s="74"/>
    </row>
    <row r="119" ht="14.25" customHeight="1">
      <c r="A119" s="74"/>
      <c r="B119" s="145" t="s">
        <v>34</v>
      </c>
      <c r="C119" s="146">
        <v>571.0</v>
      </c>
      <c r="D119" s="156">
        <v>19823.0</v>
      </c>
      <c r="E119" s="146">
        <v>-122.77065456</v>
      </c>
      <c r="F119" s="157" t="s">
        <v>298</v>
      </c>
      <c r="G119" s="146">
        <f>C119+E119</f>
        <v>448.2293454</v>
      </c>
      <c r="H119" s="156">
        <v>15560.0</v>
      </c>
      <c r="I119" s="223" t="s">
        <v>299</v>
      </c>
      <c r="J119" s="137"/>
      <c r="K119" s="224" t="s">
        <v>17</v>
      </c>
      <c r="L119" s="154">
        <v>500.0</v>
      </c>
      <c r="M119" s="154">
        <v>311.0</v>
      </c>
      <c r="N119" s="154">
        <v>100.0</v>
      </c>
      <c r="O119" s="154">
        <v>100.0</v>
      </c>
      <c r="P119" s="155">
        <v>1967.0</v>
      </c>
      <c r="Q119" s="149" t="s">
        <v>138</v>
      </c>
      <c r="R119" s="74"/>
      <c r="S119" s="74"/>
      <c r="T119" s="74"/>
      <c r="U119" s="74"/>
      <c r="V119" s="74"/>
      <c r="W119" s="74"/>
      <c r="X119" s="74"/>
      <c r="Y119" s="74"/>
      <c r="Z119" s="74"/>
    </row>
    <row r="120" ht="14.25" customHeight="1">
      <c r="A120" s="74"/>
      <c r="B120" s="145" t="s">
        <v>17</v>
      </c>
      <c r="C120" s="145">
        <v>0.0</v>
      </c>
      <c r="D120" s="145">
        <v>0.0</v>
      </c>
      <c r="E120" s="145">
        <v>-1962.0</v>
      </c>
      <c r="F120" s="145">
        <v>-998.0</v>
      </c>
      <c r="G120" s="145">
        <v>-1962.0</v>
      </c>
      <c r="H120" s="145">
        <v>-998.0</v>
      </c>
      <c r="I120" s="147" t="s">
        <v>297</v>
      </c>
      <c r="J120" s="129"/>
      <c r="K120" s="118" t="s">
        <v>12</v>
      </c>
      <c r="L120" s="159">
        <v>25.0</v>
      </c>
      <c r="M120" s="159">
        <v>40.0</v>
      </c>
      <c r="N120" s="160">
        <v>1.02</v>
      </c>
      <c r="O120" s="160">
        <v>1.02</v>
      </c>
      <c r="P120" s="160">
        <f>62.74243314036/(M120-L120)</f>
        <v>4.182828876</v>
      </c>
      <c r="Q120" s="159" t="s">
        <v>143</v>
      </c>
      <c r="R120" s="74"/>
      <c r="S120" s="74"/>
      <c r="T120" s="74"/>
      <c r="U120" s="74"/>
      <c r="V120" s="74"/>
      <c r="W120" s="74"/>
      <c r="X120" s="74"/>
      <c r="Y120" s="74"/>
      <c r="Z120" s="74"/>
    </row>
    <row r="121" ht="14.25" customHeight="1">
      <c r="A121" s="74"/>
      <c r="B121" s="117"/>
      <c r="C121" s="117"/>
      <c r="D121" s="117"/>
      <c r="E121" s="117"/>
      <c r="F121" s="117"/>
      <c r="G121" s="225">
        <f t="shared" ref="G121:H121" si="2">SUM(G115:G120)</f>
        <v>7499.080618</v>
      </c>
      <c r="H121" s="225">
        <f t="shared" si="2"/>
        <v>224630</v>
      </c>
      <c r="I121" s="117"/>
      <c r="J121" s="129"/>
      <c r="K121" s="74"/>
      <c r="L121" s="74"/>
      <c r="M121" s="74"/>
      <c r="N121" s="74"/>
      <c r="O121" s="74"/>
      <c r="P121" s="74"/>
      <c r="Q121" s="74"/>
      <c r="R121" s="74"/>
      <c r="S121" s="74"/>
      <c r="T121" s="74"/>
      <c r="U121" s="74"/>
      <c r="V121" s="74"/>
      <c r="W121" s="74"/>
      <c r="X121" s="74"/>
      <c r="Y121" s="74"/>
      <c r="Z121" s="74"/>
    </row>
    <row r="122" ht="14.25" customHeight="1">
      <c r="A122" s="74"/>
      <c r="B122" s="226" t="s">
        <v>158</v>
      </c>
      <c r="C122" s="227" t="s">
        <v>159</v>
      </c>
      <c r="D122" s="227">
        <v>876.0</v>
      </c>
      <c r="E122" s="227" t="s">
        <v>156</v>
      </c>
      <c r="F122" s="228">
        <v>1.51854</v>
      </c>
      <c r="G122" s="173" t="s">
        <v>153</v>
      </c>
      <c r="H122" s="229">
        <v>8765.82</v>
      </c>
      <c r="I122" s="230"/>
      <c r="J122" s="74"/>
      <c r="K122" s="74"/>
      <c r="L122" s="74"/>
      <c r="M122" s="74"/>
      <c r="N122" s="74"/>
      <c r="O122" s="74"/>
      <c r="P122" s="74"/>
      <c r="Q122" s="74"/>
      <c r="R122" s="74"/>
      <c r="S122" s="74"/>
      <c r="T122" s="74"/>
      <c r="U122" s="74"/>
      <c r="V122" s="74"/>
      <c r="W122" s="74"/>
      <c r="X122" s="74"/>
      <c r="Y122" s="74"/>
      <c r="Z122" s="74"/>
    </row>
    <row r="123" ht="14.25" customHeight="1">
      <c r="A123" s="74"/>
      <c r="B123" s="230"/>
      <c r="C123" s="230"/>
      <c r="D123" s="230"/>
      <c r="E123" s="230"/>
      <c r="F123" s="230"/>
      <c r="G123" s="230"/>
      <c r="H123" s="230"/>
      <c r="I123" s="230"/>
      <c r="J123" s="74"/>
      <c r="K123" s="74"/>
      <c r="L123" s="74"/>
      <c r="M123" s="74"/>
      <c r="N123" s="74"/>
      <c r="O123" s="74"/>
      <c r="P123" s="74"/>
      <c r="Q123" s="74"/>
      <c r="R123" s="74"/>
      <c r="S123" s="74"/>
      <c r="T123" s="74"/>
      <c r="U123" s="74"/>
      <c r="V123" s="74"/>
      <c r="W123" s="74"/>
      <c r="X123" s="74"/>
      <c r="Y123" s="74"/>
      <c r="Z123" s="74"/>
    </row>
    <row r="124" ht="39.0" customHeight="1">
      <c r="A124" s="74"/>
      <c r="B124" s="118" t="s">
        <v>3</v>
      </c>
      <c r="C124" s="118" t="s">
        <v>4</v>
      </c>
      <c r="D124" s="118" t="s">
        <v>124</v>
      </c>
      <c r="E124" s="142" t="s">
        <v>5</v>
      </c>
      <c r="F124" s="142" t="s">
        <v>125</v>
      </c>
      <c r="G124" s="143" t="s">
        <v>126</v>
      </c>
      <c r="H124" s="143" t="s">
        <v>127</v>
      </c>
      <c r="I124" s="144" t="s">
        <v>128</v>
      </c>
      <c r="J124" s="74"/>
      <c r="K124" s="138" t="s">
        <v>123</v>
      </c>
      <c r="L124" s="139"/>
      <c r="M124" s="140"/>
      <c r="N124" s="140"/>
      <c r="O124" s="140"/>
      <c r="P124" s="140"/>
      <c r="Q124" s="141"/>
      <c r="R124" s="74"/>
      <c r="S124" s="74"/>
      <c r="T124" s="74"/>
      <c r="U124" s="74"/>
      <c r="V124" s="74"/>
      <c r="W124" s="74"/>
      <c r="X124" s="74"/>
      <c r="Y124" s="74"/>
      <c r="Z124" s="74"/>
    </row>
    <row r="125" ht="14.25" customHeight="1">
      <c r="A125" s="74"/>
      <c r="B125" s="231" t="s">
        <v>8</v>
      </c>
      <c r="C125" s="178">
        <f>C115*F122</f>
        <v>11814.98721</v>
      </c>
      <c r="D125" s="232">
        <f t="shared" ref="D125:F125" si="3">D115*$F$122</f>
        <v>5635.30194</v>
      </c>
      <c r="E125" s="178">
        <f t="shared" si="3"/>
        <v>-4038.183967</v>
      </c>
      <c r="F125" s="232">
        <f t="shared" si="3"/>
        <v>-1925.50872</v>
      </c>
      <c r="G125" s="232">
        <f t="shared" ref="G125:H125" si="4">C125+E125</f>
        <v>7776.803245</v>
      </c>
      <c r="H125" s="232">
        <f t="shared" si="4"/>
        <v>3709.79322</v>
      </c>
      <c r="I125" s="233"/>
      <c r="J125" s="74"/>
      <c r="K125" s="118" t="s">
        <v>3</v>
      </c>
      <c r="L125" s="114" t="s">
        <v>129</v>
      </c>
      <c r="M125" s="121" t="s">
        <v>130</v>
      </c>
      <c r="N125" s="121" t="s">
        <v>131</v>
      </c>
      <c r="O125" s="121" t="s">
        <v>132</v>
      </c>
      <c r="P125" s="121" t="s">
        <v>133</v>
      </c>
      <c r="Q125" s="114" t="s">
        <v>134</v>
      </c>
      <c r="R125" s="74"/>
      <c r="S125" s="74"/>
      <c r="T125" s="74"/>
      <c r="U125" s="74"/>
      <c r="V125" s="74"/>
      <c r="W125" s="74"/>
      <c r="X125" s="74"/>
      <c r="Y125" s="74"/>
      <c r="Z125" s="74"/>
    </row>
    <row r="126" ht="14.25" customHeight="1">
      <c r="A126" s="74"/>
      <c r="B126" s="231" t="s">
        <v>10</v>
      </c>
      <c r="C126" s="178">
        <f>C116*F122</f>
        <v>9900.579713</v>
      </c>
      <c r="D126" s="232">
        <f t="shared" ref="D126:F126" si="5">D116*$F$122</f>
        <v>5267.81526</v>
      </c>
      <c r="E126" s="178">
        <f t="shared" si="5"/>
        <v>-15225.43664</v>
      </c>
      <c r="F126" s="232">
        <f t="shared" si="5"/>
        <v>-8099.89236</v>
      </c>
      <c r="G126" s="232">
        <f t="shared" ref="G126:H126" si="6">C126+E126</f>
        <v>-5324.856923</v>
      </c>
      <c r="H126" s="232">
        <f t="shared" si="6"/>
        <v>-2832.0771</v>
      </c>
      <c r="I126" s="233" t="s">
        <v>297</v>
      </c>
      <c r="J126" s="74"/>
      <c r="K126" s="150" t="s">
        <v>8</v>
      </c>
      <c r="L126" s="149">
        <v>155.0</v>
      </c>
      <c r="M126" s="149">
        <v>155.0</v>
      </c>
      <c r="N126" s="151">
        <v>5.5</v>
      </c>
      <c r="O126" s="151">
        <v>5.5</v>
      </c>
      <c r="P126" s="149">
        <v>2096.77163841359</v>
      </c>
      <c r="Q126" s="149" t="s">
        <v>138</v>
      </c>
      <c r="R126" s="74"/>
      <c r="S126" s="74"/>
      <c r="T126" s="74"/>
      <c r="U126" s="74"/>
      <c r="V126" s="74"/>
      <c r="W126" s="74"/>
      <c r="X126" s="74"/>
      <c r="Y126" s="74"/>
      <c r="Z126" s="74"/>
    </row>
    <row r="127" ht="14.25" customHeight="1">
      <c r="A127" s="74"/>
      <c r="B127" s="231" t="s">
        <v>11</v>
      </c>
      <c r="C127" s="178">
        <f>C117*F122</f>
        <v>0</v>
      </c>
      <c r="D127" s="232">
        <f t="shared" ref="D127:F127" si="7">D117*$F$122</f>
        <v>0</v>
      </c>
      <c r="E127" s="178">
        <f t="shared" si="7"/>
        <v>-9069.093992</v>
      </c>
      <c r="F127" s="232">
        <f t="shared" si="7"/>
        <v>-5554.81932</v>
      </c>
      <c r="G127" s="232">
        <f t="shared" ref="G127:H127" si="8">C127+E127</f>
        <v>-9069.093992</v>
      </c>
      <c r="H127" s="232">
        <f t="shared" si="8"/>
        <v>-5554.81932</v>
      </c>
      <c r="I127" s="233" t="s">
        <v>297</v>
      </c>
      <c r="J127" s="74"/>
      <c r="K127" s="118" t="s">
        <v>10</v>
      </c>
      <c r="L127" s="149">
        <v>214.0</v>
      </c>
      <c r="M127" s="149">
        <v>214.0</v>
      </c>
      <c r="N127" s="149">
        <v>21.0</v>
      </c>
      <c r="O127" s="149">
        <v>21.0</v>
      </c>
      <c r="P127" s="149">
        <v>1879.6128145344</v>
      </c>
      <c r="Q127" s="149" t="s">
        <v>138</v>
      </c>
      <c r="R127" s="74"/>
      <c r="S127" s="74"/>
      <c r="T127" s="74"/>
      <c r="U127" s="74"/>
      <c r="V127" s="74"/>
      <c r="W127" s="74"/>
      <c r="X127" s="74"/>
      <c r="Y127" s="74"/>
      <c r="Z127" s="74"/>
    </row>
    <row r="128" ht="14.25" customHeight="1">
      <c r="A128" s="74"/>
      <c r="B128" s="231" t="s">
        <v>12</v>
      </c>
      <c r="C128" s="178">
        <f>C118*F122</f>
        <v>20303.52284</v>
      </c>
      <c r="D128" s="232">
        <f t="shared" ref="D128:F128" si="9">D118*$F$122</f>
        <v>323673.7639</v>
      </c>
      <c r="E128" s="178">
        <f t="shared" si="9"/>
        <v>0</v>
      </c>
      <c r="F128" s="232">
        <f t="shared" si="9"/>
        <v>0</v>
      </c>
      <c r="G128" s="232">
        <f t="shared" ref="G128:H128" si="10">C128+E128</f>
        <v>20303.52284</v>
      </c>
      <c r="H128" s="232">
        <f t="shared" si="10"/>
        <v>323673.7639</v>
      </c>
      <c r="I128" s="233"/>
      <c r="J128" s="74"/>
      <c r="K128" s="118" t="s">
        <v>11</v>
      </c>
      <c r="L128" s="149">
        <v>265.0</v>
      </c>
      <c r="M128" s="149">
        <v>265.0</v>
      </c>
      <c r="N128" s="149">
        <v>51.0</v>
      </c>
      <c r="O128" s="149">
        <v>51.0</v>
      </c>
      <c r="P128" s="149">
        <v>1632.4494056856</v>
      </c>
      <c r="Q128" s="149" t="s">
        <v>138</v>
      </c>
      <c r="R128" s="74"/>
      <c r="S128" s="74"/>
      <c r="T128" s="74"/>
      <c r="U128" s="74"/>
      <c r="V128" s="74"/>
      <c r="W128" s="74"/>
      <c r="X128" s="74"/>
      <c r="Y128" s="74"/>
      <c r="Z128" s="74"/>
    </row>
    <row r="129" ht="14.25" customHeight="1">
      <c r="A129" s="74"/>
      <c r="B129" s="231" t="s">
        <v>34</v>
      </c>
      <c r="C129" s="232">
        <f>C119*F122</f>
        <v>867.08634</v>
      </c>
      <c r="D129" s="232">
        <f t="shared" ref="D129:F129" si="11">D119*$F$122</f>
        <v>30102.01842</v>
      </c>
      <c r="E129" s="232">
        <f t="shared" si="11"/>
        <v>-186.4321498</v>
      </c>
      <c r="F129" s="232">
        <f t="shared" si="11"/>
        <v>-6473.53602</v>
      </c>
      <c r="G129" s="232">
        <f t="shared" ref="G129:H129" si="12">C129+E129</f>
        <v>680.6541902</v>
      </c>
      <c r="H129" s="232">
        <f t="shared" si="12"/>
        <v>23628.4824</v>
      </c>
      <c r="I129" s="234" t="s">
        <v>299</v>
      </c>
      <c r="J129" s="137"/>
      <c r="K129" s="224" t="s">
        <v>17</v>
      </c>
      <c r="L129" s="154">
        <v>500.0</v>
      </c>
      <c r="M129" s="154">
        <v>311.0</v>
      </c>
      <c r="N129" s="154">
        <v>100.0</v>
      </c>
      <c r="O129" s="154">
        <v>100.0</v>
      </c>
      <c r="P129" s="155">
        <v>1967.0</v>
      </c>
      <c r="Q129" s="149" t="s">
        <v>138</v>
      </c>
      <c r="R129" s="74"/>
      <c r="S129" s="74"/>
      <c r="T129" s="74"/>
      <c r="U129" s="74"/>
      <c r="V129" s="74"/>
      <c r="W129" s="74"/>
      <c r="X129" s="74"/>
      <c r="Y129" s="74"/>
      <c r="Z129" s="74"/>
    </row>
    <row r="130" ht="14.25" customHeight="1">
      <c r="A130" s="74"/>
      <c r="B130" s="231" t="s">
        <v>17</v>
      </c>
      <c r="C130" s="178">
        <f>C120*F122</f>
        <v>0</v>
      </c>
      <c r="D130" s="232">
        <f t="shared" ref="D130:F130" si="13">D120*$F$122</f>
        <v>0</v>
      </c>
      <c r="E130" s="178">
        <f t="shared" si="13"/>
        <v>-2979.37548</v>
      </c>
      <c r="F130" s="232">
        <f t="shared" si="13"/>
        <v>-1515.50292</v>
      </c>
      <c r="G130" s="232">
        <f t="shared" ref="G130:H130" si="14">C130+E130</f>
        <v>-2979.37548</v>
      </c>
      <c r="H130" s="232">
        <f t="shared" si="14"/>
        <v>-1515.50292</v>
      </c>
      <c r="I130" s="233" t="s">
        <v>297</v>
      </c>
      <c r="J130" s="129"/>
      <c r="K130" s="118" t="s">
        <v>12</v>
      </c>
      <c r="L130" s="159">
        <v>25.0</v>
      </c>
      <c r="M130" s="159">
        <v>40.0</v>
      </c>
      <c r="N130" s="160">
        <v>1.02</v>
      </c>
      <c r="O130" s="160">
        <v>1.02</v>
      </c>
      <c r="P130" s="160">
        <f>62.74243314036/(M130-L130)</f>
        <v>4.182828876</v>
      </c>
      <c r="Q130" s="159" t="s">
        <v>143</v>
      </c>
      <c r="R130" s="74"/>
      <c r="S130" s="74"/>
      <c r="T130" s="74"/>
      <c r="U130" s="74"/>
      <c r="V130" s="74"/>
      <c r="W130" s="74"/>
      <c r="X130" s="74"/>
      <c r="Y130" s="74"/>
      <c r="Z130" s="74"/>
    </row>
    <row r="131" ht="14.25" customHeight="1">
      <c r="A131" s="74"/>
      <c r="B131" s="230"/>
      <c r="C131" s="230"/>
      <c r="D131" s="230"/>
      <c r="E131" s="230"/>
      <c r="F131" s="230"/>
      <c r="G131" s="235">
        <f t="shared" ref="G131:H131" si="15">SUM(G125:G130)</f>
        <v>11387.65388</v>
      </c>
      <c r="H131" s="235">
        <f t="shared" si="15"/>
        <v>341109.6402</v>
      </c>
      <c r="I131" s="230"/>
      <c r="J131" s="129"/>
      <c r="K131" s="74"/>
      <c r="L131" s="74"/>
      <c r="M131" s="74"/>
      <c r="N131" s="74"/>
      <c r="O131" s="74"/>
      <c r="P131" s="74"/>
      <c r="Q131" s="74"/>
      <c r="R131" s="74"/>
      <c r="S131" s="74"/>
      <c r="T131" s="74"/>
      <c r="U131" s="74"/>
      <c r="V131" s="74"/>
      <c r="W131" s="74"/>
      <c r="X131" s="74"/>
      <c r="Y131" s="74"/>
      <c r="Z131" s="74"/>
    </row>
    <row r="132" ht="14.25" customHeight="1">
      <c r="A132" s="74"/>
      <c r="B132" s="230"/>
      <c r="C132" s="235">
        <f>SUM(C125:C130)</f>
        <v>42886.17611</v>
      </c>
      <c r="D132" s="230"/>
      <c r="E132" s="235">
        <f>SUM(E125:E130)</f>
        <v>-31498.52223</v>
      </c>
      <c r="F132" s="230"/>
      <c r="G132" s="230"/>
      <c r="H132" s="230"/>
      <c r="I132" s="230"/>
      <c r="J132" s="129"/>
      <c r="K132" s="74"/>
      <c r="L132" s="74"/>
      <c r="M132" s="74"/>
      <c r="N132" s="74"/>
      <c r="O132" s="74"/>
      <c r="P132" s="74"/>
      <c r="Q132" s="74"/>
      <c r="R132" s="74"/>
      <c r="S132" s="74"/>
      <c r="T132" s="74"/>
      <c r="U132" s="74"/>
      <c r="V132" s="74"/>
      <c r="W132" s="74"/>
      <c r="X132" s="74"/>
      <c r="Y132" s="74"/>
      <c r="Z132" s="74"/>
    </row>
    <row r="133" ht="14.25" customHeight="1">
      <c r="A133" s="74"/>
      <c r="B133" s="230"/>
      <c r="C133" s="230"/>
      <c r="D133" s="230"/>
      <c r="E133" s="230"/>
      <c r="F133" s="230"/>
      <c r="G133" s="230"/>
      <c r="H133" s="230"/>
      <c r="I133" s="230"/>
      <c r="J133" s="129"/>
      <c r="K133" s="74"/>
      <c r="L133" s="74"/>
      <c r="M133" s="74"/>
      <c r="N133" s="74"/>
      <c r="O133" s="74"/>
      <c r="P133" s="74"/>
      <c r="Q133" s="74"/>
      <c r="R133" s="74"/>
      <c r="S133" s="74"/>
      <c r="T133" s="74"/>
      <c r="U133" s="74"/>
      <c r="V133" s="74"/>
      <c r="W133" s="74"/>
      <c r="X133" s="74"/>
      <c r="Y133" s="74"/>
      <c r="Z133" s="74"/>
    </row>
    <row r="134" ht="14.25" customHeight="1">
      <c r="A134" s="74"/>
      <c r="B134" s="173" t="s">
        <v>14</v>
      </c>
      <c r="C134" s="174"/>
      <c r="D134" s="185">
        <f>D129*H122</f>
        <v>263868875.1</v>
      </c>
      <c r="E134" s="174"/>
      <c r="F134" s="185">
        <f>F129*H122</f>
        <v>-56745851.51</v>
      </c>
      <c r="G134" s="236"/>
      <c r="H134" s="174">
        <f>D134+F134</f>
        <v>207123023.6</v>
      </c>
      <c r="I134" s="173" t="s">
        <v>9</v>
      </c>
      <c r="J134" s="129"/>
      <c r="K134" s="74"/>
      <c r="L134" s="74"/>
      <c r="M134" s="74"/>
      <c r="N134" s="74"/>
      <c r="O134" s="74"/>
      <c r="P134" s="74"/>
      <c r="Q134" s="74"/>
      <c r="R134" s="74"/>
      <c r="S134" s="74"/>
      <c r="T134" s="74"/>
      <c r="U134" s="74"/>
      <c r="V134" s="74"/>
      <c r="W134" s="74"/>
      <c r="X134" s="74"/>
      <c r="Y134" s="74"/>
      <c r="Z134" s="74"/>
    </row>
    <row r="135" ht="14.25" customHeight="1">
      <c r="A135" s="74"/>
      <c r="B135" s="237"/>
      <c r="C135" s="237"/>
      <c r="D135" s="237"/>
      <c r="E135" s="237"/>
      <c r="F135" s="237"/>
      <c r="G135" s="238"/>
      <c r="H135" s="237"/>
      <c r="I135" s="237"/>
      <c r="J135" s="239"/>
      <c r="K135" s="237"/>
      <c r="L135" s="237"/>
      <c r="M135" s="237"/>
      <c r="N135" s="237"/>
      <c r="O135" s="74"/>
      <c r="P135" s="74"/>
      <c r="Q135" s="74"/>
      <c r="R135" s="74"/>
      <c r="S135" s="74"/>
      <c r="T135" s="74"/>
      <c r="U135" s="74"/>
      <c r="V135" s="74"/>
      <c r="W135" s="74"/>
      <c r="X135" s="74"/>
      <c r="Y135" s="74"/>
      <c r="Z135" s="74"/>
    </row>
    <row r="136" ht="14.25" customHeight="1">
      <c r="A136" s="74"/>
      <c r="B136" s="237"/>
      <c r="C136" s="237"/>
      <c r="D136" s="237"/>
      <c r="E136" s="237"/>
      <c r="F136" s="237"/>
      <c r="G136" s="238"/>
      <c r="H136" s="237"/>
      <c r="I136" s="237"/>
      <c r="J136" s="239"/>
      <c r="K136" s="237"/>
      <c r="L136" s="237"/>
      <c r="M136" s="237"/>
      <c r="N136" s="237"/>
      <c r="O136" s="74"/>
      <c r="P136" s="74"/>
      <c r="Q136" s="74"/>
      <c r="R136" s="74"/>
      <c r="S136" s="74"/>
      <c r="T136" s="74"/>
      <c r="U136" s="74"/>
      <c r="V136" s="74"/>
      <c r="W136" s="74"/>
      <c r="X136" s="74"/>
      <c r="Y136" s="74"/>
      <c r="Z136" s="74"/>
    </row>
    <row r="137" ht="14.25" customHeight="1">
      <c r="A137" s="74"/>
      <c r="B137" s="240" t="s">
        <v>300</v>
      </c>
      <c r="C137" s="241"/>
      <c r="D137" s="241"/>
      <c r="E137" s="241"/>
      <c r="F137" s="241"/>
      <c r="G137" s="241"/>
      <c r="H137" s="241"/>
      <c r="I137" s="241"/>
      <c r="J137" s="241"/>
      <c r="K137" s="241"/>
      <c r="L137" s="241"/>
      <c r="M137" s="241"/>
      <c r="N137" s="242"/>
      <c r="O137" s="74"/>
      <c r="P137" s="74"/>
      <c r="Q137" s="74"/>
      <c r="R137" s="74"/>
      <c r="S137" s="74"/>
      <c r="T137" s="74"/>
      <c r="U137" s="74"/>
      <c r="V137" s="74"/>
      <c r="W137" s="74"/>
      <c r="X137" s="74"/>
      <c r="Y137" s="74"/>
      <c r="Z137" s="74"/>
    </row>
    <row r="138" ht="14.25" customHeight="1">
      <c r="A138" s="74"/>
      <c r="B138" s="243" t="s">
        <v>136</v>
      </c>
      <c r="C138" s="80"/>
      <c r="D138" s="244"/>
      <c r="E138" s="244"/>
      <c r="F138" s="244"/>
      <c r="G138" s="244"/>
      <c r="H138" s="245"/>
      <c r="I138" s="246" t="s">
        <v>34</v>
      </c>
      <c r="J138" s="244"/>
      <c r="K138" s="244"/>
      <c r="L138" s="244"/>
      <c r="M138" s="244"/>
      <c r="N138" s="244"/>
      <c r="O138" s="74"/>
      <c r="P138" s="74"/>
      <c r="Q138" s="74"/>
      <c r="R138" s="74"/>
      <c r="S138" s="74"/>
      <c r="T138" s="74"/>
      <c r="U138" s="74"/>
      <c r="V138" s="74"/>
      <c r="W138" s="74"/>
      <c r="X138" s="74"/>
      <c r="Y138" s="74"/>
      <c r="Z138" s="74"/>
    </row>
    <row r="139" ht="14.25" customHeight="1">
      <c r="A139" s="74"/>
      <c r="B139" s="246" t="s">
        <v>301</v>
      </c>
      <c r="C139" s="246" t="s">
        <v>302</v>
      </c>
      <c r="D139" s="246" t="s">
        <v>303</v>
      </c>
      <c r="E139" s="246" t="s">
        <v>304</v>
      </c>
      <c r="F139" s="246" t="s">
        <v>305</v>
      </c>
      <c r="G139" s="246" t="s">
        <v>146</v>
      </c>
      <c r="H139" s="245"/>
      <c r="I139" s="246" t="s">
        <v>301</v>
      </c>
      <c r="J139" s="246" t="s">
        <v>302</v>
      </c>
      <c r="K139" s="246" t="s">
        <v>306</v>
      </c>
      <c r="L139" s="246" t="s">
        <v>307</v>
      </c>
      <c r="M139" s="246" t="s">
        <v>308</v>
      </c>
      <c r="N139" s="246" t="s">
        <v>146</v>
      </c>
      <c r="O139" s="74"/>
      <c r="P139" s="74"/>
      <c r="Q139" s="74"/>
      <c r="R139" s="74"/>
      <c r="S139" s="74"/>
      <c r="T139" s="74"/>
      <c r="U139" s="74"/>
      <c r="V139" s="74"/>
      <c r="W139" s="74"/>
      <c r="X139" s="74"/>
      <c r="Y139" s="74"/>
      <c r="Z139" s="74"/>
    </row>
    <row r="140" ht="14.25" customHeight="1">
      <c r="A140" s="74"/>
      <c r="B140" s="247" t="s">
        <v>137</v>
      </c>
      <c r="C140" s="247" t="s">
        <v>137</v>
      </c>
      <c r="D140" s="247" t="s">
        <v>137</v>
      </c>
      <c r="E140" s="247" t="s">
        <v>137</v>
      </c>
      <c r="F140" s="247" t="s">
        <v>137</v>
      </c>
      <c r="G140" s="247" t="s">
        <v>137</v>
      </c>
      <c r="H140" s="245"/>
      <c r="I140" s="248" t="s">
        <v>309</v>
      </c>
      <c r="J140" s="249" t="str">
        <f>'[1]Inputs and assumptions'!C196</f>
        <v>#REF!</v>
      </c>
      <c r="K140" s="250">
        <v>85.6686535</v>
      </c>
      <c r="L140" s="250" t="str">
        <f t="shared" ref="L140:L153" si="16">K140*'[1]Inputs and assumptions'!$E$25/1000000</f>
        <v>#REF!</v>
      </c>
      <c r="M140" s="250" t="str">
        <f t="shared" ref="M140:M153" si="17">L140*60*60/1000</f>
        <v>#REF!</v>
      </c>
      <c r="N140" s="247" t="s">
        <v>137</v>
      </c>
      <c r="O140" s="74"/>
      <c r="P140" s="74"/>
      <c r="Q140" s="74"/>
      <c r="R140" s="74"/>
      <c r="S140" s="74"/>
      <c r="T140" s="74"/>
      <c r="U140" s="74"/>
      <c r="V140" s="74"/>
      <c r="W140" s="74"/>
      <c r="X140" s="74"/>
      <c r="Y140" s="74"/>
      <c r="Z140" s="74"/>
    </row>
    <row r="141" ht="14.25" customHeight="1">
      <c r="A141" s="74"/>
      <c r="B141" s="245"/>
      <c r="C141" s="245"/>
      <c r="D141" s="245"/>
      <c r="E141" s="245"/>
      <c r="F141" s="245"/>
      <c r="G141" s="245"/>
      <c r="H141" s="245"/>
      <c r="I141" s="248" t="s">
        <v>310</v>
      </c>
      <c r="J141" s="248" t="str">
        <f>'[1]Inputs and assumptions'!C203</f>
        <v>#REF!</v>
      </c>
      <c r="K141" s="251">
        <v>1.32533424</v>
      </c>
      <c r="L141" s="252" t="str">
        <f t="shared" si="16"/>
        <v>#REF!</v>
      </c>
      <c r="M141" s="252" t="str">
        <f t="shared" si="17"/>
        <v>#REF!</v>
      </c>
      <c r="N141" s="247" t="s">
        <v>137</v>
      </c>
      <c r="O141" s="74"/>
      <c r="P141" s="74"/>
      <c r="Q141" s="74"/>
      <c r="R141" s="74"/>
      <c r="S141" s="74"/>
      <c r="T141" s="74"/>
      <c r="U141" s="74"/>
      <c r="V141" s="74"/>
      <c r="W141" s="74"/>
      <c r="X141" s="74"/>
      <c r="Y141" s="74"/>
      <c r="Z141" s="74"/>
    </row>
    <row r="142" ht="14.25" customHeight="1">
      <c r="A142" s="74"/>
      <c r="B142" s="246" t="s">
        <v>8</v>
      </c>
      <c r="C142" s="244"/>
      <c r="D142" s="244"/>
      <c r="E142" s="244"/>
      <c r="F142" s="244"/>
      <c r="G142" s="244"/>
      <c r="H142" s="245"/>
      <c r="I142" s="248" t="s">
        <v>311</v>
      </c>
      <c r="J142" s="248" t="str">
        <f>'[1]Inputs and assumptions'!C205</f>
        <v>#REF!</v>
      </c>
      <c r="K142" s="251">
        <v>3.7869107</v>
      </c>
      <c r="L142" s="252" t="str">
        <f t="shared" si="16"/>
        <v>#REF!</v>
      </c>
      <c r="M142" s="252" t="str">
        <f t="shared" si="17"/>
        <v>#REF!</v>
      </c>
      <c r="N142" s="247" t="s">
        <v>137</v>
      </c>
      <c r="O142" s="74"/>
      <c r="P142" s="74"/>
      <c r="Q142" s="74"/>
      <c r="R142" s="74"/>
      <c r="S142" s="74"/>
      <c r="T142" s="74"/>
      <c r="U142" s="74"/>
      <c r="V142" s="74"/>
      <c r="W142" s="74"/>
      <c r="X142" s="74"/>
      <c r="Y142" s="74"/>
      <c r="Z142" s="74"/>
    </row>
    <row r="143" ht="14.25" customHeight="1">
      <c r="A143" s="74"/>
      <c r="B143" s="246" t="s">
        <v>301</v>
      </c>
      <c r="C143" s="246" t="s">
        <v>302</v>
      </c>
      <c r="D143" s="246" t="s">
        <v>303</v>
      </c>
      <c r="E143" s="246" t="s">
        <v>304</v>
      </c>
      <c r="F143" s="246" t="s">
        <v>305</v>
      </c>
      <c r="G143" s="246" t="s">
        <v>146</v>
      </c>
      <c r="H143" s="245"/>
      <c r="I143" s="247" t="s">
        <v>312</v>
      </c>
      <c r="J143" s="247" t="str">
        <f>'[1]Inputs and assumptions'!C201</f>
        <v>#REF!</v>
      </c>
      <c r="K143" s="253">
        <v>1398.85633</v>
      </c>
      <c r="L143" s="254" t="str">
        <f t="shared" si="16"/>
        <v>#REF!</v>
      </c>
      <c r="M143" s="254" t="str">
        <f t="shared" si="17"/>
        <v>#REF!</v>
      </c>
      <c r="N143" s="247" t="s">
        <v>137</v>
      </c>
      <c r="O143" s="74"/>
      <c r="P143" s="74"/>
      <c r="Q143" s="74"/>
      <c r="R143" s="74"/>
      <c r="S143" s="74"/>
      <c r="T143" s="74"/>
      <c r="U143" s="74"/>
      <c r="V143" s="74"/>
      <c r="W143" s="74"/>
      <c r="X143" s="74"/>
      <c r="Y143" s="74"/>
      <c r="Z143" s="74"/>
    </row>
    <row r="144" ht="14.25" customHeight="1">
      <c r="A144" s="74"/>
      <c r="B144" s="247" t="s">
        <v>313</v>
      </c>
      <c r="C144" s="247" t="str">
        <f>'[1]Inputs and assumptions'!C188</f>
        <v>#REF!</v>
      </c>
      <c r="D144" s="247">
        <v>119018.334990845</v>
      </c>
      <c r="E144" s="247" t="str">
        <f t="shared" ref="E144:E153" si="18">D144*'[1]Inputs and assumptions'!$E$25/1000000</f>
        <v>#REF!</v>
      </c>
      <c r="F144" s="247">
        <v>454.1012776</v>
      </c>
      <c r="G144" s="247" t="s">
        <v>137</v>
      </c>
      <c r="H144" s="245"/>
      <c r="I144" s="247" t="s">
        <v>314</v>
      </c>
      <c r="J144" s="247" t="str">
        <f>'[1]Inputs and assumptions'!C155</f>
        <v>#REF!</v>
      </c>
      <c r="K144" s="247">
        <v>21.4844619</v>
      </c>
      <c r="L144" s="255" t="str">
        <f t="shared" si="16"/>
        <v>#REF!</v>
      </c>
      <c r="M144" s="255" t="str">
        <f t="shared" si="17"/>
        <v>#REF!</v>
      </c>
      <c r="N144" s="247" t="s">
        <v>137</v>
      </c>
      <c r="O144" s="74"/>
      <c r="P144" s="74"/>
      <c r="Q144" s="74"/>
      <c r="R144" s="74"/>
      <c r="S144" s="74"/>
      <c r="T144" s="74"/>
      <c r="U144" s="74"/>
      <c r="V144" s="74"/>
      <c r="W144" s="74"/>
      <c r="X144" s="74"/>
      <c r="Y144" s="74"/>
      <c r="Z144" s="74"/>
    </row>
    <row r="145" ht="14.25" customHeight="1">
      <c r="A145" s="74"/>
      <c r="B145" s="247" t="s">
        <v>315</v>
      </c>
      <c r="C145" s="247" t="str">
        <f>'[1]Inputs and assumptions'!C199</f>
        <v>#REF!</v>
      </c>
      <c r="D145" s="247">
        <v>199902.469308336</v>
      </c>
      <c r="E145" s="247" t="str">
        <f t="shared" si="18"/>
        <v>#REF!</v>
      </c>
      <c r="F145" s="247">
        <v>762.705734399999</v>
      </c>
      <c r="G145" s="247"/>
      <c r="H145" s="245"/>
      <c r="I145" s="247" t="s">
        <v>316</v>
      </c>
      <c r="J145" s="247" t="str">
        <f>'[1]Inputs and assumptions'!C177</f>
        <v>#REF!</v>
      </c>
      <c r="K145" s="247">
        <v>-4262.86995</v>
      </c>
      <c r="L145" s="255" t="str">
        <f t="shared" si="16"/>
        <v>#REF!</v>
      </c>
      <c r="M145" s="255" t="str">
        <f t="shared" si="17"/>
        <v>#REF!</v>
      </c>
      <c r="N145" s="247" t="s">
        <v>317</v>
      </c>
      <c r="O145" s="74"/>
      <c r="P145" s="74"/>
      <c r="Q145" s="74"/>
      <c r="R145" s="74"/>
      <c r="S145" s="74"/>
      <c r="T145" s="74"/>
      <c r="U145" s="74"/>
      <c r="V145" s="74"/>
      <c r="W145" s="74"/>
      <c r="X145" s="74"/>
      <c r="Y145" s="74"/>
      <c r="Z145" s="74"/>
    </row>
    <row r="146" ht="14.25" customHeight="1">
      <c r="A146" s="74"/>
      <c r="B146" s="247" t="s">
        <v>318</v>
      </c>
      <c r="C146" s="247" t="str">
        <f>'[1]Inputs and assumptions'!C228</f>
        <v>#REF!</v>
      </c>
      <c r="D146" s="247">
        <v>8991.34048992815</v>
      </c>
      <c r="E146" s="247" t="str">
        <f t="shared" si="18"/>
        <v>#REF!</v>
      </c>
      <c r="F146" s="247">
        <v>34.305464</v>
      </c>
      <c r="G146" s="247"/>
      <c r="H146" s="245"/>
      <c r="I146" s="247" t="s">
        <v>319</v>
      </c>
      <c r="J146" s="247" t="str">
        <f>'[1]Inputs and assumptions'!C141</f>
        <v>#REF!</v>
      </c>
      <c r="K146" s="247">
        <v>74.1873683</v>
      </c>
      <c r="L146" s="255" t="str">
        <f t="shared" si="16"/>
        <v>#REF!</v>
      </c>
      <c r="M146" s="255" t="str">
        <f t="shared" si="17"/>
        <v>#REF!</v>
      </c>
      <c r="N146" s="247" t="s">
        <v>137</v>
      </c>
      <c r="O146" s="74"/>
      <c r="P146" s="74"/>
      <c r="Q146" s="74"/>
      <c r="R146" s="74"/>
      <c r="S146" s="74"/>
      <c r="T146" s="74"/>
      <c r="U146" s="74"/>
      <c r="V146" s="74"/>
      <c r="W146" s="74"/>
      <c r="X146" s="74"/>
      <c r="Y146" s="74"/>
      <c r="Z146" s="74"/>
    </row>
    <row r="147" ht="14.25" customHeight="1">
      <c r="A147" s="74"/>
      <c r="B147" s="247" t="s">
        <v>320</v>
      </c>
      <c r="C147" s="247" t="str">
        <f>'[1]Inputs and assumptions'!C182</f>
        <v>#REF!</v>
      </c>
      <c r="D147" s="247">
        <v>2420.66559469392</v>
      </c>
      <c r="E147" s="247" t="str">
        <f t="shared" si="18"/>
        <v>#REF!</v>
      </c>
      <c r="F147" s="247">
        <v>9.23578151999999</v>
      </c>
      <c r="G147" s="247"/>
      <c r="H147" s="245"/>
      <c r="I147" s="247" t="s">
        <v>321</v>
      </c>
      <c r="J147" s="247" t="str">
        <f t="shared" ref="J147:J148" si="19">'[1]Inputs and assumptions'!C163</f>
        <v>#REF!</v>
      </c>
      <c r="K147" s="256">
        <v>9.31516092</v>
      </c>
      <c r="L147" s="257" t="str">
        <f t="shared" si="16"/>
        <v>#REF!</v>
      </c>
      <c r="M147" s="257" t="str">
        <f t="shared" si="17"/>
        <v>#REF!</v>
      </c>
      <c r="N147" s="247" t="s">
        <v>137</v>
      </c>
      <c r="O147" s="74"/>
      <c r="P147" s="74"/>
      <c r="Q147" s="74"/>
      <c r="R147" s="74"/>
      <c r="S147" s="74"/>
      <c r="T147" s="74"/>
      <c r="U147" s="74"/>
      <c r="V147" s="74"/>
      <c r="W147" s="74"/>
      <c r="X147" s="74"/>
      <c r="Y147" s="74"/>
      <c r="Z147" s="74"/>
    </row>
    <row r="148" ht="14.25" customHeight="1">
      <c r="A148" s="74"/>
      <c r="B148" s="247" t="s">
        <v>322</v>
      </c>
      <c r="C148" s="247" t="str">
        <f>'[1]Inputs and assumptions'!C174</f>
        <v>#REF!</v>
      </c>
      <c r="D148" s="247">
        <v>64358.6301671903</v>
      </c>
      <c r="E148" s="247" t="str">
        <f t="shared" si="18"/>
        <v>#REF!</v>
      </c>
      <c r="F148" s="247">
        <v>245.5532264</v>
      </c>
      <c r="G148" s="247"/>
      <c r="H148" s="245"/>
      <c r="I148" s="247" t="s">
        <v>323</v>
      </c>
      <c r="J148" s="247" t="str">
        <f t="shared" si="19"/>
        <v>#REF!</v>
      </c>
      <c r="K148" s="247">
        <v>10.8768417</v>
      </c>
      <c r="L148" s="255" t="str">
        <f t="shared" si="16"/>
        <v>#REF!</v>
      </c>
      <c r="M148" s="255" t="str">
        <f t="shared" si="17"/>
        <v>#REF!</v>
      </c>
      <c r="N148" s="247" t="s">
        <v>137</v>
      </c>
      <c r="O148" s="74"/>
      <c r="P148" s="74"/>
      <c r="Q148" s="74"/>
      <c r="R148" s="74"/>
      <c r="S148" s="74"/>
      <c r="T148" s="74"/>
      <c r="U148" s="74"/>
      <c r="V148" s="74"/>
      <c r="W148" s="74"/>
      <c r="X148" s="74"/>
      <c r="Y148" s="74"/>
      <c r="Z148" s="74"/>
    </row>
    <row r="149" ht="14.25" customHeight="1">
      <c r="A149" s="74"/>
      <c r="B149" s="247" t="s">
        <v>324</v>
      </c>
      <c r="C149" s="247" t="str">
        <f t="shared" ref="C149:C150" si="20">'[1]Inputs and assumptions'!C183</f>
        <v>#REF!</v>
      </c>
      <c r="D149" s="247">
        <v>85875.5405624111</v>
      </c>
      <c r="E149" s="247" t="str">
        <f t="shared" si="18"/>
        <v>#REF!</v>
      </c>
      <c r="F149" s="247">
        <v>327.6486152</v>
      </c>
      <c r="G149" s="247"/>
      <c r="H149" s="245"/>
      <c r="I149" s="247" t="s">
        <v>325</v>
      </c>
      <c r="J149" s="247" t="str">
        <f>'[1]Inputs and assumptions'!C158</f>
        <v>#REF!</v>
      </c>
      <c r="K149" s="247">
        <v>10431.3602</v>
      </c>
      <c r="L149" s="258" t="str">
        <f t="shared" si="16"/>
        <v>#REF!</v>
      </c>
      <c r="M149" s="258" t="str">
        <f t="shared" si="17"/>
        <v>#REF!</v>
      </c>
      <c r="N149" s="247" t="s">
        <v>137</v>
      </c>
      <c r="O149" s="74"/>
      <c r="P149" s="74"/>
      <c r="Q149" s="74"/>
      <c r="R149" s="74"/>
      <c r="S149" s="74"/>
      <c r="T149" s="74"/>
      <c r="U149" s="74"/>
      <c r="V149" s="74"/>
      <c r="W149" s="74"/>
      <c r="X149" s="74"/>
      <c r="Y149" s="74"/>
      <c r="Z149" s="74"/>
    </row>
    <row r="150" ht="14.25" customHeight="1">
      <c r="A150" s="74"/>
      <c r="B150" s="247" t="s">
        <v>326</v>
      </c>
      <c r="C150" s="247" t="str">
        <f t="shared" si="20"/>
        <v>#REF!</v>
      </c>
      <c r="D150" s="247">
        <v>48438.7822749312</v>
      </c>
      <c r="E150" s="247" t="str">
        <f t="shared" si="18"/>
        <v>#REF!</v>
      </c>
      <c r="F150" s="247">
        <v>184.8128096</v>
      </c>
      <c r="G150" s="247"/>
      <c r="H150" s="245"/>
      <c r="I150" s="247" t="s">
        <v>327</v>
      </c>
      <c r="J150" s="247" t="str">
        <f>'[1]Inputs and assumptions'!C153</f>
        <v>#REF!</v>
      </c>
      <c r="K150" s="247">
        <v>7385.78505</v>
      </c>
      <c r="L150" s="258" t="str">
        <f t="shared" si="16"/>
        <v>#REF!</v>
      </c>
      <c r="M150" s="258" t="str">
        <f t="shared" si="17"/>
        <v>#REF!</v>
      </c>
      <c r="N150" s="247" t="s">
        <v>137</v>
      </c>
      <c r="O150" s="74"/>
      <c r="P150" s="74"/>
      <c r="Q150" s="74"/>
      <c r="R150" s="74"/>
      <c r="S150" s="74"/>
      <c r="T150" s="74"/>
      <c r="U150" s="74"/>
      <c r="V150" s="74"/>
      <c r="W150" s="74"/>
      <c r="X150" s="74"/>
      <c r="Y150" s="74"/>
      <c r="Z150" s="74"/>
    </row>
    <row r="151" ht="14.25" customHeight="1">
      <c r="A151" s="74"/>
      <c r="B151" s="247" t="s">
        <v>328</v>
      </c>
      <c r="C151" s="247" t="str">
        <f>'[1]Inputs and assumptions'!C186</f>
        <v>#REF!</v>
      </c>
      <c r="D151" s="247">
        <v>374004.191410992</v>
      </c>
      <c r="E151" s="247" t="str">
        <f t="shared" si="18"/>
        <v>#REF!</v>
      </c>
      <c r="F151" s="247">
        <v>1426.971576</v>
      </c>
      <c r="G151" s="247"/>
      <c r="H151" s="245"/>
      <c r="I151" s="247" t="s">
        <v>329</v>
      </c>
      <c r="J151" s="247" t="str">
        <f>'[1]Inputs and assumptions'!C211</f>
        <v>#REF!</v>
      </c>
      <c r="K151" s="247">
        <v>8.6875115</v>
      </c>
      <c r="L151" s="255" t="str">
        <f t="shared" si="16"/>
        <v>#REF!</v>
      </c>
      <c r="M151" s="255" t="str">
        <f t="shared" si="17"/>
        <v>#REF!</v>
      </c>
      <c r="N151" s="247" t="s">
        <v>137</v>
      </c>
      <c r="O151" s="74"/>
      <c r="P151" s="74"/>
      <c r="Q151" s="74"/>
      <c r="R151" s="74"/>
      <c r="S151" s="74"/>
      <c r="T151" s="74"/>
      <c r="U151" s="74"/>
      <c r="V151" s="74"/>
      <c r="W151" s="74"/>
      <c r="X151" s="74"/>
      <c r="Y151" s="74"/>
      <c r="Z151" s="74"/>
    </row>
    <row r="152" ht="14.25" customHeight="1">
      <c r="A152" s="74"/>
      <c r="B152" s="247" t="s">
        <v>330</v>
      </c>
      <c r="C152" s="247" t="str">
        <f>'[1]Inputs and assumptions'!C173</f>
        <v>#REF!</v>
      </c>
      <c r="D152" s="247">
        <v>-332406.782787744</v>
      </c>
      <c r="E152" s="247" t="str">
        <f t="shared" si="18"/>
        <v>#REF!</v>
      </c>
      <c r="F152" s="247">
        <v>-1268.261272</v>
      </c>
      <c r="G152" s="247"/>
      <c r="H152" s="245"/>
      <c r="I152" s="247" t="s">
        <v>331</v>
      </c>
      <c r="J152" s="247" t="str">
        <f>'[1]Inputs and assumptions'!C217</f>
        <v>#REF!</v>
      </c>
      <c r="K152" s="259">
        <v>0.035371928</v>
      </c>
      <c r="L152" s="260" t="str">
        <f t="shared" si="16"/>
        <v>#REF!</v>
      </c>
      <c r="M152" s="257" t="str">
        <f t="shared" si="17"/>
        <v>#REF!</v>
      </c>
      <c r="N152" s="247" t="s">
        <v>137</v>
      </c>
      <c r="O152" s="74"/>
      <c r="P152" s="74"/>
      <c r="Q152" s="74"/>
      <c r="R152" s="74"/>
      <c r="S152" s="74"/>
      <c r="T152" s="74"/>
      <c r="U152" s="74"/>
      <c r="V152" s="74"/>
      <c r="W152" s="74"/>
      <c r="X152" s="74"/>
      <c r="Y152" s="74"/>
      <c r="Z152" s="74"/>
    </row>
    <row r="153" ht="14.25" customHeight="1">
      <c r="A153" s="74"/>
      <c r="B153" s="247" t="s">
        <v>332</v>
      </c>
      <c r="C153" s="247" t="str">
        <f>'[1]Inputs and assumptions'!C206</f>
        <v>#REF!</v>
      </c>
      <c r="D153" s="247">
        <v>69551.4538811952</v>
      </c>
      <c r="E153" s="247" t="str">
        <f t="shared" si="18"/>
        <v>#REF!</v>
      </c>
      <c r="F153" s="247">
        <v>265.5224728</v>
      </c>
      <c r="G153" s="247"/>
      <c r="H153" s="245"/>
      <c r="I153" s="247" t="s">
        <v>333</v>
      </c>
      <c r="J153" s="247" t="str">
        <f>'[1]Inputs and assumptions'!C210</f>
        <v>#REF!</v>
      </c>
      <c r="K153" s="247">
        <v>391.583824</v>
      </c>
      <c r="L153" s="258" t="str">
        <f t="shared" si="16"/>
        <v>#REF!</v>
      </c>
      <c r="M153" s="258" t="str">
        <f t="shared" si="17"/>
        <v>#REF!</v>
      </c>
      <c r="N153" s="247" t="s">
        <v>137</v>
      </c>
      <c r="O153" s="74"/>
      <c r="P153" s="74"/>
      <c r="Q153" s="74"/>
      <c r="R153" s="74"/>
      <c r="S153" s="74"/>
      <c r="T153" s="74"/>
      <c r="U153" s="74"/>
      <c r="V153" s="74"/>
      <c r="W153" s="74"/>
      <c r="X153" s="74"/>
      <c r="Y153" s="74"/>
      <c r="Z153" s="74"/>
    </row>
    <row r="154" ht="49.5" customHeight="1">
      <c r="A154" s="74"/>
      <c r="B154" s="245"/>
      <c r="C154" s="245"/>
      <c r="D154" s="245"/>
      <c r="E154" s="245"/>
      <c r="F154" s="245"/>
      <c r="G154" s="245"/>
      <c r="H154" s="245"/>
      <c r="I154" s="245"/>
      <c r="J154" s="245"/>
      <c r="K154" s="261">
        <f>SUM(K140:K153)</f>
        <v>15560.08307</v>
      </c>
      <c r="L154" s="245"/>
      <c r="M154" s="261" t="str">
        <f>SUM(M140:M153)</f>
        <v>#REF!</v>
      </c>
      <c r="N154" s="245"/>
      <c r="O154" s="74"/>
      <c r="P154" s="74"/>
      <c r="Q154" s="74"/>
      <c r="R154" s="74"/>
      <c r="S154" s="74"/>
      <c r="T154" s="74"/>
      <c r="U154" s="74"/>
      <c r="V154" s="74"/>
      <c r="W154" s="74"/>
      <c r="X154" s="74"/>
      <c r="Y154" s="74"/>
      <c r="Z154" s="74"/>
    </row>
    <row r="155" ht="34.5" customHeight="1">
      <c r="A155" s="74"/>
      <c r="B155" s="245"/>
      <c r="C155" s="245"/>
      <c r="D155" s="245"/>
      <c r="E155" s="245"/>
      <c r="F155" s="245"/>
      <c r="G155" s="245"/>
      <c r="H155" s="245"/>
      <c r="I155" s="246" t="s">
        <v>12</v>
      </c>
      <c r="J155" s="244"/>
      <c r="K155" s="244"/>
      <c r="L155" s="244"/>
      <c r="M155" s="244"/>
      <c r="N155" s="244"/>
      <c r="O155" s="74"/>
      <c r="P155" s="74"/>
      <c r="Q155" s="74"/>
      <c r="R155" s="74"/>
      <c r="S155" s="74"/>
      <c r="T155" s="74"/>
      <c r="U155" s="74"/>
      <c r="V155" s="74"/>
      <c r="W155" s="74"/>
      <c r="X155" s="74"/>
      <c r="Y155" s="74"/>
      <c r="Z155" s="74"/>
    </row>
    <row r="156" ht="34.5" customHeight="1">
      <c r="A156" s="74"/>
      <c r="B156" s="246" t="s">
        <v>10</v>
      </c>
      <c r="C156" s="244"/>
      <c r="D156" s="244"/>
      <c r="E156" s="244"/>
      <c r="F156" s="244"/>
      <c r="G156" s="244"/>
      <c r="H156" s="245"/>
      <c r="I156" s="246" t="s">
        <v>301</v>
      </c>
      <c r="J156" s="246" t="s">
        <v>302</v>
      </c>
      <c r="K156" s="246" t="s">
        <v>303</v>
      </c>
      <c r="L156" s="246" t="s">
        <v>304</v>
      </c>
      <c r="M156" s="246" t="s">
        <v>305</v>
      </c>
      <c r="N156" s="246" t="s">
        <v>146</v>
      </c>
      <c r="O156" s="74"/>
      <c r="P156" s="74"/>
      <c r="Q156" s="74"/>
      <c r="R156" s="74"/>
      <c r="S156" s="74"/>
      <c r="T156" s="74"/>
      <c r="U156" s="74"/>
      <c r="V156" s="74"/>
      <c r="W156" s="74"/>
      <c r="X156" s="74"/>
      <c r="Y156" s="74"/>
      <c r="Z156" s="74"/>
    </row>
    <row r="157" ht="14.25" customHeight="1">
      <c r="A157" s="74"/>
      <c r="B157" s="246" t="s">
        <v>301</v>
      </c>
      <c r="C157" s="246" t="s">
        <v>302</v>
      </c>
      <c r="D157" s="246" t="s">
        <v>303</v>
      </c>
      <c r="E157" s="246" t="s">
        <v>304</v>
      </c>
      <c r="F157" s="246" t="s">
        <v>305</v>
      </c>
      <c r="G157" s="246" t="s">
        <v>146</v>
      </c>
      <c r="H157" s="245"/>
      <c r="I157" s="248" t="s">
        <v>334</v>
      </c>
      <c r="J157" s="249" t="str">
        <f t="shared" ref="J157:J159" si="21">'[1]Inputs and assumptions'!C198</f>
        <v>#REF!</v>
      </c>
      <c r="K157" s="250">
        <v>460121.842877616</v>
      </c>
      <c r="L157" s="250" t="str">
        <f t="shared" ref="L157:L170" si="22">K157*'[1]Inputs and assumptions'!$E$25/1000000</f>
        <v>#REF!</v>
      </c>
      <c r="M157" s="250">
        <v>58668.02648</v>
      </c>
      <c r="N157" s="247" t="s">
        <v>137</v>
      </c>
      <c r="O157" s="74"/>
      <c r="P157" s="74"/>
      <c r="Q157" s="74"/>
      <c r="R157" s="74"/>
      <c r="S157" s="74"/>
      <c r="T157" s="74"/>
      <c r="U157" s="74"/>
      <c r="V157" s="74"/>
      <c r="W157" s="74"/>
      <c r="X157" s="74"/>
      <c r="Y157" s="74"/>
      <c r="Z157" s="74"/>
    </row>
    <row r="158" ht="30.0" customHeight="1">
      <c r="A158" s="74"/>
      <c r="B158" s="247" t="s">
        <v>335</v>
      </c>
      <c r="C158" s="247" t="str">
        <f>'[1]Inputs and assumptions'!C190</f>
        <v>#REF!</v>
      </c>
      <c r="D158" s="247">
        <v>34228.0233884448</v>
      </c>
      <c r="E158" s="247" t="str">
        <f t="shared" ref="E158:E166" si="23">D158*'[1]Inputs and assumptions'!$E$25/1000000</f>
        <v>#REF!</v>
      </c>
      <c r="F158" s="247">
        <v>145.6811664</v>
      </c>
      <c r="G158" s="250" t="s">
        <v>137</v>
      </c>
      <c r="H158" s="245"/>
      <c r="I158" s="248" t="s">
        <v>315</v>
      </c>
      <c r="J158" s="249" t="str">
        <f t="shared" si="21"/>
        <v>#REF!</v>
      </c>
      <c r="K158" s="250">
        <v>223108.936734672</v>
      </c>
      <c r="L158" s="250" t="str">
        <f t="shared" si="22"/>
        <v>#REF!</v>
      </c>
      <c r="M158" s="250">
        <v>28447.5976</v>
      </c>
      <c r="N158" s="247" t="s">
        <v>137</v>
      </c>
      <c r="O158" s="74"/>
      <c r="P158" s="74"/>
      <c r="Q158" s="74"/>
      <c r="R158" s="74"/>
      <c r="S158" s="74"/>
      <c r="T158" s="74"/>
      <c r="U158" s="74"/>
      <c r="V158" s="74"/>
      <c r="W158" s="74"/>
      <c r="X158" s="74"/>
      <c r="Y158" s="74"/>
      <c r="Z158" s="74"/>
    </row>
    <row r="159" ht="14.25" customHeight="1">
      <c r="A159" s="74"/>
      <c r="B159" s="247" t="s">
        <v>334</v>
      </c>
      <c r="C159" s="247" t="str">
        <f>'[1]Inputs and assumptions'!C198</f>
        <v>#REF!</v>
      </c>
      <c r="D159" s="247">
        <v>526739.975257823</v>
      </c>
      <c r="E159" s="247" t="str">
        <f t="shared" si="23"/>
        <v>#REF!</v>
      </c>
      <c r="F159" s="247">
        <v>2241.908424</v>
      </c>
      <c r="G159" s="250" t="s">
        <v>137</v>
      </c>
      <c r="H159" s="245"/>
      <c r="I159" s="248" t="s">
        <v>336</v>
      </c>
      <c r="J159" s="249" t="str">
        <f t="shared" si="21"/>
        <v>#REF!</v>
      </c>
      <c r="K159" s="250">
        <v>4546.72086284016</v>
      </c>
      <c r="L159" s="250" t="str">
        <f t="shared" si="22"/>
        <v>#REF!</v>
      </c>
      <c r="M159" s="250">
        <v>579.7315304</v>
      </c>
      <c r="N159" s="247" t="s">
        <v>137</v>
      </c>
      <c r="O159" s="74"/>
      <c r="P159" s="74"/>
      <c r="Q159" s="74"/>
      <c r="R159" s="74"/>
      <c r="S159" s="74"/>
      <c r="T159" s="74"/>
      <c r="U159" s="74"/>
      <c r="V159" s="74"/>
      <c r="W159" s="74"/>
      <c r="X159" s="74"/>
      <c r="Y159" s="74"/>
      <c r="Z159" s="74"/>
    </row>
    <row r="160" ht="14.25" customHeight="1">
      <c r="A160" s="74"/>
      <c r="B160" s="247" t="s">
        <v>336</v>
      </c>
      <c r="C160" s="247" t="str">
        <f>'[1]Inputs and assumptions'!C200</f>
        <v>#REF!</v>
      </c>
      <c r="D160" s="247">
        <v>37172.001132792</v>
      </c>
      <c r="E160" s="247" t="str">
        <f t="shared" si="23"/>
        <v>#REF!</v>
      </c>
      <c r="F160" s="247">
        <v>158.211312</v>
      </c>
      <c r="G160" s="250" t="s">
        <v>137</v>
      </c>
      <c r="H160" s="245"/>
      <c r="I160" s="248" t="s">
        <v>337</v>
      </c>
      <c r="J160" s="249" t="str">
        <f>'[1]Inputs and assumptions'!C225</f>
        <v>#REF!</v>
      </c>
      <c r="K160" s="250">
        <v>825.166781857583</v>
      </c>
      <c r="L160" s="250" t="str">
        <f t="shared" si="22"/>
        <v>#REF!</v>
      </c>
      <c r="M160" s="250">
        <v>105.2132328</v>
      </c>
      <c r="N160" s="247" t="s">
        <v>137</v>
      </c>
      <c r="O160" s="74"/>
      <c r="P160" s="74"/>
      <c r="Q160" s="74"/>
      <c r="R160" s="74"/>
      <c r="S160" s="74"/>
      <c r="T160" s="74"/>
      <c r="U160" s="74"/>
      <c r="V160" s="74"/>
      <c r="W160" s="74"/>
      <c r="X160" s="74"/>
      <c r="Y160" s="74"/>
      <c r="Z160" s="74"/>
    </row>
    <row r="161" ht="14.25" customHeight="1">
      <c r="A161" s="74"/>
      <c r="B161" s="247" t="s">
        <v>338</v>
      </c>
      <c r="C161" s="247" t="str">
        <f>'[1]Inputs and assumptions'!C187</f>
        <v>#REF!</v>
      </c>
      <c r="D161" s="247">
        <v>17563.8254424048</v>
      </c>
      <c r="E161" s="247" t="str">
        <f t="shared" si="23"/>
        <v>#REF!</v>
      </c>
      <c r="F161" s="247">
        <v>74.7550787199999</v>
      </c>
      <c r="G161" s="250" t="s">
        <v>137</v>
      </c>
      <c r="H161" s="245"/>
      <c r="I161" s="248" t="s">
        <v>339</v>
      </c>
      <c r="J161" s="249" t="str">
        <f>'[1]Inputs and assumptions'!C184</f>
        <v>#REF!</v>
      </c>
      <c r="K161" s="250">
        <v>30410.5643787888</v>
      </c>
      <c r="L161" s="250" t="str">
        <f t="shared" si="22"/>
        <v>#REF!</v>
      </c>
      <c r="M161" s="250">
        <v>3877.51164</v>
      </c>
      <c r="N161" s="247" t="s">
        <v>137</v>
      </c>
      <c r="O161" s="74"/>
      <c r="P161" s="74"/>
      <c r="Q161" s="74"/>
      <c r="R161" s="74"/>
      <c r="S161" s="74"/>
      <c r="T161" s="74"/>
      <c r="U161" s="74"/>
      <c r="V161" s="74"/>
      <c r="W161" s="74"/>
      <c r="X161" s="74"/>
      <c r="Y161" s="74"/>
      <c r="Z161" s="74"/>
    </row>
    <row r="162" ht="14.25" customHeight="1">
      <c r="A162" s="74"/>
      <c r="B162" s="247" t="s">
        <v>340</v>
      </c>
      <c r="C162" s="247" t="str">
        <f>'[1]Inputs and assumptions'!C147</f>
        <v>#REF!</v>
      </c>
      <c r="D162" s="247">
        <v>-206709.13797192</v>
      </c>
      <c r="E162" s="247" t="str">
        <f t="shared" si="23"/>
        <v>#REF!</v>
      </c>
      <c r="F162" s="247">
        <v>-879.794543999999</v>
      </c>
      <c r="G162" s="250" t="s">
        <v>137</v>
      </c>
      <c r="H162" s="245"/>
      <c r="I162" s="248" t="s">
        <v>341</v>
      </c>
      <c r="J162" s="249" t="str">
        <f>'[1]Inputs and assumptions'!C187</f>
        <v>#REF!</v>
      </c>
      <c r="K162" s="250">
        <v>10922.883037295</v>
      </c>
      <c r="L162" s="250" t="str">
        <f t="shared" si="22"/>
        <v>#REF!</v>
      </c>
      <c r="M162" s="250">
        <v>1392.726736</v>
      </c>
      <c r="N162" s="247" t="s">
        <v>137</v>
      </c>
      <c r="O162" s="74"/>
      <c r="P162" s="74"/>
      <c r="Q162" s="74"/>
      <c r="R162" s="74"/>
      <c r="S162" s="74"/>
      <c r="T162" s="74"/>
      <c r="U162" s="74"/>
      <c r="V162" s="74"/>
      <c r="W162" s="74"/>
      <c r="X162" s="74"/>
      <c r="Y162" s="74"/>
      <c r="Z162" s="74"/>
    </row>
    <row r="163" ht="14.25" customHeight="1">
      <c r="A163" s="74"/>
      <c r="B163" s="247" t="s">
        <v>342</v>
      </c>
      <c r="C163" s="247" t="str">
        <f>'[1]Inputs and assumptions'!C172</f>
        <v>#REF!</v>
      </c>
      <c r="D163" s="247">
        <v>-1046586.51410645</v>
      </c>
      <c r="E163" s="247" t="str">
        <f t="shared" si="23"/>
        <v>#REF!</v>
      </c>
      <c r="F163" s="247">
        <v>-4454.47704</v>
      </c>
      <c r="G163" s="250" t="s">
        <v>137</v>
      </c>
      <c r="H163" s="245"/>
      <c r="I163" s="248" t="s">
        <v>343</v>
      </c>
      <c r="J163" s="249" t="str">
        <f>'[1]Inputs and assumptions'!C149</f>
        <v>#REF!</v>
      </c>
      <c r="K163" s="250">
        <v>137562.527889029</v>
      </c>
      <c r="L163" s="250" t="str">
        <f t="shared" si="22"/>
        <v>#REF!</v>
      </c>
      <c r="M163" s="250">
        <v>17539.9672</v>
      </c>
      <c r="N163" s="247" t="s">
        <v>137</v>
      </c>
      <c r="O163" s="74"/>
      <c r="P163" s="74"/>
      <c r="Q163" s="74"/>
      <c r="R163" s="74"/>
      <c r="S163" s="74"/>
      <c r="T163" s="74"/>
      <c r="U163" s="74"/>
      <c r="V163" s="74"/>
      <c r="W163" s="74"/>
      <c r="X163" s="74"/>
      <c r="Y163" s="74"/>
      <c r="Z163" s="74"/>
    </row>
    <row r="164" ht="14.25" customHeight="1">
      <c r="A164" s="74"/>
      <c r="B164" s="247" t="s">
        <v>344</v>
      </c>
      <c r="C164" s="247" t="str">
        <f>'[1]Inputs and assumptions'!C209</f>
        <v>#REF!</v>
      </c>
      <c r="D164" s="247">
        <v>140495.774027616</v>
      </c>
      <c r="E164" s="247" t="str">
        <f t="shared" si="23"/>
        <v>#REF!</v>
      </c>
      <c r="F164" s="247">
        <v>598.532103199999</v>
      </c>
      <c r="G164" s="250" t="s">
        <v>137</v>
      </c>
      <c r="H164" s="245"/>
      <c r="I164" s="248" t="s">
        <v>345</v>
      </c>
      <c r="J164" s="249" t="str">
        <f>'[1]Inputs and assumptions'!C221</f>
        <v>#REF!</v>
      </c>
      <c r="K164" s="250">
        <v>26236.471501008</v>
      </c>
      <c r="L164" s="250" t="str">
        <f t="shared" si="22"/>
        <v>#REF!</v>
      </c>
      <c r="M164" s="250">
        <v>3345.292192</v>
      </c>
      <c r="N164" s="247" t="s">
        <v>137</v>
      </c>
      <c r="O164" s="74"/>
      <c r="P164" s="74"/>
      <c r="Q164" s="74"/>
      <c r="R164" s="74"/>
      <c r="S164" s="74"/>
      <c r="T164" s="74"/>
      <c r="U164" s="74"/>
      <c r="V164" s="74"/>
      <c r="W164" s="74"/>
      <c r="X164" s="74"/>
      <c r="Y164" s="74"/>
      <c r="Z164" s="74"/>
    </row>
    <row r="165" ht="14.25" customHeight="1">
      <c r="A165" s="74"/>
      <c r="B165" s="247" t="s">
        <v>346</v>
      </c>
      <c r="C165" s="247" t="str">
        <f t="shared" ref="C165:C166" si="24">'[1]Inputs and assumptions'!C212</f>
        <v>#REF!</v>
      </c>
      <c r="D165" s="247">
        <v>53721.6394887936</v>
      </c>
      <c r="E165" s="247" t="str">
        <f t="shared" si="23"/>
        <v>#REF!</v>
      </c>
      <c r="F165" s="247">
        <v>228.8618728</v>
      </c>
      <c r="G165" s="250" t="s">
        <v>137</v>
      </c>
      <c r="H165" s="245"/>
      <c r="I165" s="248" t="s">
        <v>347</v>
      </c>
      <c r="J165" s="249" t="str">
        <f>'[1]Inputs and assumptions'!C151</f>
        <v>#REF!</v>
      </c>
      <c r="K165" s="250">
        <v>558923.317858799</v>
      </c>
      <c r="L165" s="250" t="str">
        <f t="shared" si="22"/>
        <v>#REF!</v>
      </c>
      <c r="M165" s="250">
        <v>71265.7495999999</v>
      </c>
      <c r="N165" s="247" t="s">
        <v>137</v>
      </c>
      <c r="O165" s="74"/>
      <c r="P165" s="74"/>
      <c r="Q165" s="74"/>
      <c r="R165" s="74"/>
      <c r="S165" s="74"/>
      <c r="T165" s="74"/>
      <c r="U165" s="74"/>
      <c r="V165" s="74"/>
      <c r="W165" s="74"/>
      <c r="X165" s="74"/>
      <c r="Y165" s="74"/>
      <c r="Z165" s="74"/>
    </row>
    <row r="166" ht="14.25" customHeight="1">
      <c r="A166" s="74"/>
      <c r="B166" s="247" t="s">
        <v>348</v>
      </c>
      <c r="C166" s="247" t="str">
        <f t="shared" si="24"/>
        <v>#REF!</v>
      </c>
      <c r="D166" s="247">
        <v>5053.97705317344</v>
      </c>
      <c r="E166" s="247" t="str">
        <f t="shared" si="23"/>
        <v>#REF!</v>
      </c>
      <c r="F166" s="247">
        <v>21.53066552</v>
      </c>
      <c r="G166" s="250" t="s">
        <v>137</v>
      </c>
      <c r="H166" s="245"/>
      <c r="I166" s="248" t="s">
        <v>327</v>
      </c>
      <c r="J166" s="249" t="str">
        <f>'[1]Inputs and assumptions'!C153</f>
        <v>#REF!</v>
      </c>
      <c r="K166" s="250">
        <v>67650.4748716703</v>
      </c>
      <c r="L166" s="250" t="str">
        <f t="shared" si="22"/>
        <v>#REF!</v>
      </c>
      <c r="M166" s="250">
        <v>8625.80183999999</v>
      </c>
      <c r="N166" s="247" t="s">
        <v>137</v>
      </c>
      <c r="O166" s="74"/>
      <c r="P166" s="74"/>
      <c r="Q166" s="74"/>
      <c r="R166" s="74"/>
      <c r="S166" s="74"/>
      <c r="T166" s="74"/>
      <c r="U166" s="74"/>
      <c r="V166" s="74"/>
      <c r="W166" s="74"/>
      <c r="X166" s="74"/>
      <c r="Y166" s="74"/>
      <c r="Z166" s="74"/>
    </row>
    <row r="167" ht="14.25" customHeight="1">
      <c r="A167" s="74"/>
      <c r="B167" s="245"/>
      <c r="C167" s="245"/>
      <c r="D167" s="245"/>
      <c r="E167" s="245"/>
      <c r="F167" s="245"/>
      <c r="G167" s="245"/>
      <c r="H167" s="245"/>
      <c r="I167" s="248" t="s">
        <v>349</v>
      </c>
      <c r="J167" s="249" t="str">
        <f>'[1]Inputs and assumptions'!C214</f>
        <v>#REF!</v>
      </c>
      <c r="K167" s="250">
        <v>6054.56054811504</v>
      </c>
      <c r="L167" s="250" t="str">
        <f t="shared" si="22"/>
        <v>#REF!</v>
      </c>
      <c r="M167" s="250">
        <v>773.887482399999</v>
      </c>
      <c r="N167" s="247" t="s">
        <v>137</v>
      </c>
      <c r="O167" s="74"/>
      <c r="P167" s="74"/>
      <c r="Q167" s="74"/>
      <c r="R167" s="74"/>
      <c r="S167" s="74"/>
      <c r="T167" s="74"/>
      <c r="U167" s="74"/>
      <c r="V167" s="74"/>
      <c r="W167" s="74"/>
      <c r="X167" s="74"/>
      <c r="Y167" s="74"/>
      <c r="Z167" s="74"/>
    </row>
    <row r="168" ht="14.25" customHeight="1">
      <c r="A168" s="74"/>
      <c r="B168" s="246" t="s">
        <v>11</v>
      </c>
      <c r="C168" s="244"/>
      <c r="D168" s="244"/>
      <c r="E168" s="244"/>
      <c r="F168" s="244"/>
      <c r="G168" s="244"/>
      <c r="H168" s="245"/>
      <c r="I168" s="248" t="s">
        <v>344</v>
      </c>
      <c r="J168" s="249" t="str">
        <f>'[1]Inputs and assumptions'!C209</f>
        <v>#REF!</v>
      </c>
      <c r="K168" s="250">
        <v>94708.9655187983</v>
      </c>
      <c r="L168" s="250" t="str">
        <f t="shared" si="22"/>
        <v>#REF!</v>
      </c>
      <c r="M168" s="250">
        <v>12105.59912</v>
      </c>
      <c r="N168" s="247" t="s">
        <v>137</v>
      </c>
      <c r="O168" s="74"/>
      <c r="P168" s="74"/>
      <c r="Q168" s="74"/>
      <c r="R168" s="74"/>
      <c r="S168" s="74"/>
      <c r="T168" s="74"/>
      <c r="U168" s="74"/>
      <c r="V168" s="74"/>
      <c r="W168" s="74"/>
      <c r="X168" s="74"/>
      <c r="Y168" s="74"/>
      <c r="Z168" s="74"/>
    </row>
    <row r="169" ht="14.25" customHeight="1">
      <c r="A169" s="74"/>
      <c r="B169" s="246" t="s">
        <v>301</v>
      </c>
      <c r="C169" s="246" t="s">
        <v>302</v>
      </c>
      <c r="D169" s="246" t="s">
        <v>303</v>
      </c>
      <c r="E169" s="246" t="s">
        <v>304</v>
      </c>
      <c r="F169" s="246" t="s">
        <v>305</v>
      </c>
      <c r="G169" s="246" t="s">
        <v>146</v>
      </c>
      <c r="H169" s="245"/>
      <c r="I169" s="248" t="s">
        <v>346</v>
      </c>
      <c r="J169" s="249" t="str">
        <f t="shared" ref="J169:J170" si="25">'[1]Inputs and assumptions'!C212</f>
        <v>#REF!</v>
      </c>
      <c r="K169" s="250">
        <v>41408.4452429376</v>
      </c>
      <c r="L169" s="250" t="str">
        <f t="shared" si="22"/>
        <v>#REF!</v>
      </c>
      <c r="M169" s="250">
        <v>5292.78336799999</v>
      </c>
      <c r="N169" s="247" t="s">
        <v>137</v>
      </c>
      <c r="O169" s="74"/>
      <c r="P169" s="74"/>
      <c r="Q169" s="74"/>
      <c r="R169" s="74"/>
      <c r="S169" s="74"/>
      <c r="T169" s="74"/>
      <c r="U169" s="74"/>
      <c r="V169" s="74"/>
      <c r="W169" s="74"/>
      <c r="X169" s="74"/>
      <c r="Y169" s="74"/>
      <c r="Z169" s="74"/>
    </row>
    <row r="170" ht="14.25" customHeight="1">
      <c r="A170" s="74"/>
      <c r="B170" s="247" t="s">
        <v>350</v>
      </c>
      <c r="C170" s="247" t="str">
        <f>'[1]Inputs and assumptions'!C146</f>
        <v>#REF!</v>
      </c>
      <c r="D170" s="247">
        <v>-746530.713056735</v>
      </c>
      <c r="E170" s="247" t="str">
        <f>D170*'[1]Inputs and assumptions'!$E$25/10^6</f>
        <v>#REF!</v>
      </c>
      <c r="F170" s="247">
        <v>-3658.456848</v>
      </c>
      <c r="G170" s="247" t="s">
        <v>137</v>
      </c>
      <c r="H170" s="245"/>
      <c r="I170" s="247" t="s">
        <v>348</v>
      </c>
      <c r="J170" s="247" t="str">
        <f t="shared" si="25"/>
        <v>#REF!</v>
      </c>
      <c r="K170" s="247">
        <v>8822.05445834495</v>
      </c>
      <c r="L170" s="247" t="str">
        <f t="shared" si="22"/>
        <v>#REF!</v>
      </c>
      <c r="M170" s="247">
        <v>1127.625608</v>
      </c>
      <c r="N170" s="247" t="s">
        <v>137</v>
      </c>
      <c r="O170" s="74"/>
      <c r="P170" s="74"/>
      <c r="Q170" s="74"/>
      <c r="R170" s="74"/>
      <c r="S170" s="74"/>
      <c r="T170" s="74"/>
      <c r="U170" s="74"/>
      <c r="V170" s="74"/>
      <c r="W170" s="74"/>
      <c r="X170" s="74"/>
      <c r="Y170" s="74"/>
      <c r="Z170" s="74"/>
    </row>
    <row r="171" ht="14.25" customHeight="1">
      <c r="A171" s="74"/>
      <c r="B171" s="245"/>
      <c r="C171" s="245"/>
      <c r="D171" s="245"/>
      <c r="E171" s="245"/>
      <c r="F171" s="245"/>
      <c r="G171" s="245"/>
      <c r="H171" s="245"/>
      <c r="I171" s="245"/>
      <c r="J171" s="245"/>
      <c r="K171" s="245"/>
      <c r="L171" s="245"/>
      <c r="M171" s="245"/>
      <c r="N171" s="245"/>
      <c r="O171" s="74"/>
      <c r="P171" s="74"/>
      <c r="Q171" s="74"/>
      <c r="R171" s="74"/>
      <c r="S171" s="74"/>
      <c r="T171" s="74"/>
      <c r="U171" s="74"/>
      <c r="V171" s="74"/>
      <c r="W171" s="74"/>
      <c r="X171" s="74"/>
      <c r="Y171" s="74"/>
      <c r="Z171" s="74"/>
    </row>
    <row r="172" ht="14.25" customHeight="1">
      <c r="A172" s="74"/>
      <c r="B172" s="262" t="s">
        <v>351</v>
      </c>
      <c r="C172" s="244"/>
      <c r="D172" s="244"/>
      <c r="E172" s="244"/>
      <c r="F172" s="244"/>
      <c r="G172" s="244"/>
      <c r="H172" s="245"/>
      <c r="I172" s="246" t="s">
        <v>352</v>
      </c>
      <c r="J172" s="244"/>
      <c r="K172" s="244"/>
      <c r="L172" s="244"/>
      <c r="M172" s="244"/>
      <c r="N172" s="244"/>
      <c r="O172" s="74"/>
      <c r="P172" s="74"/>
      <c r="Q172" s="74"/>
      <c r="R172" s="74"/>
      <c r="S172" s="74"/>
      <c r="T172" s="74"/>
      <c r="U172" s="74"/>
      <c r="V172" s="74"/>
      <c r="W172" s="74"/>
      <c r="X172" s="74"/>
      <c r="Y172" s="74"/>
      <c r="Z172" s="74"/>
    </row>
    <row r="173" ht="14.25" customHeight="1">
      <c r="A173" s="74"/>
      <c r="B173" s="246" t="s">
        <v>301</v>
      </c>
      <c r="C173" s="246" t="s">
        <v>302</v>
      </c>
      <c r="D173" s="246" t="s">
        <v>303</v>
      </c>
      <c r="E173" s="246" t="s">
        <v>304</v>
      </c>
      <c r="F173" s="246" t="s">
        <v>305</v>
      </c>
      <c r="G173" s="246" t="s">
        <v>146</v>
      </c>
      <c r="H173" s="245"/>
      <c r="I173" s="246" t="s">
        <v>301</v>
      </c>
      <c r="J173" s="246" t="s">
        <v>302</v>
      </c>
      <c r="K173" s="246" t="s">
        <v>303</v>
      </c>
      <c r="L173" s="246" t="s">
        <v>304</v>
      </c>
      <c r="M173" s="246" t="s">
        <v>305</v>
      </c>
      <c r="N173" s="246" t="s">
        <v>146</v>
      </c>
      <c r="O173" s="74"/>
      <c r="P173" s="74"/>
      <c r="Q173" s="74"/>
      <c r="R173" s="74"/>
      <c r="S173" s="74"/>
      <c r="T173" s="74"/>
      <c r="U173" s="74"/>
      <c r="V173" s="74"/>
      <c r="W173" s="74"/>
      <c r="X173" s="74"/>
      <c r="Y173" s="74"/>
      <c r="Z173" s="74"/>
    </row>
    <row r="174" ht="14.25" customHeight="1">
      <c r="A174" s="74"/>
      <c r="B174" s="247" t="s">
        <v>353</v>
      </c>
      <c r="C174" s="247" t="str">
        <f>'[1]Inputs and assumptions'!C171</f>
        <v>#REF!</v>
      </c>
      <c r="D174" s="247">
        <v>-245273.72095224</v>
      </c>
      <c r="E174" s="247" t="str">
        <f>D174*'[1]Inputs and assumptions'!$E$25/10^6</f>
        <v>#REF!</v>
      </c>
      <c r="F174" s="247">
        <v>-997.699871999999</v>
      </c>
      <c r="G174" s="247" t="s">
        <v>137</v>
      </c>
      <c r="H174" s="245"/>
      <c r="I174" s="247" t="s">
        <v>322</v>
      </c>
      <c r="J174" s="247" t="str">
        <f>'[1]Inputs and assumptions'!C174</f>
        <v>#REF!</v>
      </c>
      <c r="K174" s="247">
        <v>48526.6983927984</v>
      </c>
      <c r="L174" s="247" t="str">
        <f>K174*'[1]Inputs and assumptions'!$E$25/1000000</f>
        <v>#REF!</v>
      </c>
      <c r="M174" s="247">
        <v>741.030584799999</v>
      </c>
      <c r="N174" s="247" t="s">
        <v>137</v>
      </c>
      <c r="O174" s="74"/>
      <c r="P174" s="74"/>
      <c r="Q174" s="74"/>
      <c r="R174" s="74"/>
      <c r="S174" s="74"/>
      <c r="T174" s="74"/>
      <c r="U174" s="74"/>
      <c r="V174" s="74"/>
      <c r="W174" s="74"/>
      <c r="X174" s="74"/>
      <c r="Y174" s="74"/>
      <c r="Z174" s="74"/>
    </row>
    <row r="175" ht="14.25" customHeight="1">
      <c r="A175" s="74"/>
      <c r="B175" s="245"/>
      <c r="C175" s="245"/>
      <c r="D175" s="245"/>
      <c r="E175" s="245"/>
      <c r="F175" s="245"/>
      <c r="G175" s="245"/>
      <c r="H175" s="245"/>
      <c r="I175" s="245"/>
      <c r="J175" s="245"/>
      <c r="K175" s="245"/>
      <c r="L175" s="245"/>
      <c r="M175" s="245"/>
      <c r="N175" s="245"/>
      <c r="O175" s="74"/>
      <c r="P175" s="74"/>
      <c r="Q175" s="74"/>
      <c r="R175" s="74"/>
      <c r="S175" s="74"/>
      <c r="T175" s="74"/>
      <c r="U175" s="74"/>
      <c r="V175" s="74"/>
      <c r="W175" s="74"/>
      <c r="X175" s="74"/>
      <c r="Y175" s="74"/>
      <c r="Z175" s="74"/>
    </row>
    <row r="176" ht="14.25" customHeight="1">
      <c r="A176" s="74"/>
      <c r="B176" s="245"/>
      <c r="C176" s="245"/>
      <c r="D176" s="245"/>
      <c r="E176" s="245"/>
      <c r="F176" s="245"/>
      <c r="G176" s="245"/>
      <c r="H176" s="245"/>
      <c r="I176" s="246" t="s">
        <v>354</v>
      </c>
      <c r="J176" s="244"/>
      <c r="K176" s="244"/>
      <c r="L176" s="244"/>
      <c r="M176" s="244"/>
      <c r="N176" s="244"/>
      <c r="O176" s="74"/>
      <c r="P176" s="74"/>
      <c r="Q176" s="74"/>
      <c r="R176" s="74"/>
      <c r="S176" s="74"/>
      <c r="T176" s="74"/>
      <c r="U176" s="74"/>
      <c r="V176" s="74"/>
      <c r="W176" s="74"/>
      <c r="X176" s="74"/>
      <c r="Y176" s="74"/>
      <c r="Z176" s="74"/>
    </row>
    <row r="177" ht="14.25" customHeight="1">
      <c r="A177" s="74"/>
      <c r="B177" s="245"/>
      <c r="C177" s="245"/>
      <c r="D177" s="245"/>
      <c r="E177" s="245"/>
      <c r="F177" s="245"/>
      <c r="G177" s="245"/>
      <c r="H177" s="245"/>
      <c r="I177" s="263" t="s">
        <v>301</v>
      </c>
      <c r="J177" s="246" t="s">
        <v>302</v>
      </c>
      <c r="K177" s="246" t="s">
        <v>303</v>
      </c>
      <c r="L177" s="246" t="s">
        <v>304</v>
      </c>
      <c r="M177" s="246" t="s">
        <v>305</v>
      </c>
      <c r="N177" s="246" t="s">
        <v>146</v>
      </c>
      <c r="O177" s="74"/>
      <c r="P177" s="74"/>
      <c r="Q177" s="74"/>
      <c r="R177" s="74"/>
      <c r="S177" s="74"/>
      <c r="T177" s="74"/>
      <c r="U177" s="74"/>
      <c r="V177" s="74"/>
      <c r="W177" s="74"/>
      <c r="X177" s="74"/>
      <c r="Y177" s="74"/>
      <c r="Z177" s="74"/>
    </row>
    <row r="178" ht="14.25" customHeight="1">
      <c r="A178" s="74"/>
      <c r="B178" s="264"/>
      <c r="C178" s="245"/>
      <c r="D178" s="245"/>
      <c r="E178" s="245"/>
      <c r="F178" s="245"/>
      <c r="G178" s="245"/>
      <c r="H178" s="245"/>
      <c r="I178" s="265" t="s">
        <v>313</v>
      </c>
      <c r="J178" s="247" t="str">
        <f t="shared" ref="J178:J179" si="26">'[1]Inputs and assumptions'!C188</f>
        <v>#REF!</v>
      </c>
      <c r="K178" s="247">
        <v>117457.007384779</v>
      </c>
      <c r="L178" s="247" t="str">
        <f t="shared" ref="L178:L180" si="27">K178*'[1]Inputs and assumptions'!$E$25/1000000</f>
        <v>#REF!</v>
      </c>
      <c r="M178" s="247">
        <v>1928.599744</v>
      </c>
      <c r="N178" s="247" t="s">
        <v>137</v>
      </c>
      <c r="O178" s="74"/>
      <c r="P178" s="74"/>
      <c r="Q178" s="74"/>
      <c r="R178" s="74"/>
      <c r="S178" s="74"/>
      <c r="T178" s="74"/>
      <c r="U178" s="74"/>
      <c r="V178" s="74"/>
      <c r="W178" s="74"/>
      <c r="X178" s="74"/>
      <c r="Y178" s="74"/>
      <c r="Z178" s="74"/>
    </row>
    <row r="179" ht="14.25" customHeight="1">
      <c r="A179" s="74"/>
      <c r="B179" s="264"/>
      <c r="C179" s="264"/>
      <c r="D179" s="264"/>
      <c r="E179" s="264"/>
      <c r="F179" s="264"/>
      <c r="G179" s="264"/>
      <c r="H179" s="245"/>
      <c r="I179" s="265" t="s">
        <v>355</v>
      </c>
      <c r="J179" s="247" t="str">
        <f t="shared" si="26"/>
        <v>#REF!</v>
      </c>
      <c r="K179" s="247">
        <v>177717.41863416</v>
      </c>
      <c r="L179" s="247" t="str">
        <f t="shared" si="27"/>
        <v>#REF!</v>
      </c>
      <c r="M179" s="247">
        <v>2918.052952</v>
      </c>
      <c r="N179" s="247" t="s">
        <v>137</v>
      </c>
      <c r="O179" s="74"/>
      <c r="P179" s="74"/>
      <c r="Q179" s="74"/>
      <c r="R179" s="74"/>
      <c r="S179" s="74"/>
      <c r="T179" s="74"/>
      <c r="U179" s="74"/>
      <c r="V179" s="74"/>
      <c r="W179" s="74"/>
      <c r="X179" s="74"/>
      <c r="Y179" s="74"/>
      <c r="Z179" s="74"/>
    </row>
    <row r="180" ht="14.25" customHeight="1">
      <c r="A180" s="74"/>
      <c r="B180" s="266"/>
      <c r="C180" s="266"/>
      <c r="D180" s="266"/>
      <c r="E180" s="266"/>
      <c r="F180" s="266"/>
      <c r="G180" s="266"/>
      <c r="H180" s="245"/>
      <c r="I180" s="265" t="s">
        <v>356</v>
      </c>
      <c r="J180" s="247" t="s">
        <v>357</v>
      </c>
      <c r="K180" s="247">
        <f>(4132344/1000)*4.184*3600/1000</f>
        <v>62243.01827</v>
      </c>
      <c r="L180" s="247" t="str">
        <f t="shared" si="27"/>
        <v>#REF!</v>
      </c>
      <c r="M180" s="247" t="str">
        <f>1000*L180/(-N118)</f>
        <v>#REF!</v>
      </c>
      <c r="N180" s="247" t="s">
        <v>358</v>
      </c>
      <c r="O180" s="74"/>
      <c r="P180" s="74"/>
      <c r="Q180" s="74"/>
      <c r="R180" s="74"/>
      <c r="S180" s="74"/>
      <c r="T180" s="74"/>
      <c r="U180" s="74"/>
      <c r="V180" s="74"/>
      <c r="W180" s="74"/>
      <c r="X180" s="74"/>
      <c r="Y180" s="74"/>
      <c r="Z180" s="74"/>
    </row>
    <row r="181" ht="14.25" customHeight="1">
      <c r="A181" s="74"/>
      <c r="B181" s="245"/>
      <c r="C181" s="245"/>
      <c r="D181" s="245"/>
      <c r="E181" s="245"/>
      <c r="F181" s="245"/>
      <c r="G181" s="245"/>
      <c r="H181" s="245"/>
      <c r="I181" s="245"/>
      <c r="J181" s="245"/>
      <c r="K181" s="245"/>
      <c r="L181" s="245"/>
      <c r="M181" s="245"/>
      <c r="N181" s="245"/>
      <c r="O181" s="74"/>
      <c r="P181" s="74"/>
      <c r="Q181" s="74"/>
      <c r="R181" s="74"/>
      <c r="S181" s="74"/>
      <c r="T181" s="74"/>
      <c r="U181" s="74"/>
      <c r="V181" s="74"/>
      <c r="W181" s="74"/>
      <c r="X181" s="74"/>
      <c r="Y181" s="74"/>
      <c r="Z181" s="74"/>
    </row>
    <row r="182" ht="14.25" customHeight="1">
      <c r="A182" s="74"/>
      <c r="B182" s="245"/>
      <c r="C182" s="245"/>
      <c r="D182" s="245"/>
      <c r="E182" s="245"/>
      <c r="F182" s="245"/>
      <c r="G182" s="245"/>
      <c r="H182" s="245"/>
      <c r="I182" s="245"/>
      <c r="J182" s="245"/>
      <c r="K182" s="245"/>
      <c r="L182" s="245"/>
      <c r="M182" s="245"/>
      <c r="N182" s="245"/>
      <c r="O182" s="74"/>
      <c r="P182" s="74"/>
      <c r="Q182" s="74"/>
      <c r="R182" s="74"/>
      <c r="S182" s="74"/>
      <c r="T182" s="74"/>
      <c r="U182" s="74"/>
      <c r="V182" s="74"/>
      <c r="W182" s="74"/>
      <c r="X182" s="74"/>
      <c r="Y182" s="74"/>
      <c r="Z182" s="74"/>
    </row>
    <row r="183" ht="14.25" customHeight="1">
      <c r="A183" s="74"/>
      <c r="B183" s="245"/>
      <c r="C183" s="245"/>
      <c r="D183" s="245"/>
      <c r="E183" s="245"/>
      <c r="F183" s="245"/>
      <c r="G183" s="245"/>
      <c r="H183" s="245"/>
      <c r="I183" s="245"/>
      <c r="J183" s="245"/>
      <c r="K183" s="245"/>
      <c r="L183" s="245"/>
      <c r="M183" s="245"/>
      <c r="N183" s="245"/>
      <c r="O183" s="74"/>
      <c r="P183" s="74"/>
      <c r="Q183" s="74"/>
      <c r="R183" s="74"/>
      <c r="S183" s="74"/>
      <c r="T183" s="74"/>
      <c r="U183" s="74"/>
      <c r="V183" s="74"/>
      <c r="W183" s="74"/>
      <c r="X183" s="74"/>
      <c r="Y183" s="74"/>
      <c r="Z183" s="74"/>
    </row>
    <row r="184" ht="14.25" customHeight="1">
      <c r="A184" s="74"/>
      <c r="B184" s="245"/>
      <c r="C184" s="245"/>
      <c r="D184" s="245"/>
      <c r="E184" s="245"/>
      <c r="F184" s="245"/>
      <c r="G184" s="245"/>
      <c r="H184" s="245"/>
      <c r="I184" s="263" t="s">
        <v>359</v>
      </c>
      <c r="J184" s="244"/>
      <c r="K184" s="244"/>
      <c r="L184" s="244"/>
      <c r="M184" s="244"/>
      <c r="N184" s="244"/>
      <c r="O184" s="74"/>
      <c r="P184" s="74"/>
      <c r="Q184" s="74"/>
      <c r="R184" s="74"/>
      <c r="S184" s="74"/>
      <c r="T184" s="74"/>
      <c r="U184" s="74"/>
      <c r="V184" s="74"/>
      <c r="W184" s="74"/>
      <c r="X184" s="74"/>
      <c r="Y184" s="74"/>
      <c r="Z184" s="74"/>
    </row>
    <row r="185" ht="14.25" customHeight="1">
      <c r="A185" s="74"/>
      <c r="B185" s="245"/>
      <c r="C185" s="245"/>
      <c r="D185" s="245"/>
      <c r="E185" s="245"/>
      <c r="F185" s="245"/>
      <c r="G185" s="245"/>
      <c r="H185" s="245"/>
      <c r="I185" s="246" t="s">
        <v>301</v>
      </c>
      <c r="J185" s="246" t="s">
        <v>302</v>
      </c>
      <c r="K185" s="246" t="s">
        <v>303</v>
      </c>
      <c r="L185" s="246" t="s">
        <v>304</v>
      </c>
      <c r="M185" s="246" t="s">
        <v>305</v>
      </c>
      <c r="N185" s="246" t="s">
        <v>146</v>
      </c>
      <c r="O185" s="74"/>
      <c r="P185" s="74"/>
      <c r="Q185" s="74"/>
      <c r="R185" s="74"/>
      <c r="S185" s="74"/>
      <c r="T185" s="74"/>
      <c r="U185" s="74"/>
      <c r="V185" s="74"/>
      <c r="W185" s="74"/>
      <c r="X185" s="74"/>
      <c r="Y185" s="74"/>
      <c r="Z185" s="74"/>
    </row>
    <row r="186" ht="14.25" customHeight="1">
      <c r="A186" s="74"/>
      <c r="B186" s="245"/>
      <c r="C186" s="245"/>
      <c r="D186" s="245"/>
      <c r="E186" s="245"/>
      <c r="F186" s="245"/>
      <c r="G186" s="245"/>
      <c r="H186" s="245"/>
      <c r="I186" s="247" t="s">
        <v>324</v>
      </c>
      <c r="J186" s="247" t="str">
        <f>'[1]Inputs and assumptions'!C183</f>
        <v>#REF!</v>
      </c>
      <c r="K186" s="247">
        <v>38035.68965712</v>
      </c>
      <c r="L186" s="247" t="str">
        <f t="shared" ref="L186:L190" si="28">K186*'[1]Inputs and assumptions'!$E$25/1000000</f>
        <v>#REF!</v>
      </c>
      <c r="M186" s="247">
        <v>1375.512664</v>
      </c>
      <c r="N186" s="247" t="s">
        <v>137</v>
      </c>
      <c r="O186" s="74"/>
      <c r="P186" s="74"/>
      <c r="Q186" s="74"/>
      <c r="R186" s="74"/>
      <c r="S186" s="74"/>
      <c r="T186" s="74"/>
      <c r="U186" s="74"/>
      <c r="V186" s="74"/>
      <c r="W186" s="74"/>
      <c r="X186" s="74"/>
      <c r="Y186" s="74"/>
      <c r="Z186" s="74"/>
    </row>
    <row r="187" ht="14.25" customHeight="1">
      <c r="A187" s="74"/>
      <c r="B187" s="245"/>
      <c r="C187" s="245"/>
      <c r="D187" s="245"/>
      <c r="E187" s="245"/>
      <c r="F187" s="245"/>
      <c r="G187" s="245"/>
      <c r="H187" s="245"/>
      <c r="I187" s="247" t="s">
        <v>328</v>
      </c>
      <c r="J187" s="247" t="str">
        <f>'[1]Inputs and assumptions'!C186</f>
        <v>#REF!</v>
      </c>
      <c r="K187" s="247">
        <v>386533.077367392</v>
      </c>
      <c r="L187" s="247" t="str">
        <f t="shared" si="28"/>
        <v>#REF!</v>
      </c>
      <c r="M187" s="247">
        <v>13978.48048</v>
      </c>
      <c r="N187" s="247" t="s">
        <v>137</v>
      </c>
      <c r="O187" s="74"/>
      <c r="P187" s="74"/>
      <c r="Q187" s="74"/>
      <c r="R187" s="74"/>
      <c r="S187" s="74"/>
      <c r="T187" s="74"/>
      <c r="U187" s="74"/>
      <c r="V187" s="74"/>
      <c r="W187" s="74"/>
      <c r="X187" s="74"/>
      <c r="Y187" s="74"/>
      <c r="Z187" s="74"/>
    </row>
    <row r="188" ht="14.25" customHeight="1">
      <c r="A188" s="74"/>
      <c r="B188" s="245"/>
      <c r="C188" s="245"/>
      <c r="D188" s="245"/>
      <c r="E188" s="245"/>
      <c r="F188" s="245"/>
      <c r="G188" s="245"/>
      <c r="H188" s="245"/>
      <c r="I188" s="247" t="s">
        <v>360</v>
      </c>
      <c r="J188" s="247" t="str">
        <f>'[1]Inputs and assumptions'!C207</f>
        <v>#REF!</v>
      </c>
      <c r="K188" s="247">
        <v>38870.8624058112</v>
      </c>
      <c r="L188" s="247" t="str">
        <f t="shared" si="28"/>
        <v>#REF!</v>
      </c>
      <c r="M188" s="247">
        <v>1428.716696</v>
      </c>
      <c r="N188" s="247" t="s">
        <v>137</v>
      </c>
      <c r="O188" s="74"/>
      <c r="P188" s="74"/>
      <c r="Q188" s="74"/>
      <c r="R188" s="74"/>
      <c r="S188" s="74"/>
      <c r="T188" s="74"/>
      <c r="U188" s="74"/>
      <c r="V188" s="74"/>
      <c r="W188" s="74"/>
      <c r="X188" s="74"/>
      <c r="Y188" s="74"/>
      <c r="Z188" s="74"/>
    </row>
    <row r="189" ht="14.25" customHeight="1">
      <c r="A189" s="74"/>
      <c r="B189" s="245"/>
      <c r="C189" s="245"/>
      <c r="D189" s="245"/>
      <c r="E189" s="245"/>
      <c r="F189" s="245"/>
      <c r="G189" s="245"/>
      <c r="H189" s="245"/>
      <c r="I189" s="247" t="s">
        <v>361</v>
      </c>
      <c r="J189" s="247" t="str">
        <f>'[1]Inputs and assumptions'!C219</f>
        <v>#REF!</v>
      </c>
      <c r="K189" s="247">
        <v>85373.1374242607</v>
      </c>
      <c r="L189" s="247" t="str">
        <f t="shared" si="28"/>
        <v>#REF!</v>
      </c>
      <c r="M189" s="247">
        <v>3137.929528</v>
      </c>
      <c r="N189" s="247" t="s">
        <v>137</v>
      </c>
      <c r="O189" s="74"/>
      <c r="P189" s="74"/>
      <c r="Q189" s="74"/>
      <c r="R189" s="74"/>
      <c r="S189" s="74"/>
      <c r="T189" s="74"/>
      <c r="U189" s="74"/>
      <c r="V189" s="74"/>
      <c r="W189" s="74"/>
      <c r="X189" s="74"/>
      <c r="Y189" s="74"/>
      <c r="Z189" s="74"/>
    </row>
    <row r="190" ht="14.25" customHeight="1">
      <c r="A190" s="74"/>
      <c r="B190" s="245"/>
      <c r="C190" s="245"/>
      <c r="D190" s="245"/>
      <c r="E190" s="245"/>
      <c r="F190" s="245"/>
      <c r="G190" s="245"/>
      <c r="H190" s="245"/>
      <c r="I190" s="247" t="s">
        <v>362</v>
      </c>
      <c r="J190" s="247" t="s">
        <v>357</v>
      </c>
      <c r="K190" s="247">
        <f>(9455152.7/1000)*4.184*3600/1000</f>
        <v>142417.292</v>
      </c>
      <c r="L190" s="247" t="str">
        <f t="shared" si="28"/>
        <v>#REF!</v>
      </c>
      <c r="M190" s="247" t="str">
        <f>1000*L190/(-N118)</f>
        <v>#REF!</v>
      </c>
      <c r="N190" s="247" t="s">
        <v>358</v>
      </c>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110" t="s">
        <v>163</v>
      </c>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188" t="s">
        <v>363</v>
      </c>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188" t="s">
        <v>165</v>
      </c>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188" t="s">
        <v>166</v>
      </c>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267" t="s">
        <v>167</v>
      </c>
      <c r="C213" s="268" t="s">
        <v>168</v>
      </c>
      <c r="D213" s="269"/>
      <c r="E213" s="270"/>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271" t="s">
        <v>169</v>
      </c>
      <c r="C214" s="272" t="s">
        <v>364</v>
      </c>
      <c r="D214" s="93"/>
      <c r="E214" s="9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273" t="s">
        <v>171</v>
      </c>
      <c r="C215" s="274" t="s">
        <v>365</v>
      </c>
      <c r="E215" s="29"/>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273" t="s">
        <v>173</v>
      </c>
      <c r="C216" s="274" t="s">
        <v>366</v>
      </c>
      <c r="E216" s="29"/>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273" t="s">
        <v>175</v>
      </c>
      <c r="C217" s="274" t="s">
        <v>367</v>
      </c>
      <c r="E217" s="29"/>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273" t="s">
        <v>177</v>
      </c>
      <c r="C218" s="274" t="s">
        <v>368</v>
      </c>
      <c r="E218" s="29"/>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273" t="s">
        <v>179</v>
      </c>
      <c r="C219" s="274" t="s">
        <v>369</v>
      </c>
      <c r="E219" s="29"/>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275" t="s">
        <v>370</v>
      </c>
      <c r="C220" s="274" t="s">
        <v>371</v>
      </c>
      <c r="E220" s="29"/>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275" t="s">
        <v>372</v>
      </c>
      <c r="C221" s="274" t="s">
        <v>373</v>
      </c>
      <c r="E221" s="29"/>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275" t="s">
        <v>374</v>
      </c>
      <c r="C222" s="274" t="s">
        <v>375</v>
      </c>
      <c r="E222" s="29"/>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275" t="s">
        <v>187</v>
      </c>
      <c r="C223" s="274" t="s">
        <v>376</v>
      </c>
      <c r="E223" s="29"/>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275" t="s">
        <v>189</v>
      </c>
      <c r="C224" s="274" t="s">
        <v>377</v>
      </c>
      <c r="E224" s="29"/>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275" t="s">
        <v>191</v>
      </c>
      <c r="C225" s="274" t="s">
        <v>378</v>
      </c>
      <c r="E225" s="29"/>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275" t="s">
        <v>193</v>
      </c>
      <c r="C226" s="274" t="s">
        <v>379</v>
      </c>
      <c r="E226" s="29"/>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275" t="s">
        <v>195</v>
      </c>
      <c r="C227" s="274" t="s">
        <v>380</v>
      </c>
      <c r="E227" s="29"/>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275" t="s">
        <v>197</v>
      </c>
      <c r="C228" s="274" t="s">
        <v>381</v>
      </c>
      <c r="E228" s="29"/>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275" t="s">
        <v>382</v>
      </c>
      <c r="C229" s="274" t="s">
        <v>383</v>
      </c>
      <c r="E229" s="29"/>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275" t="s">
        <v>201</v>
      </c>
      <c r="C230" s="274" t="s">
        <v>384</v>
      </c>
      <c r="E230" s="29"/>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276" t="s">
        <v>203</v>
      </c>
      <c r="C231" s="277" t="s">
        <v>385</v>
      </c>
      <c r="D231" s="95"/>
      <c r="E231" s="38"/>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row r="1001" ht="14.25" customHeight="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row>
    <row r="1002" ht="14.25" customHeight="1">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c r="Y1002" s="74"/>
      <c r="Z1002" s="74"/>
    </row>
    <row r="1003" ht="14.25" customHeight="1">
      <c r="A1003" s="74"/>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c r="Y1003" s="74"/>
      <c r="Z1003" s="74"/>
    </row>
    <row r="1004" ht="14.25" customHeight="1">
      <c r="A1004" s="74"/>
      <c r="B1004" s="74"/>
      <c r="C1004" s="74"/>
      <c r="D1004" s="74"/>
      <c r="E1004" s="74"/>
      <c r="F1004" s="74"/>
      <c r="G1004" s="74"/>
      <c r="H1004" s="74"/>
      <c r="I1004" s="74"/>
      <c r="J1004" s="74"/>
      <c r="K1004" s="74"/>
      <c r="L1004" s="74"/>
      <c r="M1004" s="74"/>
      <c r="N1004" s="74"/>
      <c r="O1004" s="74"/>
      <c r="P1004" s="74"/>
      <c r="Q1004" s="74"/>
      <c r="R1004" s="74"/>
      <c r="S1004" s="74"/>
      <c r="T1004" s="74"/>
      <c r="U1004" s="74"/>
      <c r="V1004" s="74"/>
      <c r="W1004" s="74"/>
      <c r="X1004" s="74"/>
      <c r="Y1004" s="74"/>
      <c r="Z1004" s="74"/>
    </row>
    <row r="1005" ht="14.25" customHeight="1">
      <c r="A1005" s="74"/>
      <c r="B1005" s="74"/>
      <c r="C1005" s="74"/>
      <c r="D1005" s="74"/>
      <c r="E1005" s="74"/>
      <c r="F1005" s="74"/>
      <c r="G1005" s="74"/>
      <c r="H1005" s="74"/>
      <c r="I1005" s="74"/>
      <c r="J1005" s="74"/>
      <c r="K1005" s="74"/>
      <c r="L1005" s="74"/>
      <c r="M1005" s="74"/>
      <c r="N1005" s="74"/>
      <c r="O1005" s="74"/>
      <c r="P1005" s="74"/>
      <c r="Q1005" s="74"/>
      <c r="R1005" s="74"/>
      <c r="S1005" s="74"/>
      <c r="T1005" s="74"/>
      <c r="U1005" s="74"/>
      <c r="V1005" s="74"/>
      <c r="W1005" s="74"/>
      <c r="X1005" s="74"/>
      <c r="Y1005" s="74"/>
      <c r="Z1005" s="74"/>
    </row>
    <row r="1006" ht="14.25" customHeight="1">
      <c r="A1006" s="74"/>
      <c r="B1006" s="74"/>
      <c r="C1006" s="74"/>
      <c r="D1006" s="74"/>
      <c r="E1006" s="74"/>
      <c r="F1006" s="74"/>
      <c r="G1006" s="74"/>
      <c r="H1006" s="74"/>
      <c r="I1006" s="74"/>
      <c r="J1006" s="74"/>
      <c r="K1006" s="74"/>
      <c r="L1006" s="74"/>
      <c r="M1006" s="74"/>
      <c r="N1006" s="74"/>
      <c r="O1006" s="74"/>
      <c r="P1006" s="74"/>
      <c r="Q1006" s="74"/>
      <c r="R1006" s="74"/>
      <c r="S1006" s="74"/>
      <c r="T1006" s="74"/>
      <c r="U1006" s="74"/>
      <c r="V1006" s="74"/>
      <c r="W1006" s="74"/>
      <c r="X1006" s="74"/>
      <c r="Y1006" s="74"/>
      <c r="Z1006" s="74"/>
    </row>
    <row r="1007" ht="14.25" customHeight="1">
      <c r="A1007" s="74"/>
      <c r="B1007" s="74"/>
      <c r="C1007" s="74"/>
      <c r="D1007" s="74"/>
      <c r="E1007" s="74"/>
      <c r="F1007" s="74"/>
      <c r="G1007" s="74"/>
      <c r="H1007" s="74"/>
      <c r="I1007" s="74"/>
      <c r="J1007" s="74"/>
      <c r="K1007" s="74"/>
      <c r="L1007" s="74"/>
      <c r="M1007" s="74"/>
      <c r="N1007" s="74"/>
      <c r="O1007" s="74"/>
      <c r="P1007" s="74"/>
      <c r="Q1007" s="74"/>
      <c r="R1007" s="74"/>
      <c r="S1007" s="74"/>
      <c r="T1007" s="74"/>
      <c r="U1007" s="74"/>
      <c r="V1007" s="74"/>
      <c r="W1007" s="74"/>
      <c r="X1007" s="74"/>
      <c r="Y1007" s="74"/>
      <c r="Z1007" s="74"/>
    </row>
    <row r="1008" ht="14.25" customHeight="1">
      <c r="A1008" s="74"/>
      <c r="B1008" s="74"/>
      <c r="C1008" s="74"/>
      <c r="D1008" s="74"/>
      <c r="E1008" s="74"/>
      <c r="F1008" s="74"/>
      <c r="G1008" s="74"/>
      <c r="H1008" s="74"/>
      <c r="I1008" s="74"/>
      <c r="J1008" s="74"/>
      <c r="K1008" s="74"/>
      <c r="L1008" s="74"/>
      <c r="M1008" s="74"/>
      <c r="N1008" s="74"/>
      <c r="O1008" s="74"/>
      <c r="P1008" s="74"/>
      <c r="Q1008" s="74"/>
      <c r="R1008" s="74"/>
      <c r="S1008" s="74"/>
      <c r="T1008" s="74"/>
      <c r="U1008" s="74"/>
      <c r="V1008" s="74"/>
      <c r="W1008" s="74"/>
      <c r="X1008" s="74"/>
      <c r="Y1008" s="74"/>
      <c r="Z1008" s="74"/>
    </row>
    <row r="1009" ht="14.25" customHeight="1">
      <c r="A1009" s="74"/>
      <c r="B1009" s="74"/>
      <c r="C1009" s="74"/>
      <c r="D1009" s="74"/>
      <c r="E1009" s="74"/>
      <c r="F1009" s="74"/>
      <c r="G1009" s="74"/>
      <c r="H1009" s="74"/>
      <c r="I1009" s="74"/>
      <c r="J1009" s="74"/>
      <c r="K1009" s="74"/>
      <c r="L1009" s="74"/>
      <c r="M1009" s="74"/>
      <c r="N1009" s="74"/>
      <c r="O1009" s="74"/>
      <c r="P1009" s="74"/>
      <c r="Q1009" s="74"/>
      <c r="R1009" s="74"/>
      <c r="S1009" s="74"/>
      <c r="T1009" s="74"/>
      <c r="U1009" s="74"/>
      <c r="V1009" s="74"/>
      <c r="W1009" s="74"/>
      <c r="X1009" s="74"/>
      <c r="Y1009" s="74"/>
      <c r="Z1009" s="74"/>
    </row>
    <row r="1010" ht="14.25" customHeight="1">
      <c r="A1010" s="74"/>
      <c r="B1010" s="74"/>
      <c r="C1010" s="74"/>
      <c r="D1010" s="74"/>
      <c r="E1010" s="74"/>
      <c r="F1010" s="74"/>
      <c r="G1010" s="74"/>
      <c r="H1010" s="74"/>
      <c r="I1010" s="74"/>
      <c r="J1010" s="74"/>
      <c r="K1010" s="74"/>
      <c r="L1010" s="74"/>
      <c r="M1010" s="74"/>
      <c r="N1010" s="74"/>
      <c r="O1010" s="74"/>
      <c r="P1010" s="74"/>
      <c r="Q1010" s="74"/>
      <c r="R1010" s="74"/>
      <c r="S1010" s="74"/>
      <c r="T1010" s="74"/>
      <c r="U1010" s="74"/>
      <c r="V1010" s="74"/>
      <c r="W1010" s="74"/>
      <c r="X1010" s="74"/>
      <c r="Y1010" s="74"/>
      <c r="Z1010" s="74"/>
    </row>
    <row r="1011" ht="14.25" customHeight="1">
      <c r="A1011" s="74"/>
      <c r="B1011" s="74"/>
      <c r="C1011" s="74"/>
      <c r="D1011" s="74"/>
      <c r="E1011" s="74"/>
      <c r="F1011" s="74"/>
      <c r="G1011" s="74"/>
      <c r="H1011" s="74"/>
      <c r="I1011" s="74"/>
      <c r="J1011" s="74"/>
      <c r="K1011" s="74"/>
      <c r="L1011" s="74"/>
      <c r="M1011" s="74"/>
      <c r="N1011" s="74"/>
      <c r="O1011" s="74"/>
      <c r="P1011" s="74"/>
      <c r="Q1011" s="74"/>
      <c r="R1011" s="74"/>
      <c r="S1011" s="74"/>
      <c r="T1011" s="74"/>
      <c r="U1011" s="74"/>
      <c r="V1011" s="74"/>
      <c r="W1011" s="74"/>
      <c r="X1011" s="74"/>
      <c r="Y1011" s="74"/>
      <c r="Z1011" s="74"/>
    </row>
    <row r="1012" ht="14.25" customHeight="1">
      <c r="A1012" s="74"/>
      <c r="B1012" s="74"/>
      <c r="C1012" s="74"/>
      <c r="D1012" s="74"/>
      <c r="E1012" s="74"/>
      <c r="F1012" s="74"/>
      <c r="G1012" s="74"/>
      <c r="H1012" s="74"/>
      <c r="I1012" s="74"/>
      <c r="J1012" s="74"/>
      <c r="K1012" s="74"/>
      <c r="L1012" s="74"/>
      <c r="M1012" s="74"/>
      <c r="N1012" s="74"/>
      <c r="O1012" s="74"/>
      <c r="P1012" s="74"/>
      <c r="Q1012" s="74"/>
      <c r="R1012" s="74"/>
      <c r="S1012" s="74"/>
      <c r="T1012" s="74"/>
      <c r="U1012" s="74"/>
      <c r="V1012" s="74"/>
      <c r="W1012" s="74"/>
      <c r="X1012" s="74"/>
      <c r="Y1012" s="74"/>
      <c r="Z1012" s="74"/>
    </row>
    <row r="1013" ht="14.25" customHeight="1">
      <c r="A1013" s="74"/>
      <c r="B1013" s="74"/>
      <c r="C1013" s="74"/>
      <c r="D1013" s="74"/>
      <c r="E1013" s="74"/>
      <c r="F1013" s="74"/>
      <c r="G1013" s="74"/>
      <c r="H1013" s="74"/>
      <c r="I1013" s="74"/>
      <c r="J1013" s="74"/>
      <c r="K1013" s="74"/>
      <c r="L1013" s="74"/>
      <c r="M1013" s="74"/>
      <c r="N1013" s="74"/>
      <c r="O1013" s="74"/>
      <c r="P1013" s="74"/>
      <c r="Q1013" s="74"/>
      <c r="R1013" s="74"/>
      <c r="S1013" s="74"/>
      <c r="T1013" s="74"/>
      <c r="U1013" s="74"/>
      <c r="V1013" s="74"/>
      <c r="W1013" s="74"/>
      <c r="X1013" s="74"/>
      <c r="Y1013" s="74"/>
      <c r="Z1013" s="74"/>
    </row>
    <row r="1014" ht="14.25" customHeight="1">
      <c r="A1014" s="74"/>
      <c r="B1014" s="74"/>
      <c r="C1014" s="74"/>
      <c r="D1014" s="74"/>
      <c r="E1014" s="74"/>
      <c r="F1014" s="74"/>
      <c r="G1014" s="74"/>
      <c r="H1014" s="74"/>
      <c r="I1014" s="74"/>
      <c r="J1014" s="74"/>
      <c r="K1014" s="74"/>
      <c r="L1014" s="74"/>
      <c r="M1014" s="74"/>
      <c r="N1014" s="74"/>
      <c r="O1014" s="74"/>
      <c r="P1014" s="74"/>
      <c r="Q1014" s="74"/>
      <c r="R1014" s="74"/>
      <c r="S1014" s="74"/>
      <c r="T1014" s="74"/>
      <c r="U1014" s="74"/>
      <c r="V1014" s="74"/>
      <c r="W1014" s="74"/>
      <c r="X1014" s="74"/>
      <c r="Y1014" s="74"/>
      <c r="Z1014" s="74"/>
    </row>
  </sheetData>
  <mergeCells count="30">
    <mergeCell ref="B3:O3"/>
    <mergeCell ref="B4:O4"/>
    <mergeCell ref="B6:C6"/>
    <mergeCell ref="E6:O7"/>
    <mergeCell ref="B7:C7"/>
    <mergeCell ref="B10:O14"/>
    <mergeCell ref="B19:O23"/>
    <mergeCell ref="C79:D79"/>
    <mergeCell ref="K114:L114"/>
    <mergeCell ref="K124:L124"/>
    <mergeCell ref="B137:N137"/>
    <mergeCell ref="B138:C138"/>
    <mergeCell ref="C214:E214"/>
    <mergeCell ref="C215:E215"/>
    <mergeCell ref="C216:E216"/>
    <mergeCell ref="C217:E217"/>
    <mergeCell ref="C218:E218"/>
    <mergeCell ref="C219:E219"/>
    <mergeCell ref="C220:E220"/>
    <mergeCell ref="C221:E221"/>
    <mergeCell ref="C222:E222"/>
    <mergeCell ref="C230:E230"/>
    <mergeCell ref="C231:E231"/>
    <mergeCell ref="C223:E223"/>
    <mergeCell ref="C224:E224"/>
    <mergeCell ref="C225:E225"/>
    <mergeCell ref="C226:E226"/>
    <mergeCell ref="C227:E227"/>
    <mergeCell ref="C228:E228"/>
    <mergeCell ref="C229:E229"/>
  </mergeCells>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30.43"/>
    <col customWidth="1" min="4" max="4" width="42.0"/>
    <col customWidth="1" min="5" max="6" width="23.43"/>
    <col customWidth="1" min="7" max="7" width="20.57"/>
    <col customWidth="1" min="8" max="8" width="20.0"/>
    <col customWidth="1" min="9" max="9" width="31.86"/>
    <col customWidth="1" min="10" max="10" width="27.57"/>
    <col customWidth="1" min="11" max="11" width="21.57"/>
    <col customWidth="1" min="12" max="12" width="27.86"/>
    <col customWidth="1" min="13" max="13" width="13.43"/>
    <col customWidth="1" min="14" max="14" width="19.86"/>
    <col customWidth="1" min="15" max="15" width="28.57"/>
    <col customWidth="1" min="16" max="16" width="31.14"/>
    <col customWidth="1" min="17"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386</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278" t="s">
        <v>85</v>
      </c>
      <c r="C6" s="80"/>
      <c r="D6" s="209" t="s">
        <v>387</v>
      </c>
      <c r="E6" s="82"/>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t="s">
        <v>88</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97" t="s">
        <v>388</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153.0"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92" t="s">
        <v>389</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41.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409.5"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98"/>
      <c r="D26" s="98"/>
      <c r="E26" s="98"/>
      <c r="F26" s="98"/>
      <c r="G26" s="98"/>
      <c r="H26" s="98"/>
      <c r="I26" s="98"/>
      <c r="J26" s="98"/>
      <c r="K26" s="98"/>
      <c r="L26" s="98"/>
      <c r="M26" s="98"/>
      <c r="N26" s="98"/>
      <c r="O26" s="74"/>
      <c r="P26" s="74"/>
      <c r="Q26" s="74"/>
      <c r="R26" s="74"/>
      <c r="S26" s="74"/>
      <c r="T26" s="74"/>
      <c r="U26" s="74"/>
      <c r="V26" s="74"/>
      <c r="W26" s="74"/>
      <c r="X26" s="74"/>
      <c r="Y26" s="74"/>
      <c r="Z26" s="74"/>
    </row>
    <row r="27" ht="14.25" customHeight="1">
      <c r="A27" s="74"/>
      <c r="B27" s="74"/>
      <c r="C27" s="98"/>
      <c r="D27" s="98"/>
      <c r="E27" s="98"/>
      <c r="F27" s="98"/>
      <c r="G27" s="98"/>
      <c r="H27" s="98"/>
      <c r="I27" s="98"/>
      <c r="J27" s="98"/>
      <c r="K27" s="98"/>
      <c r="L27" s="98"/>
      <c r="M27" s="98"/>
      <c r="N27" s="98"/>
      <c r="O27" s="74"/>
      <c r="P27" s="74"/>
      <c r="Q27" s="74"/>
      <c r="R27" s="74"/>
      <c r="S27" s="74"/>
      <c r="T27" s="74"/>
      <c r="U27" s="74"/>
      <c r="V27" s="74"/>
      <c r="W27" s="74"/>
      <c r="X27" s="74"/>
      <c r="Y27" s="74"/>
      <c r="Z27" s="74"/>
    </row>
    <row r="28" ht="14.25" customHeight="1">
      <c r="A28" s="74"/>
      <c r="B28" s="74"/>
      <c r="C28" s="98"/>
      <c r="D28" s="98"/>
      <c r="E28" s="98"/>
      <c r="F28" s="98"/>
      <c r="G28" s="98"/>
      <c r="H28" s="98"/>
      <c r="I28" s="98"/>
      <c r="J28" s="98"/>
      <c r="K28" s="98"/>
      <c r="L28" s="98"/>
      <c r="M28" s="98"/>
      <c r="N28" s="98"/>
      <c r="O28" s="74"/>
      <c r="P28" s="74"/>
      <c r="Q28" s="74"/>
      <c r="R28" s="74"/>
      <c r="S28" s="74"/>
      <c r="T28" s="74"/>
      <c r="U28" s="74"/>
      <c r="V28" s="74"/>
      <c r="W28" s="74"/>
      <c r="X28" s="74"/>
      <c r="Y28" s="74"/>
      <c r="Z28" s="74"/>
    </row>
    <row r="29" ht="14.25" customHeight="1">
      <c r="A29" s="74"/>
      <c r="B29" s="74"/>
      <c r="C29" s="98"/>
      <c r="D29" s="98"/>
      <c r="E29" s="98"/>
      <c r="F29" s="98"/>
      <c r="G29" s="98"/>
      <c r="H29" s="98"/>
      <c r="I29" s="98"/>
      <c r="J29" s="98"/>
      <c r="K29" s="98"/>
      <c r="L29" s="98"/>
      <c r="M29" s="98"/>
      <c r="N29" s="98"/>
      <c r="O29" s="74"/>
      <c r="P29" s="74"/>
      <c r="Q29" s="74"/>
      <c r="R29" s="74"/>
      <c r="S29" s="74"/>
      <c r="T29" s="74"/>
      <c r="U29" s="74"/>
      <c r="V29" s="74"/>
      <c r="W29" s="74"/>
      <c r="X29" s="74"/>
      <c r="Y29" s="74"/>
      <c r="Z29" s="74"/>
    </row>
    <row r="30" ht="14.25" customHeight="1">
      <c r="A30" s="74"/>
      <c r="B30" s="74"/>
      <c r="C30" s="98"/>
      <c r="D30" s="98"/>
      <c r="E30" s="98"/>
      <c r="F30" s="98"/>
      <c r="G30" s="98"/>
      <c r="H30" s="98"/>
      <c r="I30" s="98"/>
      <c r="J30" s="98"/>
      <c r="K30" s="98"/>
      <c r="L30" s="98"/>
      <c r="M30" s="98"/>
      <c r="N30" s="98"/>
      <c r="O30" s="74"/>
      <c r="P30" s="74"/>
      <c r="Q30" s="74"/>
      <c r="R30" s="74"/>
      <c r="S30" s="74"/>
      <c r="T30" s="74"/>
      <c r="U30" s="74"/>
      <c r="V30" s="74"/>
      <c r="W30" s="74"/>
      <c r="X30" s="74"/>
      <c r="Y30" s="74"/>
      <c r="Z30" s="74"/>
    </row>
    <row r="31" ht="14.25" customHeight="1">
      <c r="A31" s="74"/>
      <c r="B31" s="74"/>
      <c r="C31" s="98"/>
      <c r="D31" s="98"/>
      <c r="E31" s="98"/>
      <c r="F31" s="98"/>
      <c r="G31" s="98"/>
      <c r="H31" s="98"/>
      <c r="I31" s="98"/>
      <c r="J31" s="98"/>
      <c r="K31" s="98"/>
      <c r="L31" s="98"/>
      <c r="M31" s="98"/>
      <c r="N31" s="98"/>
      <c r="O31" s="74"/>
      <c r="P31" s="74"/>
      <c r="Q31" s="74"/>
      <c r="R31" s="74"/>
      <c r="S31" s="74"/>
      <c r="T31" s="74"/>
      <c r="U31" s="74"/>
      <c r="V31" s="74"/>
      <c r="W31" s="74"/>
      <c r="X31" s="74"/>
      <c r="Y31" s="74"/>
      <c r="Z31" s="74"/>
    </row>
    <row r="32" ht="14.25" customHeight="1">
      <c r="A32" s="74"/>
      <c r="B32" s="74"/>
      <c r="C32" s="98"/>
      <c r="D32" s="98"/>
      <c r="E32" s="98"/>
      <c r="F32" s="98"/>
      <c r="G32" s="98"/>
      <c r="H32" s="98"/>
      <c r="I32" s="98"/>
      <c r="J32" s="98"/>
      <c r="K32" s="98"/>
      <c r="L32" s="98"/>
      <c r="M32" s="98"/>
      <c r="N32" s="98"/>
      <c r="O32" s="74"/>
      <c r="P32" s="74"/>
      <c r="Q32" s="74"/>
      <c r="R32" s="74"/>
      <c r="S32" s="74"/>
      <c r="T32" s="74"/>
      <c r="U32" s="74"/>
      <c r="V32" s="74"/>
      <c r="W32" s="74"/>
      <c r="X32" s="74"/>
      <c r="Y32" s="74"/>
      <c r="Z32" s="74"/>
    </row>
    <row r="33" ht="14.25" customHeight="1">
      <c r="A33" s="74"/>
      <c r="B33" s="74"/>
      <c r="C33" s="98"/>
      <c r="D33" s="98"/>
      <c r="E33" s="98"/>
      <c r="F33" s="98"/>
      <c r="G33" s="98"/>
      <c r="H33" s="98"/>
      <c r="I33" s="98"/>
      <c r="J33" s="98"/>
      <c r="K33" s="98"/>
      <c r="L33" s="98"/>
      <c r="M33" s="98"/>
      <c r="N33" s="98"/>
      <c r="O33" s="74"/>
      <c r="P33" s="74"/>
      <c r="Q33" s="74"/>
      <c r="R33" s="74"/>
      <c r="S33" s="74"/>
      <c r="T33" s="74"/>
      <c r="U33" s="74"/>
      <c r="V33" s="74"/>
      <c r="W33" s="74"/>
      <c r="X33" s="74"/>
      <c r="Y33" s="74"/>
      <c r="Z33" s="74"/>
    </row>
    <row r="34" ht="14.25" customHeight="1">
      <c r="A34" s="74"/>
      <c r="B34" s="74"/>
      <c r="C34" s="98"/>
      <c r="D34" s="98"/>
      <c r="E34" s="98"/>
      <c r="F34" s="98"/>
      <c r="G34" s="98"/>
      <c r="H34" s="98"/>
      <c r="I34" s="98"/>
      <c r="J34" s="98"/>
      <c r="K34" s="98"/>
      <c r="L34" s="98"/>
      <c r="M34" s="98"/>
      <c r="N34" s="98"/>
      <c r="O34" s="74"/>
      <c r="P34" s="74"/>
      <c r="Q34" s="74"/>
      <c r="R34" s="74"/>
      <c r="S34" s="74"/>
      <c r="T34" s="74"/>
      <c r="U34" s="74"/>
      <c r="V34" s="74"/>
      <c r="W34" s="74"/>
      <c r="X34" s="74"/>
      <c r="Y34" s="74"/>
      <c r="Z34" s="74"/>
    </row>
    <row r="35" ht="14.25" customHeight="1">
      <c r="A35" s="74"/>
      <c r="B35" s="74"/>
      <c r="C35" s="98"/>
      <c r="D35" s="98"/>
      <c r="E35" s="98"/>
      <c r="F35" s="98"/>
      <c r="G35" s="98"/>
      <c r="H35" s="98"/>
      <c r="I35" s="98"/>
      <c r="J35" s="98"/>
      <c r="K35" s="98"/>
      <c r="L35" s="98"/>
      <c r="M35" s="98"/>
      <c r="N35" s="98"/>
      <c r="O35" s="74"/>
      <c r="P35" s="74"/>
      <c r="Q35" s="74"/>
      <c r="R35" s="74"/>
      <c r="S35" s="74"/>
      <c r="T35" s="74"/>
      <c r="U35" s="74"/>
      <c r="V35" s="74"/>
      <c r="W35" s="74"/>
      <c r="X35" s="74"/>
      <c r="Y35" s="74"/>
      <c r="Z35" s="74"/>
    </row>
    <row r="36" ht="14.25" customHeight="1">
      <c r="A36" s="74"/>
      <c r="B36" s="74"/>
      <c r="C36" s="98"/>
      <c r="D36" s="98"/>
      <c r="E36" s="98"/>
      <c r="F36" s="98"/>
      <c r="G36" s="98"/>
      <c r="H36" s="98"/>
      <c r="I36" s="98"/>
      <c r="J36" s="98"/>
      <c r="K36" s="98"/>
      <c r="L36" s="98"/>
      <c r="M36" s="98"/>
      <c r="N36" s="98"/>
      <c r="O36" s="74"/>
      <c r="P36" s="74"/>
      <c r="Q36" s="74"/>
      <c r="R36" s="74"/>
      <c r="S36" s="74"/>
      <c r="T36" s="74"/>
      <c r="U36" s="74"/>
      <c r="V36" s="74"/>
      <c r="W36" s="74"/>
      <c r="X36" s="74"/>
      <c r="Y36" s="74"/>
      <c r="Z36" s="74"/>
    </row>
    <row r="37" ht="14.25" customHeight="1">
      <c r="A37" s="74"/>
      <c r="B37" s="74"/>
      <c r="C37" s="98"/>
      <c r="D37" s="98"/>
      <c r="E37" s="98"/>
      <c r="F37" s="98"/>
      <c r="G37" s="98"/>
      <c r="H37" s="98"/>
      <c r="I37" s="98"/>
      <c r="J37" s="98"/>
      <c r="K37" s="98"/>
      <c r="L37" s="98"/>
      <c r="M37" s="98"/>
      <c r="N37" s="98"/>
      <c r="O37" s="74"/>
      <c r="P37" s="74"/>
      <c r="Q37" s="74"/>
      <c r="R37" s="74"/>
      <c r="S37" s="74"/>
      <c r="T37" s="74"/>
      <c r="U37" s="74"/>
      <c r="V37" s="74"/>
      <c r="W37" s="74"/>
      <c r="X37" s="74"/>
      <c r="Y37" s="74"/>
      <c r="Z37" s="74"/>
    </row>
    <row r="38" ht="14.25" customHeight="1">
      <c r="A38" s="74"/>
      <c r="B38" s="74"/>
      <c r="C38" s="98"/>
      <c r="D38" s="98"/>
      <c r="E38" s="98"/>
      <c r="F38" s="98"/>
      <c r="G38" s="98"/>
      <c r="H38" s="98"/>
      <c r="I38" s="98"/>
      <c r="J38" s="98"/>
      <c r="K38" s="98"/>
      <c r="L38" s="98"/>
      <c r="M38" s="98"/>
      <c r="N38" s="98"/>
      <c r="O38" s="74"/>
      <c r="P38" s="74"/>
      <c r="Q38" s="74"/>
      <c r="R38" s="74"/>
      <c r="S38" s="74"/>
      <c r="T38" s="74"/>
      <c r="U38" s="74"/>
      <c r="V38" s="74"/>
      <c r="W38" s="74"/>
      <c r="X38" s="74"/>
      <c r="Y38" s="74"/>
      <c r="Z38" s="74"/>
    </row>
    <row r="39" ht="14.25" customHeight="1">
      <c r="A39" s="74"/>
      <c r="B39" s="74"/>
      <c r="C39" s="98"/>
      <c r="D39" s="98"/>
      <c r="E39" s="98"/>
      <c r="F39" s="98"/>
      <c r="G39" s="98"/>
      <c r="H39" s="98"/>
      <c r="I39" s="98"/>
      <c r="J39" s="98"/>
      <c r="K39" s="98"/>
      <c r="L39" s="98"/>
      <c r="M39" s="98"/>
      <c r="N39" s="98"/>
      <c r="O39" s="74"/>
      <c r="P39" s="74"/>
      <c r="Q39" s="74"/>
      <c r="R39" s="74"/>
      <c r="S39" s="74"/>
      <c r="T39" s="74"/>
      <c r="U39" s="74"/>
      <c r="V39" s="74"/>
      <c r="W39" s="74"/>
      <c r="X39" s="74"/>
      <c r="Y39" s="74"/>
      <c r="Z39" s="74"/>
    </row>
    <row r="40" ht="14.25" customHeight="1">
      <c r="A40" s="74"/>
      <c r="B40" s="74"/>
      <c r="C40" s="98"/>
      <c r="D40" s="98"/>
      <c r="E40" s="98"/>
      <c r="F40" s="98"/>
      <c r="G40" s="98"/>
      <c r="H40" s="98"/>
      <c r="I40" s="98"/>
      <c r="J40" s="98"/>
      <c r="K40" s="98"/>
      <c r="L40" s="98"/>
      <c r="M40" s="98"/>
      <c r="N40" s="98"/>
      <c r="O40" s="74"/>
      <c r="P40" s="74"/>
      <c r="Q40" s="74"/>
      <c r="R40" s="74"/>
      <c r="S40" s="74"/>
      <c r="T40" s="74"/>
      <c r="U40" s="74"/>
      <c r="V40" s="74"/>
      <c r="W40" s="74"/>
      <c r="X40" s="74"/>
      <c r="Y40" s="74"/>
      <c r="Z40" s="74"/>
    </row>
    <row r="41" ht="14.25" customHeight="1">
      <c r="A41" s="74"/>
      <c r="B41" s="74"/>
      <c r="C41" s="98"/>
      <c r="D41" s="98"/>
      <c r="E41" s="98"/>
      <c r="F41" s="98"/>
      <c r="G41" s="98"/>
      <c r="H41" s="98"/>
      <c r="I41" s="98"/>
      <c r="J41" s="98"/>
      <c r="K41" s="98"/>
      <c r="L41" s="98"/>
      <c r="M41" s="98"/>
      <c r="N41" s="98"/>
      <c r="O41" s="74"/>
      <c r="P41" s="74"/>
      <c r="Q41" s="74"/>
      <c r="R41" s="74"/>
      <c r="S41" s="74"/>
      <c r="T41" s="74"/>
      <c r="U41" s="74"/>
      <c r="V41" s="74"/>
      <c r="W41" s="74"/>
      <c r="X41" s="74"/>
      <c r="Y41" s="74"/>
      <c r="Z41" s="74"/>
    </row>
    <row r="42" ht="14.25" customHeight="1">
      <c r="A42" s="74"/>
      <c r="B42" s="74"/>
      <c r="C42" s="98"/>
      <c r="D42" s="98"/>
      <c r="E42" s="98"/>
      <c r="F42" s="98"/>
      <c r="G42" s="98"/>
      <c r="H42" s="98"/>
      <c r="I42" s="98"/>
      <c r="J42" s="98"/>
      <c r="K42" s="98"/>
      <c r="L42" s="98"/>
      <c r="M42" s="98"/>
      <c r="N42" s="98"/>
      <c r="O42" s="74"/>
      <c r="P42" s="74"/>
      <c r="Q42" s="74"/>
      <c r="R42" s="74"/>
      <c r="S42" s="74"/>
      <c r="T42" s="74"/>
      <c r="U42" s="74"/>
      <c r="V42" s="74"/>
      <c r="W42" s="74"/>
      <c r="X42" s="74"/>
      <c r="Y42" s="74"/>
      <c r="Z42" s="74"/>
    </row>
    <row r="43" ht="14.25" customHeight="1">
      <c r="A43" s="74"/>
      <c r="B43" s="74"/>
      <c r="C43" s="98"/>
      <c r="D43" s="98"/>
      <c r="E43" s="98"/>
      <c r="F43" s="98"/>
      <c r="G43" s="98"/>
      <c r="H43" s="98"/>
      <c r="I43" s="98"/>
      <c r="J43" s="98"/>
      <c r="K43" s="98"/>
      <c r="L43" s="98"/>
      <c r="M43" s="98"/>
      <c r="N43" s="98"/>
      <c r="O43" s="74"/>
      <c r="P43" s="74"/>
      <c r="Q43" s="74"/>
      <c r="R43" s="74"/>
      <c r="S43" s="74"/>
      <c r="T43" s="74"/>
      <c r="U43" s="74"/>
      <c r="V43" s="74"/>
      <c r="W43" s="74"/>
      <c r="X43" s="74"/>
      <c r="Y43" s="74"/>
      <c r="Z43" s="74"/>
    </row>
    <row r="44" ht="14.25" customHeight="1">
      <c r="A44" s="74"/>
      <c r="B44" s="74"/>
      <c r="C44" s="98"/>
      <c r="D44" s="98"/>
      <c r="E44" s="98"/>
      <c r="F44" s="98"/>
      <c r="G44" s="98"/>
      <c r="H44" s="98"/>
      <c r="I44" s="98"/>
      <c r="J44" s="98"/>
      <c r="K44" s="98"/>
      <c r="L44" s="98"/>
      <c r="M44" s="98"/>
      <c r="N44" s="98"/>
      <c r="O44" s="74"/>
      <c r="P44" s="74"/>
      <c r="Q44" s="74"/>
      <c r="R44" s="74"/>
      <c r="S44" s="74"/>
      <c r="T44" s="74"/>
      <c r="U44" s="74"/>
      <c r="V44" s="74"/>
      <c r="W44" s="74"/>
      <c r="X44" s="74"/>
      <c r="Y44" s="74"/>
      <c r="Z44" s="74"/>
    </row>
    <row r="45" ht="14.25" customHeight="1">
      <c r="A45" s="74"/>
      <c r="B45" s="74"/>
      <c r="C45" s="98"/>
      <c r="D45" s="98"/>
      <c r="E45" s="98"/>
      <c r="F45" s="98"/>
      <c r="G45" s="98"/>
      <c r="H45" s="98"/>
      <c r="I45" s="98"/>
      <c r="J45" s="98"/>
      <c r="K45" s="98"/>
      <c r="L45" s="98"/>
      <c r="M45" s="98"/>
      <c r="N45" s="98"/>
      <c r="O45" s="74"/>
      <c r="P45" s="74"/>
      <c r="Q45" s="74"/>
      <c r="R45" s="74"/>
      <c r="S45" s="74"/>
      <c r="T45" s="74"/>
      <c r="U45" s="74"/>
      <c r="V45" s="74"/>
      <c r="W45" s="74"/>
      <c r="X45" s="74"/>
      <c r="Y45" s="74"/>
      <c r="Z45" s="74"/>
    </row>
    <row r="46" ht="14.25" customHeight="1">
      <c r="A46" s="74"/>
      <c r="B46" s="74"/>
      <c r="C46" s="98"/>
      <c r="D46" s="98"/>
      <c r="E46" s="98"/>
      <c r="F46" s="98"/>
      <c r="G46" s="98"/>
      <c r="H46" s="98"/>
      <c r="I46" s="98"/>
      <c r="J46" s="98"/>
      <c r="K46" s="98"/>
      <c r="L46" s="98"/>
      <c r="M46" s="98"/>
      <c r="N46" s="98"/>
      <c r="O46" s="74"/>
      <c r="P46" s="74"/>
      <c r="Q46" s="74"/>
      <c r="R46" s="74"/>
      <c r="S46" s="74"/>
      <c r="T46" s="74"/>
      <c r="U46" s="74"/>
      <c r="V46" s="74"/>
      <c r="W46" s="74"/>
      <c r="X46" s="74"/>
      <c r="Y46" s="74"/>
      <c r="Z46" s="74"/>
    </row>
    <row r="47" ht="14.25" customHeight="1">
      <c r="A47" s="74"/>
      <c r="B47" s="74"/>
      <c r="C47" s="98"/>
      <c r="D47" s="98"/>
      <c r="E47" s="98"/>
      <c r="F47" s="98"/>
      <c r="G47" s="98"/>
      <c r="H47" s="98"/>
      <c r="I47" s="98"/>
      <c r="J47" s="98"/>
      <c r="K47" s="98"/>
      <c r="L47" s="98"/>
      <c r="M47" s="98"/>
      <c r="N47" s="98"/>
      <c r="O47" s="74"/>
      <c r="P47" s="74"/>
      <c r="Q47" s="74"/>
      <c r="R47" s="74"/>
      <c r="S47" s="74"/>
      <c r="T47" s="74"/>
      <c r="U47" s="74"/>
      <c r="V47" s="74"/>
      <c r="W47" s="74"/>
      <c r="X47" s="74"/>
      <c r="Y47" s="74"/>
      <c r="Z47" s="74"/>
    </row>
    <row r="48" ht="14.25" customHeight="1">
      <c r="A48" s="74"/>
      <c r="B48" s="74"/>
      <c r="C48" s="98"/>
      <c r="D48" s="98"/>
      <c r="E48" s="98"/>
      <c r="F48" s="98"/>
      <c r="G48" s="98"/>
      <c r="H48" s="98"/>
      <c r="I48" s="98"/>
      <c r="J48" s="98"/>
      <c r="K48" s="98"/>
      <c r="L48" s="98"/>
      <c r="M48" s="98"/>
      <c r="N48" s="98"/>
      <c r="O48" s="74"/>
      <c r="P48" s="74"/>
      <c r="Q48" s="74"/>
      <c r="R48" s="74"/>
      <c r="S48" s="74"/>
      <c r="T48" s="74"/>
      <c r="U48" s="74"/>
      <c r="V48" s="74"/>
      <c r="W48" s="74"/>
      <c r="X48" s="74"/>
      <c r="Y48" s="74"/>
      <c r="Z48" s="74"/>
    </row>
    <row r="49" ht="14.25" customHeight="1">
      <c r="A49" s="74"/>
      <c r="B49" s="74"/>
      <c r="C49" s="98"/>
      <c r="D49" s="98"/>
      <c r="E49" s="98"/>
      <c r="F49" s="98"/>
      <c r="G49" s="98"/>
      <c r="H49" s="98"/>
      <c r="I49" s="98"/>
      <c r="J49" s="98"/>
      <c r="K49" s="98"/>
      <c r="L49" s="98"/>
      <c r="M49" s="98"/>
      <c r="N49" s="98"/>
      <c r="O49" s="105"/>
      <c r="P49" s="74"/>
      <c r="Q49" s="74"/>
      <c r="R49" s="74"/>
      <c r="S49" s="74"/>
      <c r="T49" s="74"/>
      <c r="U49" s="74"/>
      <c r="V49" s="74"/>
      <c r="W49" s="74"/>
      <c r="X49" s="74"/>
      <c r="Y49" s="74"/>
      <c r="Z49" s="74"/>
    </row>
    <row r="50" ht="14.25" customHeight="1">
      <c r="A50" s="74"/>
      <c r="B50" s="74"/>
      <c r="C50" s="98"/>
      <c r="D50" s="98"/>
      <c r="E50" s="98"/>
      <c r="F50" s="102"/>
      <c r="G50" s="102"/>
      <c r="H50" s="98"/>
      <c r="I50" s="98"/>
      <c r="J50" s="98"/>
      <c r="K50" s="98"/>
      <c r="L50" s="103"/>
      <c r="M50" s="98"/>
      <c r="N50" s="279"/>
      <c r="O50" s="105"/>
      <c r="P50" s="74"/>
      <c r="Q50" s="74"/>
      <c r="R50" s="74"/>
      <c r="S50" s="74"/>
      <c r="T50" s="74"/>
      <c r="U50" s="74"/>
      <c r="V50" s="74"/>
      <c r="W50" s="74"/>
      <c r="X50" s="74"/>
      <c r="Y50" s="74"/>
      <c r="Z50" s="74"/>
    </row>
    <row r="51" ht="14.25" customHeight="1">
      <c r="A51" s="74"/>
      <c r="B51" s="74"/>
      <c r="C51" s="98"/>
      <c r="D51" s="98"/>
      <c r="E51" s="98"/>
      <c r="F51" s="106"/>
      <c r="G51" s="103"/>
      <c r="H51" s="98"/>
      <c r="I51" s="98"/>
      <c r="J51" s="98"/>
      <c r="K51" s="98"/>
      <c r="L51" s="107"/>
      <c r="M51" s="107"/>
      <c r="N51" s="280"/>
      <c r="O51" s="74"/>
      <c r="P51" s="74"/>
      <c r="Q51" s="74"/>
      <c r="R51" s="74"/>
      <c r="S51" s="74"/>
      <c r="T51" s="74"/>
      <c r="U51" s="74"/>
      <c r="V51" s="74"/>
      <c r="W51" s="74"/>
      <c r="X51" s="74"/>
      <c r="Y51" s="74"/>
      <c r="Z51" s="74"/>
    </row>
    <row r="52" ht="14.25" customHeight="1">
      <c r="A52" s="74"/>
      <c r="B52" s="74"/>
      <c r="C52" s="98"/>
      <c r="D52" s="98"/>
      <c r="E52" s="98"/>
      <c r="F52" s="106"/>
      <c r="G52" s="103"/>
      <c r="H52" s="98"/>
      <c r="I52" s="98"/>
      <c r="J52" s="98"/>
      <c r="K52" s="98"/>
      <c r="L52" s="98"/>
      <c r="M52" s="98"/>
      <c r="N52" s="98"/>
      <c r="O52" s="74"/>
      <c r="P52" s="74"/>
      <c r="Q52" s="74"/>
      <c r="R52" s="74"/>
      <c r="S52" s="74"/>
      <c r="T52" s="74"/>
      <c r="U52" s="74"/>
      <c r="V52" s="74"/>
      <c r="W52" s="74"/>
      <c r="X52" s="74"/>
      <c r="Y52" s="74"/>
      <c r="Z52" s="74"/>
    </row>
    <row r="53" ht="14.25" customHeight="1">
      <c r="A53" s="74"/>
      <c r="B53" s="74"/>
      <c r="C53" s="98"/>
      <c r="D53" s="98"/>
      <c r="E53" s="98"/>
      <c r="F53" s="106"/>
      <c r="G53" s="103"/>
      <c r="H53" s="98"/>
      <c r="I53" s="98"/>
      <c r="J53" s="98"/>
      <c r="K53" s="98"/>
      <c r="L53" s="98"/>
      <c r="M53" s="98"/>
      <c r="N53" s="98"/>
      <c r="O53" s="74"/>
      <c r="P53" s="74"/>
      <c r="Q53" s="74"/>
      <c r="R53" s="74"/>
      <c r="S53" s="74"/>
      <c r="T53" s="74"/>
      <c r="U53" s="74"/>
      <c r="V53" s="74"/>
      <c r="W53" s="74"/>
      <c r="X53" s="74"/>
      <c r="Y53" s="74"/>
      <c r="Z53" s="74"/>
    </row>
    <row r="54" ht="14.25" customHeight="1">
      <c r="A54" s="74"/>
      <c r="B54" s="74"/>
      <c r="C54" s="98"/>
      <c r="D54" s="98"/>
      <c r="E54" s="98"/>
      <c r="F54" s="106"/>
      <c r="G54" s="103"/>
      <c r="H54" s="98"/>
      <c r="I54" s="98"/>
      <c r="J54" s="98"/>
      <c r="K54" s="98"/>
      <c r="L54" s="98"/>
      <c r="M54" s="98"/>
      <c r="N54" s="98"/>
      <c r="O54" s="74"/>
      <c r="P54" s="74"/>
      <c r="Q54" s="74"/>
      <c r="R54" s="74"/>
      <c r="S54" s="74"/>
      <c r="T54" s="74"/>
      <c r="U54" s="74"/>
      <c r="V54" s="74"/>
      <c r="W54" s="74"/>
      <c r="X54" s="74"/>
      <c r="Y54" s="74"/>
      <c r="Z54" s="74"/>
    </row>
    <row r="55" ht="14.25" customHeight="1">
      <c r="A55" s="74"/>
      <c r="B55" s="74"/>
      <c r="C55" s="98"/>
      <c r="D55" s="98"/>
      <c r="E55" s="98"/>
      <c r="F55" s="106"/>
      <c r="G55" s="103"/>
      <c r="H55" s="98"/>
      <c r="I55" s="98"/>
      <c r="J55" s="98"/>
      <c r="K55" s="98"/>
      <c r="L55" s="98"/>
      <c r="M55" s="98"/>
      <c r="N55" s="98"/>
      <c r="O55" s="74"/>
      <c r="P55" s="74"/>
      <c r="Q55" s="74"/>
      <c r="R55" s="74"/>
      <c r="S55" s="74"/>
      <c r="T55" s="74"/>
      <c r="U55" s="74"/>
      <c r="V55" s="74"/>
      <c r="W55" s="74"/>
      <c r="X55" s="74"/>
      <c r="Y55" s="74"/>
      <c r="Z55" s="74"/>
    </row>
    <row r="56" ht="14.25" customHeight="1">
      <c r="A56" s="74"/>
      <c r="B56" s="74"/>
      <c r="C56" s="98"/>
      <c r="D56" s="98"/>
      <c r="E56" s="98"/>
      <c r="F56" s="106"/>
      <c r="G56" s="103"/>
      <c r="H56" s="98"/>
      <c r="I56" s="98"/>
      <c r="J56" s="98"/>
      <c r="K56" s="98"/>
      <c r="L56" s="98"/>
      <c r="M56" s="98"/>
      <c r="N56" s="98"/>
      <c r="O56" s="74"/>
      <c r="P56" s="74"/>
      <c r="Q56" s="74"/>
      <c r="R56" s="74"/>
      <c r="S56" s="74"/>
      <c r="T56" s="74"/>
      <c r="U56" s="74"/>
      <c r="V56" s="74"/>
      <c r="W56" s="74"/>
      <c r="X56" s="74"/>
      <c r="Y56" s="74"/>
      <c r="Z56" s="74"/>
    </row>
    <row r="57" ht="14.25" customHeight="1">
      <c r="A57" s="74"/>
      <c r="B57" s="74"/>
      <c r="C57" s="98"/>
      <c r="D57" s="98"/>
      <c r="E57" s="98"/>
      <c r="F57" s="98"/>
      <c r="G57" s="98"/>
      <c r="H57" s="98"/>
      <c r="I57" s="98"/>
      <c r="J57" s="98"/>
      <c r="K57" s="98"/>
      <c r="L57" s="98"/>
      <c r="M57" s="98"/>
      <c r="N57" s="98"/>
      <c r="O57" s="74"/>
      <c r="P57" s="74"/>
      <c r="Q57" s="74"/>
      <c r="R57" s="74"/>
      <c r="S57" s="74"/>
      <c r="T57" s="74"/>
      <c r="U57" s="74"/>
      <c r="V57" s="74"/>
      <c r="W57" s="74"/>
      <c r="X57" s="74"/>
      <c r="Y57" s="74"/>
      <c r="Z57" s="74"/>
    </row>
    <row r="58" ht="14.25" customHeight="1">
      <c r="A58" s="74"/>
      <c r="B58" s="74"/>
      <c r="C58" s="98"/>
      <c r="D58" s="98"/>
      <c r="E58" s="98"/>
      <c r="F58" s="98"/>
      <c r="G58" s="98"/>
      <c r="H58" s="98"/>
      <c r="I58" s="98"/>
      <c r="J58" s="98"/>
      <c r="K58" s="98"/>
      <c r="L58" s="98"/>
      <c r="M58" s="98"/>
      <c r="N58" s="98"/>
      <c r="O58" s="100" t="s">
        <v>93</v>
      </c>
      <c r="P58" s="74"/>
      <c r="Q58" s="74"/>
      <c r="R58" s="74"/>
      <c r="S58" s="74"/>
      <c r="T58" s="74"/>
      <c r="U58" s="74"/>
      <c r="V58" s="74"/>
      <c r="W58" s="74"/>
      <c r="X58" s="74"/>
      <c r="Y58" s="74"/>
      <c r="Z58" s="74"/>
    </row>
    <row r="59" ht="14.25" customHeight="1">
      <c r="A59" s="74"/>
      <c r="B59" s="74"/>
      <c r="C59" s="98"/>
      <c r="D59" s="98"/>
      <c r="E59" s="98"/>
      <c r="F59" s="98"/>
      <c r="G59" s="98"/>
      <c r="H59" s="98"/>
      <c r="I59" s="98"/>
      <c r="J59" s="98"/>
      <c r="K59" s="98"/>
      <c r="L59" s="98"/>
      <c r="M59" s="98"/>
      <c r="N59" s="98"/>
      <c r="O59" s="101" t="s">
        <v>94</v>
      </c>
      <c r="P59" s="74"/>
      <c r="Q59" s="74"/>
      <c r="R59" s="74"/>
      <c r="S59" s="74"/>
      <c r="T59" s="74"/>
      <c r="U59" s="74"/>
      <c r="V59" s="74"/>
      <c r="W59" s="74"/>
      <c r="X59" s="74"/>
      <c r="Y59" s="74"/>
      <c r="Z59" s="74"/>
    </row>
    <row r="60" ht="14.25" customHeight="1">
      <c r="A60" s="74"/>
      <c r="B60" s="74"/>
      <c r="C60" s="98"/>
      <c r="D60" s="98"/>
      <c r="E60" s="98"/>
      <c r="F60" s="98"/>
      <c r="G60" s="98"/>
      <c r="H60" s="98"/>
      <c r="I60" s="98"/>
      <c r="J60" s="98"/>
      <c r="K60" s="98"/>
      <c r="L60" s="98"/>
      <c r="M60" s="98"/>
      <c r="N60" s="98"/>
      <c r="O60" s="101" t="s">
        <v>95</v>
      </c>
      <c r="P60" s="74"/>
      <c r="Q60" s="74"/>
      <c r="R60" s="74"/>
      <c r="S60" s="74"/>
      <c r="T60" s="74"/>
      <c r="U60" s="74"/>
      <c r="V60" s="74"/>
      <c r="W60" s="74"/>
      <c r="X60" s="74"/>
      <c r="Y60" s="74"/>
      <c r="Z60" s="74"/>
    </row>
    <row r="61" ht="14.25" customHeight="1">
      <c r="A61" s="74"/>
      <c r="B61" s="74"/>
      <c r="C61" s="98"/>
      <c r="D61" s="98"/>
      <c r="E61" s="98"/>
      <c r="F61" s="98"/>
      <c r="G61" s="98"/>
      <c r="H61" s="98"/>
      <c r="I61" s="98"/>
      <c r="J61" s="98"/>
      <c r="K61" s="98"/>
      <c r="L61" s="98"/>
      <c r="M61" s="98"/>
      <c r="N61" s="98"/>
      <c r="O61" s="101" t="s">
        <v>96</v>
      </c>
      <c r="P61" s="74"/>
      <c r="Q61" s="74"/>
      <c r="R61" s="74"/>
      <c r="S61" s="74"/>
      <c r="T61" s="74"/>
      <c r="U61" s="74"/>
      <c r="V61" s="74"/>
      <c r="W61" s="74"/>
      <c r="X61" s="74"/>
      <c r="Y61" s="74"/>
      <c r="Z61" s="74"/>
    </row>
    <row r="62" ht="14.25" customHeight="1">
      <c r="A62" s="74"/>
      <c r="B62" s="74"/>
      <c r="C62" s="98"/>
      <c r="D62" s="98"/>
      <c r="E62" s="98"/>
      <c r="F62" s="98"/>
      <c r="G62" s="98"/>
      <c r="H62" s="98"/>
      <c r="I62" s="98"/>
      <c r="J62" s="98"/>
      <c r="K62" s="98"/>
      <c r="L62" s="98"/>
      <c r="M62" s="98"/>
      <c r="N62" s="98"/>
      <c r="O62" s="74"/>
      <c r="P62" s="74"/>
      <c r="Q62" s="74"/>
      <c r="R62" s="74"/>
      <c r="S62" s="74"/>
      <c r="T62" s="74"/>
      <c r="U62" s="74"/>
      <c r="V62" s="74"/>
      <c r="W62" s="74"/>
      <c r="X62" s="74"/>
      <c r="Y62" s="74"/>
      <c r="Z62" s="74"/>
    </row>
    <row r="63" ht="14.25" customHeight="1">
      <c r="A63" s="74"/>
      <c r="B63" s="74"/>
      <c r="C63" s="98"/>
      <c r="D63" s="98"/>
      <c r="E63" s="98"/>
      <c r="F63" s="98"/>
      <c r="G63" s="98"/>
      <c r="H63" s="98"/>
      <c r="I63" s="98"/>
      <c r="J63" s="98"/>
      <c r="K63" s="98"/>
      <c r="L63" s="98"/>
      <c r="M63" s="98"/>
      <c r="N63" s="98"/>
      <c r="O63" s="105"/>
      <c r="P63" s="74"/>
      <c r="Q63" s="74"/>
      <c r="R63" s="74"/>
      <c r="S63" s="74"/>
      <c r="T63" s="74"/>
      <c r="U63" s="74"/>
      <c r="V63" s="74"/>
      <c r="W63" s="74"/>
      <c r="X63" s="74"/>
      <c r="Y63" s="74"/>
      <c r="Z63" s="74"/>
    </row>
    <row r="64" ht="14.25" customHeight="1">
      <c r="A64" s="74"/>
      <c r="B64" s="74"/>
      <c r="C64" s="98"/>
      <c r="D64" s="98"/>
      <c r="E64" s="98"/>
      <c r="F64" s="98"/>
      <c r="G64" s="98"/>
      <c r="H64" s="98"/>
      <c r="I64" s="98"/>
      <c r="J64" s="98"/>
      <c r="K64" s="98"/>
      <c r="L64" s="98"/>
      <c r="M64" s="98"/>
      <c r="N64" s="98"/>
      <c r="O64" s="105"/>
      <c r="P64" s="74"/>
      <c r="Q64" s="74"/>
      <c r="R64" s="74"/>
      <c r="S64" s="74"/>
      <c r="T64" s="74"/>
      <c r="U64" s="74"/>
      <c r="V64" s="74"/>
      <c r="W64" s="74"/>
      <c r="X64" s="74"/>
      <c r="Y64" s="74"/>
      <c r="Z64" s="74"/>
    </row>
    <row r="65" ht="14.25" customHeight="1">
      <c r="A65" s="74"/>
      <c r="B65" s="74"/>
      <c r="C65" s="98"/>
      <c r="D65" s="98"/>
      <c r="E65" s="98"/>
      <c r="F65" s="98"/>
      <c r="G65" s="98"/>
      <c r="H65" s="98"/>
      <c r="I65" s="98"/>
      <c r="J65" s="98"/>
      <c r="K65" s="98"/>
      <c r="L65" s="98"/>
      <c r="M65" s="98"/>
      <c r="N65" s="98"/>
      <c r="O65" s="105"/>
      <c r="P65" s="74"/>
      <c r="Q65" s="74"/>
      <c r="R65" s="74"/>
      <c r="S65" s="74"/>
      <c r="T65" s="74"/>
      <c r="U65" s="74"/>
      <c r="V65" s="74"/>
      <c r="W65" s="74"/>
      <c r="X65" s="74"/>
      <c r="Y65" s="74"/>
      <c r="Z65" s="74"/>
    </row>
    <row r="66" ht="14.25" customHeight="1">
      <c r="A66" s="74"/>
      <c r="B66" s="74"/>
      <c r="C66" s="98"/>
      <c r="D66" s="98"/>
      <c r="E66" s="98"/>
      <c r="F66" s="98"/>
      <c r="G66" s="98"/>
      <c r="H66" s="98"/>
      <c r="I66" s="98"/>
      <c r="J66" s="98"/>
      <c r="K66" s="98"/>
      <c r="L66" s="98"/>
      <c r="M66" s="98"/>
      <c r="N66" s="98"/>
      <c r="O66" s="105"/>
      <c r="P66" s="74"/>
      <c r="Q66" s="74"/>
      <c r="R66" s="74"/>
      <c r="S66" s="74"/>
      <c r="T66" s="74"/>
      <c r="U66" s="74"/>
      <c r="V66" s="74"/>
      <c r="W66" s="74"/>
      <c r="X66" s="74"/>
      <c r="Y66" s="74"/>
      <c r="Z66" s="74"/>
    </row>
    <row r="67" ht="14.25" customHeight="1">
      <c r="A67" s="74"/>
      <c r="B67" s="74"/>
      <c r="C67" s="98"/>
      <c r="D67" s="98"/>
      <c r="E67" s="98"/>
      <c r="F67" s="98"/>
      <c r="G67" s="98"/>
      <c r="H67" s="98"/>
      <c r="I67" s="98"/>
      <c r="J67" s="98"/>
      <c r="K67" s="98"/>
      <c r="L67" s="98"/>
      <c r="M67" s="98"/>
      <c r="N67" s="98"/>
      <c r="O67" s="105"/>
      <c r="P67" s="74"/>
      <c r="Q67" s="74"/>
      <c r="R67" s="74"/>
      <c r="S67" s="74"/>
      <c r="T67" s="74"/>
      <c r="U67" s="74"/>
      <c r="V67" s="74"/>
      <c r="W67" s="74"/>
      <c r="X67" s="74"/>
      <c r="Y67" s="74"/>
      <c r="Z67" s="74"/>
    </row>
    <row r="68" ht="14.25" customHeight="1">
      <c r="A68" s="105"/>
      <c r="B68" s="74"/>
      <c r="C68" s="98"/>
      <c r="D68" s="98"/>
      <c r="E68" s="98"/>
      <c r="F68" s="98"/>
      <c r="G68" s="98"/>
      <c r="H68" s="98"/>
      <c r="I68" s="98"/>
      <c r="J68" s="98"/>
      <c r="K68" s="98"/>
      <c r="L68" s="98"/>
      <c r="M68" s="98"/>
      <c r="N68" s="98"/>
      <c r="O68" s="105"/>
      <c r="P68" s="74"/>
      <c r="Q68" s="74"/>
      <c r="R68" s="74"/>
      <c r="S68" s="74"/>
      <c r="T68" s="74"/>
      <c r="U68" s="74"/>
      <c r="V68" s="74"/>
      <c r="W68" s="74"/>
      <c r="X68" s="74"/>
      <c r="Y68" s="74"/>
      <c r="Z68" s="74"/>
    </row>
    <row r="69" ht="14.25" customHeight="1">
      <c r="A69" s="105"/>
      <c r="B69" s="74"/>
      <c r="C69" s="98"/>
      <c r="D69" s="98"/>
      <c r="E69" s="98"/>
      <c r="F69" s="98"/>
      <c r="G69" s="98"/>
      <c r="H69" s="98"/>
      <c r="I69" s="98"/>
      <c r="J69" s="98"/>
      <c r="K69" s="98"/>
      <c r="L69" s="98"/>
      <c r="M69" s="98"/>
      <c r="N69" s="98"/>
      <c r="O69" s="105"/>
      <c r="P69" s="74"/>
      <c r="Q69" s="74"/>
      <c r="R69" s="74"/>
      <c r="S69" s="74"/>
      <c r="T69" s="74"/>
      <c r="U69" s="74"/>
      <c r="V69" s="74"/>
      <c r="W69" s="74"/>
      <c r="X69" s="74"/>
      <c r="Y69" s="74"/>
      <c r="Z69" s="74"/>
    </row>
    <row r="70" ht="14.25" customHeight="1">
      <c r="A70" s="74"/>
      <c r="B70" s="74"/>
      <c r="C70" s="98"/>
      <c r="D70" s="98"/>
      <c r="E70" s="98"/>
      <c r="F70" s="98"/>
      <c r="G70" s="98"/>
      <c r="H70" s="98"/>
      <c r="I70" s="98"/>
      <c r="J70" s="98"/>
      <c r="K70" s="98"/>
      <c r="L70" s="98"/>
      <c r="M70" s="98"/>
      <c r="N70" s="98"/>
      <c r="O70" s="105"/>
      <c r="P70" s="74"/>
      <c r="Q70" s="74"/>
      <c r="R70" s="74"/>
      <c r="S70" s="74"/>
      <c r="T70" s="74"/>
      <c r="U70" s="74"/>
      <c r="V70" s="74"/>
      <c r="W70" s="74"/>
      <c r="X70" s="74"/>
      <c r="Y70" s="74"/>
      <c r="Z70" s="74"/>
    </row>
    <row r="71" ht="14.25" customHeight="1">
      <c r="A71" s="74"/>
      <c r="B71" s="74"/>
      <c r="C71" s="98"/>
      <c r="D71" s="98"/>
      <c r="E71" s="98"/>
      <c r="F71" s="98"/>
      <c r="G71" s="98"/>
      <c r="H71" s="98"/>
      <c r="I71" s="98"/>
      <c r="J71" s="98"/>
      <c r="K71" s="98"/>
      <c r="L71" s="98"/>
      <c r="M71" s="98"/>
      <c r="N71" s="98"/>
      <c r="O71" s="74"/>
      <c r="P71" s="74"/>
      <c r="Q71" s="74"/>
      <c r="R71" s="74"/>
      <c r="S71" s="74"/>
      <c r="T71" s="74"/>
      <c r="U71" s="74"/>
      <c r="V71" s="74"/>
      <c r="W71" s="74"/>
      <c r="X71" s="74"/>
      <c r="Y71" s="74"/>
      <c r="Z71" s="74"/>
    </row>
    <row r="72" ht="14.25" customHeight="1">
      <c r="A72" s="74"/>
      <c r="B72" s="74"/>
      <c r="C72" s="98"/>
      <c r="D72" s="98"/>
      <c r="E72" s="98"/>
      <c r="F72" s="98"/>
      <c r="G72" s="98"/>
      <c r="H72" s="98"/>
      <c r="I72" s="98"/>
      <c r="J72" s="98"/>
      <c r="K72" s="98"/>
      <c r="L72" s="98"/>
      <c r="M72" s="98"/>
      <c r="N72" s="98"/>
      <c r="O72" s="74"/>
      <c r="P72" s="74"/>
      <c r="Q72" s="74"/>
      <c r="R72" s="74"/>
      <c r="S72" s="74"/>
      <c r="T72" s="74"/>
      <c r="U72" s="74"/>
      <c r="V72" s="74"/>
      <c r="W72" s="74"/>
      <c r="X72" s="74"/>
      <c r="Y72" s="74"/>
      <c r="Z72" s="74"/>
    </row>
    <row r="73" ht="14.25" customHeight="1">
      <c r="A73" s="74"/>
      <c r="B73" s="74"/>
      <c r="C73" s="98"/>
      <c r="D73" s="98"/>
      <c r="E73" s="98"/>
      <c r="F73" s="98"/>
      <c r="G73" s="98"/>
      <c r="H73" s="98"/>
      <c r="I73" s="98"/>
      <c r="J73" s="98"/>
      <c r="K73" s="98"/>
      <c r="L73" s="98"/>
      <c r="M73" s="98"/>
      <c r="N73" s="98"/>
      <c r="O73" s="74"/>
      <c r="P73" s="74"/>
      <c r="Q73" s="74"/>
      <c r="R73" s="74"/>
      <c r="S73" s="74"/>
      <c r="T73" s="74"/>
      <c r="U73" s="74"/>
      <c r="V73" s="74"/>
      <c r="W73" s="74"/>
      <c r="X73" s="74"/>
      <c r="Y73" s="74"/>
      <c r="Z73" s="74"/>
    </row>
    <row r="74" ht="14.25" customHeight="1">
      <c r="A74" s="74"/>
      <c r="B74" s="74"/>
      <c r="C74" s="98"/>
      <c r="D74" s="98"/>
      <c r="E74" s="98"/>
      <c r="F74" s="98"/>
      <c r="G74" s="98"/>
      <c r="H74" s="98"/>
      <c r="I74" s="98"/>
      <c r="J74" s="98"/>
      <c r="K74" s="98"/>
      <c r="L74" s="98"/>
      <c r="M74" s="98"/>
      <c r="N74" s="98"/>
      <c r="O74" s="74"/>
      <c r="P74" s="74"/>
      <c r="Q74" s="74"/>
      <c r="R74" s="74"/>
      <c r="S74" s="74"/>
      <c r="T74" s="74"/>
      <c r="U74" s="74"/>
      <c r="V74" s="74"/>
      <c r="W74" s="74"/>
      <c r="X74" s="74"/>
      <c r="Y74" s="74"/>
      <c r="Z74" s="74"/>
    </row>
    <row r="75" ht="14.25" customHeight="1">
      <c r="A75" s="74"/>
      <c r="B75" s="74"/>
      <c r="C75" s="98"/>
      <c r="D75" s="98"/>
      <c r="E75" s="98"/>
      <c r="F75" s="98"/>
      <c r="G75" s="98"/>
      <c r="H75" s="98"/>
      <c r="I75" s="98"/>
      <c r="J75" s="98"/>
      <c r="K75" s="98"/>
      <c r="L75" s="98"/>
      <c r="M75" s="98"/>
      <c r="N75" s="98"/>
      <c r="O75" s="74"/>
      <c r="P75" s="74"/>
      <c r="Q75" s="74"/>
      <c r="R75" s="74"/>
      <c r="S75" s="74"/>
      <c r="T75" s="74"/>
      <c r="U75" s="74"/>
      <c r="V75" s="74"/>
      <c r="W75" s="74"/>
      <c r="X75" s="74"/>
      <c r="Y75" s="74"/>
      <c r="Z75" s="74"/>
    </row>
    <row r="76" ht="15.0" customHeight="1">
      <c r="A76" s="74"/>
      <c r="B76" s="74"/>
      <c r="C76" s="98"/>
      <c r="D76" s="98"/>
      <c r="E76" s="98"/>
      <c r="F76" s="98"/>
      <c r="G76" s="98"/>
      <c r="H76" s="98"/>
      <c r="I76" s="98"/>
      <c r="J76" s="98"/>
      <c r="K76" s="98"/>
      <c r="L76" s="98"/>
      <c r="M76" s="98"/>
      <c r="N76" s="98"/>
      <c r="O76" s="74"/>
      <c r="P76" s="74"/>
      <c r="Q76" s="74"/>
      <c r="R76" s="74"/>
      <c r="S76" s="74"/>
      <c r="T76" s="74"/>
      <c r="U76" s="74"/>
      <c r="V76" s="74"/>
      <c r="W76" s="74"/>
      <c r="X76" s="74"/>
      <c r="Y76" s="74"/>
      <c r="Z76" s="74"/>
    </row>
    <row r="77" ht="15.0" customHeight="1">
      <c r="A77" s="74"/>
      <c r="B77" s="74"/>
      <c r="C77" s="98"/>
      <c r="D77" s="98"/>
      <c r="E77" s="98"/>
      <c r="F77" s="98"/>
      <c r="G77" s="98"/>
      <c r="H77" s="98"/>
      <c r="I77" s="98"/>
      <c r="J77" s="98"/>
      <c r="K77" s="98"/>
      <c r="L77" s="98"/>
      <c r="M77" s="98"/>
      <c r="N77" s="98"/>
      <c r="O77" s="74"/>
      <c r="P77" s="74"/>
      <c r="Q77" s="74"/>
      <c r="R77" s="74"/>
      <c r="S77" s="74"/>
      <c r="T77" s="74"/>
      <c r="U77" s="74"/>
      <c r="V77" s="74"/>
      <c r="W77" s="74"/>
      <c r="X77" s="74"/>
      <c r="Y77" s="74"/>
      <c r="Z77" s="74"/>
    </row>
    <row r="78" ht="15.0" customHeight="1">
      <c r="A78" s="74"/>
      <c r="B78" s="74"/>
      <c r="C78" s="98"/>
      <c r="D78" s="98"/>
      <c r="E78" s="98"/>
      <c r="F78" s="98"/>
      <c r="G78" s="98"/>
      <c r="H78" s="98"/>
      <c r="I78" s="98"/>
      <c r="J78" s="98"/>
      <c r="K78" s="98"/>
      <c r="L78" s="98"/>
      <c r="M78" s="98"/>
      <c r="N78" s="98"/>
      <c r="O78" s="74"/>
      <c r="P78" s="74"/>
      <c r="Q78" s="74"/>
      <c r="R78" s="74"/>
      <c r="S78" s="74"/>
      <c r="T78" s="74"/>
      <c r="U78" s="74"/>
      <c r="V78" s="74"/>
      <c r="W78" s="74"/>
      <c r="X78" s="74"/>
      <c r="Y78" s="74"/>
      <c r="Z78" s="74"/>
    </row>
    <row r="79" ht="14.25" customHeight="1">
      <c r="A79" s="74"/>
      <c r="B79" s="74"/>
      <c r="C79" s="98"/>
      <c r="D79" s="98"/>
      <c r="E79" s="98"/>
      <c r="F79" s="98"/>
      <c r="G79" s="98"/>
      <c r="H79" s="98"/>
      <c r="I79" s="98"/>
      <c r="J79" s="98"/>
      <c r="K79" s="98"/>
      <c r="L79" s="98"/>
      <c r="M79" s="98"/>
      <c r="N79" s="98"/>
      <c r="O79" s="74"/>
      <c r="P79" s="74"/>
      <c r="Q79" s="74"/>
      <c r="R79" s="74"/>
      <c r="S79" s="74"/>
      <c r="T79" s="74"/>
      <c r="U79" s="74"/>
      <c r="V79" s="74"/>
      <c r="W79" s="74"/>
      <c r="X79" s="74"/>
      <c r="Y79" s="74"/>
      <c r="Z79" s="74"/>
    </row>
    <row r="80" ht="14.25" customHeight="1">
      <c r="A80" s="74"/>
      <c r="B80" s="74"/>
      <c r="C80" s="98"/>
      <c r="D80" s="98"/>
      <c r="E80" s="98"/>
      <c r="F80" s="98"/>
      <c r="G80" s="98"/>
      <c r="H80" s="98"/>
      <c r="I80" s="98"/>
      <c r="J80" s="98"/>
      <c r="K80" s="98"/>
      <c r="L80" s="98"/>
      <c r="M80" s="98"/>
      <c r="N80" s="98"/>
      <c r="O80" s="74"/>
      <c r="P80" s="74"/>
      <c r="Q80" s="74"/>
      <c r="R80" s="74"/>
      <c r="S80" s="74"/>
      <c r="T80" s="74"/>
      <c r="U80" s="74"/>
      <c r="V80" s="74"/>
      <c r="W80" s="74"/>
      <c r="X80" s="74"/>
      <c r="Y80" s="74"/>
      <c r="Z80" s="74"/>
    </row>
    <row r="81" ht="14.25" customHeight="1">
      <c r="A81" s="74"/>
      <c r="B81" s="74"/>
      <c r="C81" s="98"/>
      <c r="D81" s="98"/>
      <c r="E81" s="98"/>
      <c r="F81" s="98"/>
      <c r="G81" s="98"/>
      <c r="H81" s="98"/>
      <c r="I81" s="98"/>
      <c r="J81" s="98"/>
      <c r="K81" s="98"/>
      <c r="L81" s="98"/>
      <c r="M81" s="98"/>
      <c r="N81" s="98"/>
      <c r="O81" s="74"/>
      <c r="P81" s="74"/>
      <c r="Q81" s="74"/>
      <c r="R81" s="74"/>
      <c r="S81" s="74"/>
      <c r="T81" s="74"/>
      <c r="U81" s="74"/>
      <c r="V81" s="74"/>
      <c r="W81" s="74"/>
      <c r="X81" s="74"/>
      <c r="Y81" s="74"/>
      <c r="Z81" s="74"/>
    </row>
    <row r="82" ht="14.25" customHeight="1">
      <c r="A82" s="74"/>
      <c r="B82" s="74"/>
      <c r="C82" s="98"/>
      <c r="D82" s="98"/>
      <c r="E82" s="98"/>
      <c r="F82" s="98"/>
      <c r="G82" s="98"/>
      <c r="H82" s="98"/>
      <c r="I82" s="98"/>
      <c r="J82" s="98"/>
      <c r="K82" s="98"/>
      <c r="L82" s="98"/>
      <c r="M82" s="98"/>
      <c r="N82" s="98"/>
      <c r="O82" s="74"/>
      <c r="P82" s="74"/>
      <c r="Q82" s="74"/>
      <c r="R82" s="74"/>
      <c r="S82" s="74"/>
      <c r="T82" s="74"/>
      <c r="U82" s="74"/>
      <c r="V82" s="74"/>
      <c r="W82" s="74"/>
      <c r="X82" s="74"/>
      <c r="Y82" s="74"/>
      <c r="Z82" s="74"/>
    </row>
    <row r="83" ht="14.25" customHeight="1">
      <c r="A83" s="74"/>
      <c r="B83" s="74"/>
      <c r="C83" s="98"/>
      <c r="D83" s="98"/>
      <c r="E83" s="98"/>
      <c r="F83" s="98"/>
      <c r="G83" s="98"/>
      <c r="H83" s="98"/>
      <c r="I83" s="98"/>
      <c r="J83" s="98"/>
      <c r="K83" s="98"/>
      <c r="L83" s="98"/>
      <c r="M83" s="98"/>
      <c r="N83" s="98"/>
      <c r="O83" s="74"/>
      <c r="P83" s="74"/>
      <c r="Q83" s="74"/>
      <c r="R83" s="74"/>
      <c r="S83" s="74"/>
      <c r="T83" s="74"/>
      <c r="U83" s="74"/>
      <c r="V83" s="74"/>
      <c r="W83" s="74"/>
      <c r="X83" s="74"/>
      <c r="Y83" s="74"/>
      <c r="Z83" s="74"/>
    </row>
    <row r="84" ht="14.25" customHeight="1">
      <c r="A84" s="74"/>
      <c r="B84" s="74"/>
      <c r="C84" s="98"/>
      <c r="D84" s="98"/>
      <c r="E84" s="98"/>
      <c r="F84" s="98"/>
      <c r="G84" s="98"/>
      <c r="H84" s="98"/>
      <c r="I84" s="98"/>
      <c r="J84" s="98"/>
      <c r="K84" s="98"/>
      <c r="L84" s="98"/>
      <c r="M84" s="98"/>
      <c r="N84" s="98"/>
      <c r="O84" s="74"/>
      <c r="P84" s="74"/>
      <c r="Q84" s="74"/>
      <c r="R84" s="74"/>
      <c r="S84" s="74"/>
      <c r="T84" s="74"/>
      <c r="U84" s="74"/>
      <c r="V84" s="74"/>
      <c r="W84" s="74"/>
      <c r="X84" s="74"/>
      <c r="Y84" s="74"/>
      <c r="Z84" s="74"/>
    </row>
    <row r="85" ht="14.25" customHeight="1">
      <c r="A85" s="74"/>
      <c r="B85" s="74"/>
      <c r="C85" s="98"/>
      <c r="D85" s="98"/>
      <c r="E85" s="98"/>
      <c r="F85" s="98"/>
      <c r="G85" s="98"/>
      <c r="H85" s="98"/>
      <c r="I85" s="98"/>
      <c r="J85" s="98"/>
      <c r="K85" s="98"/>
      <c r="L85" s="98"/>
      <c r="M85" s="98"/>
      <c r="N85" s="98"/>
      <c r="O85" s="74"/>
      <c r="P85" s="74"/>
      <c r="Q85" s="74"/>
      <c r="R85" s="74"/>
      <c r="S85" s="74"/>
      <c r="T85" s="74"/>
      <c r="U85" s="74"/>
      <c r="V85" s="74"/>
      <c r="W85" s="74"/>
      <c r="X85" s="74"/>
      <c r="Y85" s="74"/>
      <c r="Z85" s="74"/>
    </row>
    <row r="86" ht="14.25" customHeight="1">
      <c r="A86" s="74"/>
      <c r="B86" s="74"/>
      <c r="C86" s="98"/>
      <c r="D86" s="98"/>
      <c r="E86" s="98"/>
      <c r="F86" s="98"/>
      <c r="G86" s="98"/>
      <c r="H86" s="98"/>
      <c r="I86" s="98"/>
      <c r="J86" s="98"/>
      <c r="K86" s="98"/>
      <c r="L86" s="98"/>
      <c r="M86" s="98"/>
      <c r="N86" s="98"/>
      <c r="O86" s="74"/>
      <c r="P86" s="74"/>
      <c r="Q86" s="74"/>
      <c r="R86" s="74"/>
      <c r="S86" s="74"/>
      <c r="T86" s="74"/>
      <c r="U86" s="74"/>
      <c r="V86" s="74"/>
      <c r="W86" s="74"/>
      <c r="X86" s="74"/>
      <c r="Y86" s="74"/>
      <c r="Z86" s="74"/>
    </row>
    <row r="87" ht="14.25" customHeight="1">
      <c r="A87" s="74"/>
      <c r="B87" s="74"/>
      <c r="C87" s="98"/>
      <c r="D87" s="98"/>
      <c r="E87" s="98"/>
      <c r="F87" s="98"/>
      <c r="G87" s="98"/>
      <c r="H87" s="98"/>
      <c r="I87" s="98"/>
      <c r="J87" s="98"/>
      <c r="K87" s="98"/>
      <c r="L87" s="98"/>
      <c r="M87" s="98"/>
      <c r="N87" s="98"/>
      <c r="O87" s="74"/>
      <c r="P87" s="74"/>
      <c r="Q87" s="74"/>
      <c r="R87" s="74"/>
      <c r="S87" s="74"/>
      <c r="T87" s="74"/>
      <c r="U87" s="74"/>
      <c r="V87" s="74"/>
      <c r="W87" s="74"/>
      <c r="X87" s="74"/>
      <c r="Y87" s="74"/>
      <c r="Z87" s="74"/>
    </row>
    <row r="88" ht="14.25" customHeight="1">
      <c r="A88" s="74"/>
      <c r="B88" s="74"/>
      <c r="C88" s="98"/>
      <c r="D88" s="98"/>
      <c r="E88" s="98"/>
      <c r="F88" s="98"/>
      <c r="G88" s="98"/>
      <c r="H88" s="98"/>
      <c r="I88" s="98"/>
      <c r="J88" s="98"/>
      <c r="K88" s="98"/>
      <c r="L88" s="98"/>
      <c r="M88" s="98"/>
      <c r="N88" s="98"/>
      <c r="O88" s="74"/>
      <c r="P88" s="74"/>
      <c r="Q88" s="74"/>
      <c r="R88" s="74"/>
      <c r="S88" s="74"/>
      <c r="T88" s="74"/>
      <c r="U88" s="74"/>
      <c r="V88" s="74"/>
      <c r="W88" s="74"/>
      <c r="X88" s="74"/>
      <c r="Y88" s="74"/>
      <c r="Z88" s="74"/>
    </row>
    <row r="89" ht="14.25" customHeight="1">
      <c r="A89" s="74"/>
      <c r="B89" s="74"/>
      <c r="C89" s="98"/>
      <c r="D89" s="98"/>
      <c r="E89" s="98"/>
      <c r="F89" s="98"/>
      <c r="G89" s="98"/>
      <c r="H89" s="98"/>
      <c r="I89" s="98"/>
      <c r="J89" s="98"/>
      <c r="K89" s="98"/>
      <c r="L89" s="98"/>
      <c r="M89" s="98"/>
      <c r="N89" s="98"/>
      <c r="O89" s="74"/>
      <c r="P89" s="74"/>
      <c r="Q89" s="74"/>
      <c r="R89" s="74"/>
      <c r="S89" s="74"/>
      <c r="T89" s="74"/>
      <c r="U89" s="74"/>
      <c r="V89" s="74"/>
      <c r="W89" s="74"/>
      <c r="X89" s="74"/>
      <c r="Y89" s="74"/>
      <c r="Z89" s="74"/>
    </row>
    <row r="90" ht="14.25" customHeight="1">
      <c r="A90" s="74"/>
      <c r="B90" s="74"/>
      <c r="C90" s="98"/>
      <c r="D90" s="98"/>
      <c r="E90" s="98"/>
      <c r="F90" s="98"/>
      <c r="G90" s="98"/>
      <c r="H90" s="98"/>
      <c r="I90" s="98"/>
      <c r="J90" s="98"/>
      <c r="K90" s="98"/>
      <c r="L90" s="98"/>
      <c r="M90" s="98"/>
      <c r="N90" s="98"/>
      <c r="O90" s="74"/>
      <c r="P90" s="74"/>
      <c r="Q90" s="74"/>
      <c r="R90" s="74"/>
      <c r="S90" s="74"/>
      <c r="T90" s="74"/>
      <c r="U90" s="74"/>
      <c r="V90" s="74"/>
      <c r="W90" s="74"/>
      <c r="X90" s="74"/>
      <c r="Y90" s="74"/>
      <c r="Z90" s="74"/>
    </row>
    <row r="91" ht="14.25" customHeight="1">
      <c r="A91" s="74"/>
      <c r="B91" s="74"/>
      <c r="C91" s="98"/>
      <c r="D91" s="98"/>
      <c r="E91" s="98"/>
      <c r="F91" s="98"/>
      <c r="G91" s="98"/>
      <c r="H91" s="98"/>
      <c r="I91" s="98"/>
      <c r="J91" s="98"/>
      <c r="K91" s="98"/>
      <c r="L91" s="98"/>
      <c r="M91" s="98"/>
      <c r="N91" s="98"/>
      <c r="O91" s="74"/>
      <c r="P91" s="74"/>
      <c r="Q91" s="74"/>
      <c r="R91" s="74"/>
      <c r="S91" s="74"/>
      <c r="T91" s="74"/>
      <c r="U91" s="74"/>
      <c r="V91" s="74"/>
      <c r="W91" s="74"/>
      <c r="X91" s="74"/>
      <c r="Y91" s="74"/>
      <c r="Z91" s="74"/>
    </row>
    <row r="92" ht="14.25" customHeight="1">
      <c r="A92" s="74"/>
      <c r="B92" s="74"/>
      <c r="C92" s="98"/>
      <c r="D92" s="98"/>
      <c r="E92" s="98"/>
      <c r="F92" s="98"/>
      <c r="G92" s="98"/>
      <c r="H92" s="98"/>
      <c r="I92" s="98"/>
      <c r="J92" s="98"/>
      <c r="K92" s="98"/>
      <c r="L92" s="98"/>
      <c r="M92" s="98"/>
      <c r="N92" s="98"/>
      <c r="O92" s="74"/>
      <c r="P92" s="74"/>
      <c r="Q92" s="74"/>
      <c r="R92" s="74"/>
      <c r="S92" s="74"/>
      <c r="T92" s="74"/>
      <c r="U92" s="74"/>
      <c r="V92" s="74"/>
      <c r="W92" s="74"/>
      <c r="X92" s="74"/>
      <c r="Y92" s="74"/>
      <c r="Z92" s="74"/>
    </row>
    <row r="93" ht="14.25" customHeight="1">
      <c r="A93" s="74"/>
      <c r="B93" s="74"/>
      <c r="C93" s="98"/>
      <c r="D93" s="98"/>
      <c r="E93" s="98"/>
      <c r="F93" s="98"/>
      <c r="G93" s="98"/>
      <c r="H93" s="98"/>
      <c r="I93" s="98"/>
      <c r="J93" s="98"/>
      <c r="K93" s="98"/>
      <c r="L93" s="98"/>
      <c r="M93" s="98"/>
      <c r="N93" s="98"/>
      <c r="O93" s="74"/>
      <c r="P93" s="74"/>
      <c r="Q93" s="74"/>
      <c r="R93" s="74"/>
      <c r="S93" s="74"/>
      <c r="T93" s="74"/>
      <c r="U93" s="74"/>
      <c r="V93" s="74"/>
      <c r="W93" s="74"/>
      <c r="X93" s="74"/>
      <c r="Y93" s="74"/>
      <c r="Z93" s="74"/>
    </row>
    <row r="94" ht="57.0" customHeight="1">
      <c r="A94" s="74"/>
      <c r="B94" s="74"/>
      <c r="C94" s="98"/>
      <c r="D94" s="98"/>
      <c r="E94" s="98"/>
      <c r="F94" s="98"/>
      <c r="G94" s="98"/>
      <c r="H94" s="98"/>
      <c r="I94" s="98"/>
      <c r="J94" s="98"/>
      <c r="K94" s="98"/>
      <c r="L94" s="98"/>
      <c r="M94" s="98"/>
      <c r="N94" s="98"/>
      <c r="O94" s="74"/>
      <c r="P94" s="74"/>
      <c r="Q94" s="74"/>
      <c r="R94" s="74"/>
      <c r="S94" s="74"/>
      <c r="T94" s="74"/>
      <c r="U94" s="74"/>
      <c r="V94" s="74"/>
      <c r="W94" s="74"/>
      <c r="X94" s="74"/>
      <c r="Y94" s="74"/>
      <c r="Z94" s="74"/>
    </row>
    <row r="95" ht="79.5" customHeight="1">
      <c r="A95" s="74"/>
      <c r="B95" s="74"/>
      <c r="C95" s="98"/>
      <c r="D95" s="98"/>
      <c r="E95" s="98"/>
      <c r="F95" s="98"/>
      <c r="G95" s="98"/>
      <c r="H95" s="98"/>
      <c r="I95" s="98"/>
      <c r="J95" s="98"/>
      <c r="K95" s="98"/>
      <c r="L95" s="98"/>
      <c r="M95" s="98"/>
      <c r="N95" s="98"/>
      <c r="O95" s="74"/>
      <c r="P95" s="74"/>
      <c r="Q95" s="74"/>
      <c r="R95" s="74"/>
      <c r="S95" s="74"/>
      <c r="T95" s="74"/>
      <c r="U95" s="74"/>
      <c r="V95" s="74"/>
      <c r="W95" s="74"/>
      <c r="X95" s="74"/>
      <c r="Y95" s="74"/>
      <c r="Z95" s="74"/>
    </row>
    <row r="96" ht="43.5" customHeight="1">
      <c r="A96" s="74"/>
      <c r="B96" s="74"/>
      <c r="C96" s="98"/>
      <c r="D96" s="98"/>
      <c r="E96" s="98"/>
      <c r="F96" s="98"/>
      <c r="G96" s="98"/>
      <c r="H96" s="98"/>
      <c r="I96" s="98"/>
      <c r="J96" s="98"/>
      <c r="K96" s="98"/>
      <c r="L96" s="98"/>
      <c r="M96" s="98"/>
      <c r="N96" s="98"/>
      <c r="O96" s="74"/>
      <c r="P96" s="74"/>
      <c r="Q96" s="74"/>
      <c r="R96" s="74"/>
      <c r="S96" s="74"/>
      <c r="T96" s="74"/>
      <c r="U96" s="74"/>
      <c r="V96" s="74"/>
      <c r="W96" s="74"/>
      <c r="X96" s="74"/>
      <c r="Y96" s="74"/>
      <c r="Z96" s="74"/>
    </row>
    <row r="97" ht="14.25" customHeight="1">
      <c r="A97" s="74"/>
      <c r="B97" s="74"/>
      <c r="C97" s="74"/>
      <c r="D97" s="74"/>
      <c r="E97" s="74"/>
      <c r="F97" s="74"/>
      <c r="G97" s="74" t="s">
        <v>390</v>
      </c>
      <c r="H97" s="74"/>
      <c r="I97" s="74"/>
      <c r="J97" s="74"/>
      <c r="K97" s="74"/>
      <c r="L97" s="74"/>
      <c r="M97" s="74"/>
      <c r="N97" s="74"/>
      <c r="O97" s="74"/>
      <c r="P97" s="74"/>
      <c r="Q97" s="74"/>
      <c r="R97" s="74"/>
      <c r="S97" s="74"/>
      <c r="T97" s="74"/>
      <c r="U97" s="74"/>
      <c r="V97" s="74"/>
      <c r="W97" s="74"/>
      <c r="X97" s="74"/>
      <c r="Y97" s="74"/>
      <c r="Z97" s="74"/>
    </row>
    <row r="98" ht="57.0"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ht="14.25" customHeight="1">
      <c r="A99" s="74"/>
      <c r="B99" s="110" t="s">
        <v>98</v>
      </c>
      <c r="C99" s="74"/>
      <c r="D99" s="74"/>
      <c r="E99" s="74"/>
      <c r="F99" s="74"/>
      <c r="G99" s="74"/>
      <c r="H99" s="74"/>
      <c r="I99" s="74"/>
      <c r="J99" s="74"/>
      <c r="K99" s="74"/>
      <c r="L99" s="74"/>
      <c r="M99" s="74"/>
      <c r="N99" s="74"/>
      <c r="O99" s="74"/>
      <c r="P99" s="74"/>
      <c r="Q99" s="74"/>
      <c r="R99" s="74"/>
      <c r="S99" s="74"/>
      <c r="T99" s="74"/>
      <c r="U99" s="74"/>
      <c r="V99" s="74"/>
      <c r="W99" s="74"/>
      <c r="X99" s="74"/>
      <c r="Y99" s="74"/>
      <c r="Z99" s="74"/>
    </row>
    <row r="100" ht="14.2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4.25" customHeight="1">
      <c r="A101" s="74"/>
      <c r="B101" s="74"/>
      <c r="C101" s="111"/>
      <c r="D101" s="111"/>
      <c r="E101" s="112"/>
      <c r="F101" s="91"/>
      <c r="G101" s="113"/>
      <c r="H101" s="74"/>
      <c r="I101" s="74"/>
      <c r="J101" s="74"/>
      <c r="K101" s="74"/>
      <c r="L101" s="74"/>
      <c r="M101" s="74"/>
      <c r="N101" s="74"/>
      <c r="O101" s="74"/>
      <c r="P101" s="74"/>
      <c r="Q101" s="74"/>
      <c r="R101" s="74"/>
      <c r="S101" s="74"/>
      <c r="T101" s="74"/>
      <c r="U101" s="74"/>
      <c r="V101" s="74"/>
      <c r="W101" s="74"/>
      <c r="X101" s="74"/>
      <c r="Y101" s="74"/>
      <c r="Z101" s="74"/>
    </row>
    <row r="102" ht="14.25" customHeight="1">
      <c r="A102" s="74"/>
      <c r="B102" s="114" t="s">
        <v>99</v>
      </c>
      <c r="C102" s="281"/>
      <c r="D102" s="191"/>
      <c r="E102" s="80"/>
      <c r="F102" s="74"/>
      <c r="G102" s="74"/>
      <c r="H102" s="74"/>
      <c r="I102" s="118" t="s">
        <v>100</v>
      </c>
      <c r="J102" s="282"/>
      <c r="K102" s="282"/>
      <c r="L102" s="282"/>
      <c r="M102" s="74"/>
      <c r="N102" s="74"/>
      <c r="O102" s="74"/>
      <c r="P102" s="118" t="s">
        <v>101</v>
      </c>
      <c r="Q102" s="118"/>
      <c r="R102" s="74"/>
      <c r="S102" s="74"/>
      <c r="T102" s="74"/>
      <c r="U102" s="74"/>
      <c r="V102" s="74"/>
      <c r="W102" s="74"/>
      <c r="X102" s="74"/>
      <c r="Y102" s="74"/>
      <c r="Z102" s="74"/>
    </row>
    <row r="103" ht="14.25" customHeight="1">
      <c r="A103" s="74"/>
      <c r="B103" s="121" t="s">
        <v>102</v>
      </c>
      <c r="C103" s="121" t="s">
        <v>391</v>
      </c>
      <c r="D103" s="121" t="s">
        <v>103</v>
      </c>
      <c r="E103" s="121" t="s">
        <v>104</v>
      </c>
      <c r="F103" s="283" t="s">
        <v>392</v>
      </c>
      <c r="G103" s="283" t="s">
        <v>241</v>
      </c>
      <c r="H103" s="74"/>
      <c r="I103" s="121" t="s">
        <v>102</v>
      </c>
      <c r="J103" s="121" t="s">
        <v>391</v>
      </c>
      <c r="K103" s="121" t="s">
        <v>103</v>
      </c>
      <c r="L103" s="121" t="s">
        <v>104</v>
      </c>
      <c r="M103" s="283" t="s">
        <v>392</v>
      </c>
      <c r="N103" s="283" t="s">
        <v>241</v>
      </c>
      <c r="O103" s="74"/>
      <c r="P103" s="118" t="s">
        <v>105</v>
      </c>
      <c r="Q103" s="122"/>
      <c r="R103" s="74"/>
      <c r="S103" s="74"/>
      <c r="T103" s="74"/>
      <c r="U103" s="74"/>
      <c r="V103" s="74"/>
      <c r="W103" s="74"/>
      <c r="X103" s="74"/>
      <c r="Y103" s="74"/>
      <c r="Z103" s="74"/>
    </row>
    <row r="104" ht="33.75" customHeight="1">
      <c r="A104" s="74"/>
      <c r="B104" s="154" t="s">
        <v>393</v>
      </c>
      <c r="C104" s="154" t="s">
        <v>394</v>
      </c>
      <c r="D104" s="151" t="s">
        <v>395</v>
      </c>
      <c r="E104" s="284">
        <v>1866.24966</v>
      </c>
      <c r="F104" s="247">
        <v>25.0</v>
      </c>
      <c r="G104" s="285">
        <v>1.02</v>
      </c>
      <c r="H104" s="74"/>
      <c r="I104" s="286" t="s">
        <v>396</v>
      </c>
      <c r="J104" s="286" t="s">
        <v>397</v>
      </c>
      <c r="K104" s="286" t="s">
        <v>398</v>
      </c>
      <c r="L104" s="287">
        <v>891.737243</v>
      </c>
      <c r="M104" s="288">
        <v>40.0</v>
      </c>
      <c r="N104" s="289">
        <v>1.02</v>
      </c>
      <c r="O104" s="74"/>
      <c r="P104" s="110" t="s">
        <v>110</v>
      </c>
      <c r="Q104" s="125">
        <f>SUM(E104:E112)</f>
        <v>4753.897337</v>
      </c>
      <c r="R104" s="74"/>
      <c r="S104" s="74"/>
      <c r="T104" s="74"/>
      <c r="U104" s="74"/>
      <c r="V104" s="74"/>
      <c r="W104" s="74"/>
      <c r="X104" s="74"/>
      <c r="Y104" s="74"/>
      <c r="Z104" s="74"/>
    </row>
    <row r="105" ht="37.5" customHeight="1">
      <c r="A105" s="74"/>
      <c r="B105" s="154" t="s">
        <v>399</v>
      </c>
      <c r="C105" s="154" t="s">
        <v>400</v>
      </c>
      <c r="D105" s="151" t="s">
        <v>395</v>
      </c>
      <c r="E105" s="284">
        <v>2220.70351</v>
      </c>
      <c r="F105" s="247">
        <v>25.0</v>
      </c>
      <c r="G105" s="285">
        <v>1.02</v>
      </c>
      <c r="H105" s="74"/>
      <c r="I105" s="154" t="s">
        <v>401</v>
      </c>
      <c r="J105" s="154" t="s">
        <v>402</v>
      </c>
      <c r="K105" s="154" t="s">
        <v>403</v>
      </c>
      <c r="L105" s="284">
        <v>185.68273</v>
      </c>
      <c r="M105" s="290">
        <v>40.1</v>
      </c>
      <c r="N105" s="291">
        <v>1.02</v>
      </c>
      <c r="O105" s="74"/>
      <c r="P105" s="110" t="s">
        <v>114</v>
      </c>
      <c r="Q105" s="125">
        <f>SUM(L104:L106)</f>
        <v>1831.526495</v>
      </c>
      <c r="R105" s="74"/>
      <c r="S105" s="74"/>
      <c r="T105" s="74"/>
      <c r="U105" s="74"/>
      <c r="V105" s="74"/>
      <c r="W105" s="74"/>
      <c r="X105" s="74"/>
      <c r="Y105" s="74"/>
      <c r="Z105" s="74"/>
    </row>
    <row r="106" ht="90.0" customHeight="1">
      <c r="A106" s="74"/>
      <c r="B106" s="154" t="s">
        <v>295</v>
      </c>
      <c r="C106" s="154" t="s">
        <v>404</v>
      </c>
      <c r="D106" s="151" t="s">
        <v>405</v>
      </c>
      <c r="E106" s="284">
        <v>381.558799</v>
      </c>
      <c r="F106" s="247">
        <v>180.3</v>
      </c>
      <c r="G106" s="285">
        <v>5.0</v>
      </c>
      <c r="H106" s="74"/>
      <c r="I106" s="154" t="s">
        <v>406</v>
      </c>
      <c r="J106" s="154" t="s">
        <v>407</v>
      </c>
      <c r="K106" s="154" t="s">
        <v>408</v>
      </c>
      <c r="L106" s="284">
        <v>754.106522</v>
      </c>
      <c r="M106" s="290">
        <v>22.3374422</v>
      </c>
      <c r="N106" s="291">
        <v>1.02</v>
      </c>
      <c r="O106" s="74"/>
      <c r="P106" s="110" t="s">
        <v>117</v>
      </c>
      <c r="Q106" s="125">
        <f>SUM(L112:L128)</f>
        <v>2922.650757</v>
      </c>
      <c r="R106" s="74"/>
      <c r="S106" s="74"/>
      <c r="T106" s="74"/>
      <c r="U106" s="74"/>
      <c r="V106" s="74"/>
      <c r="W106" s="74"/>
      <c r="X106" s="74"/>
      <c r="Y106" s="74"/>
      <c r="Z106" s="74"/>
    </row>
    <row r="107" ht="14.25" customHeight="1">
      <c r="A107" s="74"/>
      <c r="B107" s="154" t="s">
        <v>409</v>
      </c>
      <c r="C107" s="154" t="s">
        <v>410</v>
      </c>
      <c r="D107" s="151" t="s">
        <v>411</v>
      </c>
      <c r="E107" s="284">
        <v>23.6329048</v>
      </c>
      <c r="F107" s="247">
        <v>30.0</v>
      </c>
      <c r="G107" s="285">
        <v>16.0</v>
      </c>
      <c r="H107" s="74"/>
      <c r="I107" s="109"/>
      <c r="J107" s="74"/>
      <c r="K107" s="292"/>
      <c r="L107" s="105"/>
      <c r="M107" s="74"/>
      <c r="N107" s="74"/>
      <c r="O107" s="74"/>
      <c r="P107" s="74"/>
      <c r="Q107" s="74"/>
      <c r="R107" s="74"/>
      <c r="S107" s="74"/>
      <c r="T107" s="74"/>
      <c r="U107" s="74"/>
      <c r="V107" s="74"/>
      <c r="W107" s="74"/>
      <c r="X107" s="74"/>
      <c r="Y107" s="74"/>
      <c r="Z107" s="74"/>
    </row>
    <row r="108" ht="14.25" customHeight="1">
      <c r="A108" s="74"/>
      <c r="B108" s="154" t="s">
        <v>412</v>
      </c>
      <c r="C108" s="154" t="s">
        <v>413</v>
      </c>
      <c r="D108" s="151" t="s">
        <v>411</v>
      </c>
      <c r="E108" s="284">
        <v>0.484395599</v>
      </c>
      <c r="F108" s="247">
        <v>30.0</v>
      </c>
      <c r="G108" s="285">
        <v>16.0</v>
      </c>
      <c r="H108" s="74"/>
      <c r="I108" s="105"/>
      <c r="J108" s="74"/>
      <c r="K108" s="105"/>
      <c r="L108" s="108"/>
      <c r="M108" s="293"/>
      <c r="N108" s="74"/>
      <c r="O108" s="74"/>
      <c r="P108" s="110" t="s">
        <v>101</v>
      </c>
      <c r="Q108" s="125">
        <f>Q104-Q105-Q106</f>
        <v>-0.2799144226</v>
      </c>
      <c r="R108" s="74"/>
      <c r="S108" s="74"/>
      <c r="T108" s="74"/>
      <c r="U108" s="74"/>
      <c r="V108" s="74"/>
      <c r="W108" s="74"/>
      <c r="X108" s="74"/>
      <c r="Y108" s="74"/>
      <c r="Z108" s="74"/>
    </row>
    <row r="109" ht="14.25" customHeight="1">
      <c r="A109" s="74"/>
      <c r="B109" s="154" t="s">
        <v>414</v>
      </c>
      <c r="C109" s="154" t="s">
        <v>415</v>
      </c>
      <c r="D109" s="151" t="s">
        <v>411</v>
      </c>
      <c r="E109" s="284">
        <v>0.175959395</v>
      </c>
      <c r="F109" s="247">
        <v>30.0</v>
      </c>
      <c r="G109" s="285">
        <v>16.0</v>
      </c>
      <c r="H109" s="74"/>
      <c r="I109" s="105"/>
      <c r="J109" s="74"/>
      <c r="K109" s="74"/>
      <c r="L109" s="105"/>
      <c r="M109" s="74"/>
      <c r="N109" s="74"/>
      <c r="O109" s="74"/>
      <c r="P109" s="135" t="s">
        <v>121</v>
      </c>
      <c r="Q109" s="124">
        <f>(Q108/Q104)*100</f>
        <v>-0.005888104071</v>
      </c>
      <c r="R109" s="74"/>
      <c r="S109" s="74"/>
      <c r="T109" s="74"/>
      <c r="U109" s="74"/>
      <c r="V109" s="74"/>
      <c r="W109" s="74"/>
      <c r="X109" s="74"/>
      <c r="Y109" s="74"/>
      <c r="Z109" s="74"/>
    </row>
    <row r="110" ht="14.25" customHeight="1">
      <c r="A110" s="74"/>
      <c r="B110" s="154" t="s">
        <v>416</v>
      </c>
      <c r="C110" s="154" t="s">
        <v>417</v>
      </c>
      <c r="D110" s="151" t="s">
        <v>411</v>
      </c>
      <c r="E110" s="284">
        <v>4.9174463</v>
      </c>
      <c r="F110" s="247">
        <v>30.0</v>
      </c>
      <c r="G110" s="285">
        <v>16.0</v>
      </c>
      <c r="H110" s="74"/>
      <c r="I110" s="118" t="s">
        <v>280</v>
      </c>
      <c r="J110" s="212"/>
      <c r="K110" s="294"/>
      <c r="L110" s="213"/>
      <c r="M110" s="74"/>
      <c r="N110" s="74"/>
      <c r="O110" s="74"/>
      <c r="P110" s="104"/>
      <c r="Q110" s="74"/>
      <c r="R110" s="74"/>
      <c r="S110" s="74"/>
      <c r="T110" s="74"/>
      <c r="U110" s="74"/>
      <c r="V110" s="74"/>
      <c r="W110" s="74"/>
      <c r="X110" s="74"/>
      <c r="Y110" s="74"/>
      <c r="Z110" s="74"/>
    </row>
    <row r="111" ht="14.25" customHeight="1">
      <c r="A111" s="74"/>
      <c r="B111" s="154" t="s">
        <v>418</v>
      </c>
      <c r="C111" s="154" t="s">
        <v>419</v>
      </c>
      <c r="D111" s="151" t="s">
        <v>420</v>
      </c>
      <c r="E111" s="284">
        <v>129.710016</v>
      </c>
      <c r="F111" s="285">
        <v>15.0</v>
      </c>
      <c r="G111" s="285">
        <v>1.02</v>
      </c>
      <c r="H111" s="74"/>
      <c r="I111" s="121" t="s">
        <v>102</v>
      </c>
      <c r="J111" s="121" t="s">
        <v>391</v>
      </c>
      <c r="K111" s="121" t="s">
        <v>421</v>
      </c>
      <c r="L111" s="121" t="s">
        <v>422</v>
      </c>
      <c r="M111" s="283" t="s">
        <v>392</v>
      </c>
      <c r="N111" s="283" t="s">
        <v>241</v>
      </c>
      <c r="O111" s="74"/>
      <c r="P111" s="74"/>
      <c r="Q111" s="74"/>
      <c r="R111" s="74"/>
      <c r="S111" s="74"/>
      <c r="T111" s="74"/>
      <c r="U111" s="74"/>
      <c r="V111" s="74"/>
      <c r="W111" s="74"/>
      <c r="X111" s="74"/>
      <c r="Y111" s="74"/>
      <c r="Z111" s="74"/>
    </row>
    <row r="112" ht="14.25" customHeight="1">
      <c r="A112" s="74"/>
      <c r="B112" s="154" t="s">
        <v>423</v>
      </c>
      <c r="C112" s="154" t="s">
        <v>424</v>
      </c>
      <c r="D112" s="151" t="s">
        <v>425</v>
      </c>
      <c r="E112" s="284">
        <v>126.464646</v>
      </c>
      <c r="F112" s="285">
        <v>40.0</v>
      </c>
      <c r="G112" s="285">
        <v>1.02</v>
      </c>
      <c r="H112" s="74"/>
      <c r="I112" s="295" t="s">
        <v>426</v>
      </c>
      <c r="J112" s="81" t="s">
        <v>427</v>
      </c>
      <c r="K112" s="151" t="s">
        <v>428</v>
      </c>
      <c r="L112" s="160">
        <v>45.100113</v>
      </c>
      <c r="M112" s="288">
        <v>40.0</v>
      </c>
      <c r="N112" s="289">
        <v>1.02</v>
      </c>
      <c r="O112" s="74"/>
      <c r="P112" s="74"/>
      <c r="Q112" s="74"/>
      <c r="R112" s="74"/>
      <c r="S112" s="74"/>
      <c r="T112" s="74"/>
      <c r="U112" s="74"/>
      <c r="V112" s="74"/>
      <c r="W112" s="74"/>
      <c r="X112" s="74"/>
      <c r="Y112" s="74"/>
      <c r="Z112" s="74"/>
    </row>
    <row r="113" ht="14.25" customHeight="1">
      <c r="A113" s="74"/>
      <c r="B113" s="74"/>
      <c r="C113" s="74"/>
      <c r="D113" s="74"/>
      <c r="E113" s="74"/>
      <c r="F113" s="74"/>
      <c r="G113" s="74"/>
      <c r="H113" s="74"/>
      <c r="I113" s="295" t="s">
        <v>429</v>
      </c>
      <c r="J113" s="81" t="s">
        <v>430</v>
      </c>
      <c r="K113" s="151" t="s">
        <v>431</v>
      </c>
      <c r="L113" s="160">
        <v>605.354487</v>
      </c>
      <c r="M113" s="288">
        <v>40.0</v>
      </c>
      <c r="N113" s="289">
        <v>1.02</v>
      </c>
      <c r="O113" s="74"/>
      <c r="P113" s="74"/>
      <c r="Q113" s="74"/>
      <c r="R113" s="74"/>
      <c r="S113" s="74"/>
      <c r="T113" s="74"/>
      <c r="U113" s="74"/>
      <c r="V113" s="74"/>
      <c r="W113" s="74"/>
      <c r="X113" s="74"/>
      <c r="Y113" s="74"/>
      <c r="Z113" s="74"/>
    </row>
    <row r="114" ht="14.25" customHeight="1">
      <c r="A114" s="74"/>
      <c r="B114" s="74"/>
      <c r="C114" s="74"/>
      <c r="D114" s="74"/>
      <c r="E114" s="74"/>
      <c r="F114" s="74"/>
      <c r="G114" s="74"/>
      <c r="H114" s="74"/>
      <c r="I114" s="295" t="s">
        <v>432</v>
      </c>
      <c r="J114" s="81" t="s">
        <v>433</v>
      </c>
      <c r="K114" s="151" t="s">
        <v>434</v>
      </c>
      <c r="L114" s="160">
        <v>47.3909658</v>
      </c>
      <c r="M114" s="288">
        <v>-53.8888889</v>
      </c>
      <c r="N114" s="289">
        <v>14.0</v>
      </c>
      <c r="O114" s="74"/>
      <c r="P114" s="74"/>
      <c r="Q114" s="74"/>
      <c r="R114" s="74"/>
      <c r="S114" s="74"/>
      <c r="T114" s="74"/>
      <c r="U114" s="74"/>
      <c r="V114" s="74"/>
      <c r="W114" s="74"/>
      <c r="X114" s="74"/>
      <c r="Y114" s="74"/>
      <c r="Z114" s="74"/>
    </row>
    <row r="115" ht="14.25" customHeight="1">
      <c r="A115" s="74"/>
      <c r="B115" s="74"/>
      <c r="C115" s="74"/>
      <c r="D115" s="74"/>
      <c r="E115" s="74"/>
      <c r="F115" s="74"/>
      <c r="G115" s="74"/>
      <c r="H115" s="74"/>
      <c r="I115" s="295" t="s">
        <v>435</v>
      </c>
      <c r="J115" s="81" t="s">
        <v>436</v>
      </c>
      <c r="K115" s="151" t="s">
        <v>437</v>
      </c>
      <c r="L115" s="160">
        <v>20.1978859</v>
      </c>
      <c r="M115" s="288">
        <v>40.0</v>
      </c>
      <c r="N115" s="289">
        <v>1.02</v>
      </c>
      <c r="O115" s="74"/>
      <c r="P115" s="74"/>
      <c r="Q115" s="74"/>
      <c r="R115" s="74"/>
      <c r="S115" s="74"/>
      <c r="T115" s="74"/>
      <c r="U115" s="74"/>
      <c r="V115" s="74"/>
      <c r="W115" s="74"/>
      <c r="X115" s="74"/>
      <c r="Y115" s="74"/>
      <c r="Z115" s="74"/>
    </row>
    <row r="116" ht="14.25" customHeight="1">
      <c r="A116" s="74"/>
      <c r="B116" s="74"/>
      <c r="C116" s="74"/>
      <c r="D116" s="74"/>
      <c r="E116" s="74"/>
      <c r="F116" s="74"/>
      <c r="G116" s="74"/>
      <c r="H116" s="74"/>
      <c r="I116" s="286" t="s">
        <v>438</v>
      </c>
      <c r="J116" s="81" t="s">
        <v>439</v>
      </c>
      <c r="K116" s="151" t="s">
        <v>440</v>
      </c>
      <c r="L116" s="160">
        <v>30.1526519</v>
      </c>
      <c r="M116" s="288">
        <v>40.0</v>
      </c>
      <c r="N116" s="289">
        <v>1.02</v>
      </c>
      <c r="O116" s="74"/>
      <c r="P116" s="74"/>
      <c r="Q116" s="74"/>
      <c r="R116" s="74"/>
      <c r="S116" s="74"/>
      <c r="T116" s="74"/>
      <c r="U116" s="74"/>
      <c r="V116" s="74"/>
      <c r="W116" s="74"/>
      <c r="X116" s="74"/>
      <c r="Y116" s="74"/>
      <c r="Z116" s="74"/>
    </row>
    <row r="117" ht="14.25" customHeight="1">
      <c r="A117" s="74"/>
      <c r="B117" s="74"/>
      <c r="C117" s="74"/>
      <c r="D117" s="74"/>
      <c r="E117" s="74"/>
      <c r="F117" s="74"/>
      <c r="G117" s="74"/>
      <c r="H117" s="74"/>
      <c r="I117" s="286" t="s">
        <v>441</v>
      </c>
      <c r="J117" s="81" t="s">
        <v>442</v>
      </c>
      <c r="K117" s="151" t="s">
        <v>443</v>
      </c>
      <c r="L117" s="160">
        <v>1.82307079</v>
      </c>
      <c r="M117" s="288">
        <v>40.0</v>
      </c>
      <c r="N117" s="289">
        <v>1.02</v>
      </c>
      <c r="O117" s="74"/>
      <c r="P117" s="74"/>
      <c r="Q117" s="74"/>
      <c r="R117" s="74"/>
      <c r="S117" s="74"/>
      <c r="T117" s="74"/>
      <c r="U117" s="74"/>
      <c r="V117" s="74"/>
      <c r="W117" s="74"/>
      <c r="X117" s="74"/>
      <c r="Y117" s="74"/>
      <c r="Z117" s="74"/>
    </row>
    <row r="118" ht="14.25" customHeight="1">
      <c r="A118" s="74"/>
      <c r="B118" s="74"/>
      <c r="C118" s="74"/>
      <c r="D118" s="74"/>
      <c r="E118" s="74"/>
      <c r="F118" s="74"/>
      <c r="G118" s="74"/>
      <c r="H118" s="74"/>
      <c r="I118" s="286" t="s">
        <v>444</v>
      </c>
      <c r="J118" s="81" t="s">
        <v>445</v>
      </c>
      <c r="K118" s="151" t="s">
        <v>446</v>
      </c>
      <c r="L118" s="160">
        <v>1066.31883</v>
      </c>
      <c r="M118" s="288">
        <v>46.3287842</v>
      </c>
      <c r="N118" s="289">
        <v>2.0</v>
      </c>
      <c r="O118" s="74"/>
      <c r="P118" s="74"/>
      <c r="Q118" s="74"/>
      <c r="R118" s="74"/>
      <c r="S118" s="74"/>
      <c r="T118" s="74"/>
      <c r="U118" s="74"/>
      <c r="V118" s="74"/>
      <c r="W118" s="74"/>
      <c r="X118" s="74"/>
      <c r="Y118" s="74"/>
      <c r="Z118" s="74"/>
    </row>
    <row r="119" ht="72.0" customHeight="1">
      <c r="A119" s="74"/>
      <c r="B119" s="74"/>
      <c r="C119" s="74"/>
      <c r="D119" s="74"/>
      <c r="E119" s="74"/>
      <c r="F119" s="74"/>
      <c r="G119" s="74"/>
      <c r="H119" s="74"/>
      <c r="I119" s="295" t="s">
        <v>447</v>
      </c>
      <c r="J119" s="81" t="s">
        <v>448</v>
      </c>
      <c r="K119" s="154" t="s">
        <v>449</v>
      </c>
      <c r="L119" s="160">
        <v>12.1410396</v>
      </c>
      <c r="M119" s="288">
        <v>-35.7707895</v>
      </c>
      <c r="N119" s="289">
        <v>5.0</v>
      </c>
      <c r="O119" s="74"/>
      <c r="P119" s="74"/>
      <c r="Q119" s="74"/>
      <c r="R119" s="74"/>
      <c r="S119" s="74"/>
      <c r="T119" s="74"/>
      <c r="U119" s="74"/>
      <c r="V119" s="74"/>
      <c r="W119" s="74"/>
      <c r="X119" s="74"/>
      <c r="Y119" s="74"/>
      <c r="Z119" s="74"/>
    </row>
    <row r="120" ht="14.25" customHeight="1">
      <c r="A120" s="74"/>
      <c r="B120" s="74"/>
      <c r="C120" s="74"/>
      <c r="D120" s="74"/>
      <c r="E120" s="74"/>
      <c r="F120" s="74"/>
      <c r="G120" s="74"/>
      <c r="H120" s="74"/>
      <c r="I120" s="286" t="s">
        <v>450</v>
      </c>
      <c r="J120" s="81" t="s">
        <v>451</v>
      </c>
      <c r="K120" s="154" t="s">
        <v>452</v>
      </c>
      <c r="L120" s="160">
        <v>125.931198</v>
      </c>
      <c r="M120" s="250">
        <v>40.0</v>
      </c>
      <c r="N120" s="248">
        <v>2.0</v>
      </c>
      <c r="O120" s="74"/>
      <c r="P120" s="74"/>
      <c r="Q120" s="74"/>
      <c r="R120" s="74"/>
      <c r="S120" s="74"/>
      <c r="T120" s="74"/>
      <c r="U120" s="74"/>
      <c r="V120" s="74"/>
      <c r="W120" s="74"/>
      <c r="X120" s="74"/>
      <c r="Y120" s="74"/>
      <c r="Z120" s="74"/>
    </row>
    <row r="121" ht="14.25" customHeight="1">
      <c r="A121" s="74"/>
      <c r="B121" s="74"/>
      <c r="C121" s="74"/>
      <c r="D121" s="74"/>
      <c r="E121" s="74"/>
      <c r="F121" s="74"/>
      <c r="G121" s="74"/>
      <c r="H121" s="74"/>
      <c r="I121" s="286" t="s">
        <v>453</v>
      </c>
      <c r="J121" s="81" t="s">
        <v>454</v>
      </c>
      <c r="K121" s="154" t="s">
        <v>455</v>
      </c>
      <c r="L121" s="160">
        <v>0.823285022</v>
      </c>
      <c r="M121" s="288">
        <v>30.0000016</v>
      </c>
      <c r="N121" s="289">
        <v>1.02</v>
      </c>
      <c r="O121" s="74"/>
      <c r="P121" s="74"/>
      <c r="Q121" s="74"/>
      <c r="R121" s="74"/>
      <c r="S121" s="74"/>
      <c r="T121" s="74"/>
      <c r="U121" s="74"/>
      <c r="V121" s="74"/>
      <c r="W121" s="74"/>
      <c r="X121" s="74"/>
      <c r="Y121" s="74"/>
      <c r="Z121" s="74"/>
    </row>
    <row r="122" ht="14.25" customHeight="1">
      <c r="A122" s="74"/>
      <c r="B122" s="74"/>
      <c r="C122" s="74"/>
      <c r="D122" s="74"/>
      <c r="E122" s="74"/>
      <c r="F122" s="74"/>
      <c r="G122" s="74"/>
      <c r="H122" s="74"/>
      <c r="I122" s="295" t="s">
        <v>456</v>
      </c>
      <c r="J122" s="81" t="s">
        <v>457</v>
      </c>
      <c r="K122" s="154" t="s">
        <v>458</v>
      </c>
      <c r="L122" s="160">
        <v>0.00641241444</v>
      </c>
      <c r="M122" s="288">
        <v>40.2706444</v>
      </c>
      <c r="N122" s="289">
        <v>5.0</v>
      </c>
      <c r="O122" s="74"/>
      <c r="P122" s="74"/>
      <c r="Q122" s="74"/>
      <c r="R122" s="74"/>
      <c r="S122" s="74"/>
      <c r="T122" s="74"/>
      <c r="U122" s="74"/>
      <c r="V122" s="74"/>
      <c r="W122" s="74"/>
      <c r="X122" s="74"/>
      <c r="Y122" s="74"/>
      <c r="Z122" s="74"/>
    </row>
    <row r="123" ht="14.25" customHeight="1">
      <c r="A123" s="74"/>
      <c r="B123" s="74"/>
      <c r="C123" s="74"/>
      <c r="D123" s="74"/>
      <c r="E123" s="74"/>
      <c r="F123" s="74"/>
      <c r="G123" s="74"/>
      <c r="H123" s="74"/>
      <c r="I123" s="295" t="s">
        <v>459</v>
      </c>
      <c r="J123" s="81" t="s">
        <v>460</v>
      </c>
      <c r="K123" s="154" t="s">
        <v>461</v>
      </c>
      <c r="L123" s="160">
        <v>0.0403480102</v>
      </c>
      <c r="M123" s="288">
        <v>25.7038241</v>
      </c>
      <c r="N123" s="289">
        <v>5.0</v>
      </c>
      <c r="O123" s="74"/>
      <c r="P123" s="74"/>
      <c r="Q123" s="74"/>
      <c r="R123" s="74"/>
      <c r="S123" s="74"/>
      <c r="T123" s="74"/>
      <c r="U123" s="74"/>
      <c r="V123" s="74"/>
      <c r="W123" s="74"/>
      <c r="X123" s="74"/>
      <c r="Y123" s="74"/>
      <c r="Z123" s="74"/>
    </row>
    <row r="124" ht="14.25" customHeight="1">
      <c r="A124" s="74"/>
      <c r="B124" s="74"/>
      <c r="C124" s="74"/>
      <c r="D124" s="74"/>
      <c r="E124" s="74"/>
      <c r="F124" s="74"/>
      <c r="G124" s="74"/>
      <c r="H124" s="74"/>
      <c r="I124" s="286" t="s">
        <v>462</v>
      </c>
      <c r="J124" s="81" t="s">
        <v>463</v>
      </c>
      <c r="K124" s="154" t="s">
        <v>464</v>
      </c>
      <c r="L124" s="160">
        <v>844.334482</v>
      </c>
      <c r="M124" s="288">
        <v>40.0</v>
      </c>
      <c r="N124" s="289">
        <v>2.0</v>
      </c>
      <c r="O124" s="74"/>
      <c r="P124" s="74"/>
      <c r="Q124" s="74"/>
      <c r="R124" s="74"/>
      <c r="S124" s="74"/>
      <c r="T124" s="74"/>
      <c r="U124" s="74"/>
      <c r="V124" s="74"/>
      <c r="W124" s="74"/>
      <c r="X124" s="74"/>
      <c r="Y124" s="74"/>
      <c r="Z124" s="74"/>
    </row>
    <row r="125" ht="14.25" customHeight="1">
      <c r="A125" s="74"/>
      <c r="B125" s="74"/>
      <c r="C125" s="74"/>
      <c r="D125" s="74"/>
      <c r="E125" s="74"/>
      <c r="F125" s="74"/>
      <c r="G125" s="74"/>
      <c r="H125" s="74"/>
      <c r="I125" s="286" t="s">
        <v>36</v>
      </c>
      <c r="J125" s="81" t="s">
        <v>465</v>
      </c>
      <c r="K125" s="154" t="s">
        <v>466</v>
      </c>
      <c r="L125" s="160">
        <v>4.08700865</v>
      </c>
      <c r="M125" s="288">
        <v>40.2750434</v>
      </c>
      <c r="N125" s="296">
        <v>1.02</v>
      </c>
      <c r="O125" s="74"/>
      <c r="P125" s="74"/>
      <c r="Q125" s="74"/>
      <c r="R125" s="74"/>
      <c r="S125" s="74"/>
      <c r="T125" s="74"/>
      <c r="U125" s="74"/>
      <c r="V125" s="74"/>
      <c r="W125" s="74"/>
      <c r="X125" s="74"/>
      <c r="Y125" s="74"/>
      <c r="Z125" s="74"/>
    </row>
    <row r="126" ht="14.25" customHeight="1">
      <c r="A126" s="74"/>
      <c r="B126" s="74"/>
      <c r="C126" s="74"/>
      <c r="D126" s="74"/>
      <c r="E126" s="74"/>
      <c r="F126" s="74"/>
      <c r="G126" s="74"/>
      <c r="H126" s="74"/>
      <c r="I126" s="295" t="s">
        <v>467</v>
      </c>
      <c r="J126" s="81" t="s">
        <v>468</v>
      </c>
      <c r="K126" s="154" t="s">
        <v>469</v>
      </c>
      <c r="L126" s="160">
        <v>32.765299</v>
      </c>
      <c r="M126" s="288">
        <v>30.0000016</v>
      </c>
      <c r="N126" s="289">
        <v>1.02</v>
      </c>
      <c r="O126" s="74"/>
      <c r="P126" s="74"/>
      <c r="Q126" s="74"/>
      <c r="R126" s="74"/>
      <c r="S126" s="74"/>
      <c r="T126" s="74"/>
      <c r="U126" s="74"/>
      <c r="V126" s="74"/>
      <c r="W126" s="74"/>
      <c r="X126" s="74"/>
      <c r="Y126" s="74"/>
      <c r="Z126" s="74"/>
    </row>
    <row r="127" ht="14.25" customHeight="1">
      <c r="A127" s="74"/>
      <c r="B127" s="74"/>
      <c r="C127" s="74"/>
      <c r="D127" s="74"/>
      <c r="E127" s="74"/>
      <c r="F127" s="74"/>
      <c r="G127" s="74"/>
      <c r="H127" s="74"/>
      <c r="I127" s="286" t="s">
        <v>470</v>
      </c>
      <c r="J127" s="81" t="s">
        <v>471</v>
      </c>
      <c r="K127" s="154" t="s">
        <v>472</v>
      </c>
      <c r="L127" s="160">
        <v>6.02525193</v>
      </c>
      <c r="M127" s="288">
        <v>40.0</v>
      </c>
      <c r="N127" s="289">
        <v>2.0</v>
      </c>
      <c r="O127" s="74"/>
      <c r="P127" s="74"/>
      <c r="Q127" s="74"/>
      <c r="R127" s="74"/>
      <c r="S127" s="74"/>
      <c r="T127" s="74"/>
      <c r="U127" s="74"/>
      <c r="V127" s="74"/>
      <c r="W127" s="74"/>
      <c r="X127" s="74"/>
      <c r="Y127" s="74"/>
      <c r="Z127" s="74"/>
    </row>
    <row r="128" ht="14.25" customHeight="1">
      <c r="A128" s="74"/>
      <c r="B128" s="74"/>
      <c r="C128" s="74"/>
      <c r="D128" s="74"/>
      <c r="E128" s="74"/>
      <c r="F128" s="74"/>
      <c r="G128" s="74"/>
      <c r="H128" s="74"/>
      <c r="I128" s="286" t="s">
        <v>473</v>
      </c>
      <c r="J128" s="81" t="s">
        <v>474</v>
      </c>
      <c r="K128" s="154" t="s">
        <v>475</v>
      </c>
      <c r="L128" s="160">
        <v>80.1584275</v>
      </c>
      <c r="M128" s="288">
        <v>40.0</v>
      </c>
      <c r="N128" s="289">
        <v>2.0</v>
      </c>
      <c r="O128" s="74"/>
      <c r="P128" s="74"/>
      <c r="Q128" s="74"/>
      <c r="R128" s="74"/>
      <c r="S128" s="74"/>
      <c r="T128" s="74"/>
      <c r="U128" s="74"/>
      <c r="V128" s="74"/>
      <c r="W128" s="74"/>
      <c r="X128" s="74"/>
      <c r="Y128" s="74"/>
      <c r="Z128" s="74"/>
    </row>
    <row r="129" ht="14.25" customHeight="1">
      <c r="A129" s="74"/>
      <c r="B129" s="110" t="s">
        <v>122</v>
      </c>
      <c r="C129" s="117"/>
      <c r="D129" s="117"/>
      <c r="E129" s="117"/>
      <c r="F129" s="117"/>
      <c r="G129" s="117"/>
      <c r="H129" s="117"/>
      <c r="I129" s="117"/>
      <c r="J129" s="74"/>
      <c r="K129" s="74"/>
      <c r="L129" s="74"/>
      <c r="M129" s="74"/>
      <c r="N129" s="74"/>
      <c r="O129" s="74"/>
      <c r="P129" s="74"/>
      <c r="Q129" s="74"/>
      <c r="R129" s="74"/>
      <c r="S129" s="74"/>
      <c r="T129" s="74"/>
      <c r="U129" s="74"/>
      <c r="V129" s="74"/>
      <c r="W129" s="74"/>
      <c r="X129" s="74"/>
      <c r="Y129" s="74"/>
      <c r="Z129" s="74"/>
    </row>
    <row r="130" ht="14.25" customHeight="1">
      <c r="A130" s="74"/>
      <c r="B130" s="117"/>
      <c r="C130" s="117"/>
      <c r="D130" s="117"/>
      <c r="E130" s="117"/>
      <c r="F130" s="117"/>
      <c r="G130" s="297" t="s">
        <v>476</v>
      </c>
      <c r="H130" s="297" t="s">
        <v>477</v>
      </c>
      <c r="I130" s="117"/>
      <c r="J130" s="74"/>
      <c r="K130" s="74"/>
      <c r="L130" s="74"/>
      <c r="M130" s="74"/>
      <c r="N130" s="74"/>
      <c r="O130" s="74"/>
      <c r="P130" s="74"/>
      <c r="Q130" s="74"/>
      <c r="R130" s="74"/>
      <c r="S130" s="74"/>
      <c r="T130" s="74"/>
      <c r="U130" s="74"/>
      <c r="V130" s="74"/>
      <c r="W130" s="74"/>
      <c r="X130" s="74"/>
      <c r="Y130" s="74"/>
      <c r="Z130" s="74"/>
    </row>
    <row r="131" ht="14.25" customHeight="1">
      <c r="A131" s="74"/>
      <c r="B131" s="118" t="s">
        <v>3</v>
      </c>
      <c r="C131" s="118" t="s">
        <v>4</v>
      </c>
      <c r="D131" s="118" t="s">
        <v>124</v>
      </c>
      <c r="E131" s="142" t="s">
        <v>5</v>
      </c>
      <c r="F131" s="142" t="s">
        <v>125</v>
      </c>
      <c r="G131" s="143" t="s">
        <v>126</v>
      </c>
      <c r="H131" s="143" t="s">
        <v>127</v>
      </c>
      <c r="I131" s="144" t="s">
        <v>128</v>
      </c>
      <c r="J131" s="129"/>
      <c r="K131" s="138" t="s">
        <v>123</v>
      </c>
      <c r="L131" s="139"/>
      <c r="M131" s="140"/>
      <c r="N131" s="140"/>
      <c r="O131" s="140"/>
      <c r="P131" s="140"/>
      <c r="Q131" s="141"/>
      <c r="R131" s="74"/>
      <c r="S131" s="74"/>
      <c r="T131" s="74"/>
      <c r="U131" s="74"/>
      <c r="V131" s="74"/>
      <c r="W131" s="74"/>
      <c r="X131" s="74"/>
      <c r="Y131" s="74"/>
      <c r="Z131" s="74"/>
    </row>
    <row r="132" ht="33.0" customHeight="1">
      <c r="A132" s="74"/>
      <c r="B132" s="81" t="s">
        <v>20</v>
      </c>
      <c r="C132" s="210">
        <v>7504.05974712</v>
      </c>
      <c r="D132" s="298">
        <v>3514.1739733900004</v>
      </c>
      <c r="E132" s="298">
        <v>-7281.2864</v>
      </c>
      <c r="F132" s="298">
        <v>-3409.856</v>
      </c>
      <c r="G132" s="298">
        <v>222.77334711999993</v>
      </c>
      <c r="H132" s="298">
        <f t="shared" ref="H132:H137" si="1">D132+F132</f>
        <v>104.3179734</v>
      </c>
      <c r="I132" s="81"/>
      <c r="J132" s="129"/>
      <c r="K132" s="118" t="s">
        <v>3</v>
      </c>
      <c r="L132" s="114" t="s">
        <v>129</v>
      </c>
      <c r="M132" s="121" t="s">
        <v>130</v>
      </c>
      <c r="N132" s="121" t="s">
        <v>131</v>
      </c>
      <c r="O132" s="121" t="s">
        <v>132</v>
      </c>
      <c r="P132" s="121" t="s">
        <v>133</v>
      </c>
      <c r="Q132" s="114" t="s">
        <v>134</v>
      </c>
      <c r="R132" s="74"/>
      <c r="S132" s="74"/>
      <c r="T132" s="74"/>
      <c r="U132" s="74"/>
      <c r="V132" s="74"/>
      <c r="W132" s="74"/>
      <c r="X132" s="74"/>
      <c r="Y132" s="74"/>
      <c r="Z132" s="74"/>
    </row>
    <row r="133" ht="14.25" customHeight="1">
      <c r="A133" s="74"/>
      <c r="B133" s="145" t="s">
        <v>8</v>
      </c>
      <c r="C133" s="210">
        <v>5535.4182892</v>
      </c>
      <c r="D133" s="146">
        <v>2556.2069899999997</v>
      </c>
      <c r="E133" s="146">
        <v>-1623.104</v>
      </c>
      <c r="F133" s="146">
        <v>-774.552</v>
      </c>
      <c r="G133" s="146">
        <v>3912.3142891999996</v>
      </c>
      <c r="H133" s="298">
        <f t="shared" si="1"/>
        <v>1781.65499</v>
      </c>
      <c r="I133" s="147"/>
      <c r="J133" s="129"/>
      <c r="K133" s="148" t="s">
        <v>136</v>
      </c>
      <c r="L133" s="284">
        <v>142.7</v>
      </c>
      <c r="M133" s="284">
        <v>142.7</v>
      </c>
      <c r="N133" s="154">
        <v>3.9</v>
      </c>
      <c r="O133" s="154">
        <v>3.9</v>
      </c>
      <c r="P133" s="284">
        <v>2135.36712</v>
      </c>
      <c r="Q133" s="154" t="s">
        <v>138</v>
      </c>
      <c r="R133" s="74"/>
      <c r="S133" s="74"/>
      <c r="T133" s="74"/>
      <c r="U133" s="74"/>
      <c r="V133" s="74"/>
      <c r="W133" s="74"/>
      <c r="X133" s="74"/>
      <c r="Y133" s="74"/>
      <c r="Z133" s="74"/>
    </row>
    <row r="134" ht="14.25" customHeight="1">
      <c r="A134" s="74"/>
      <c r="B134" s="145" t="s">
        <v>10</v>
      </c>
      <c r="C134" s="210">
        <v>14760.128</v>
      </c>
      <c r="D134" s="146">
        <v>7860.03</v>
      </c>
      <c r="E134" s="146">
        <v>0.0</v>
      </c>
      <c r="F134" s="146">
        <v>0.0</v>
      </c>
      <c r="G134" s="210">
        <v>14760.128</v>
      </c>
      <c r="H134" s="298">
        <f t="shared" si="1"/>
        <v>7860.03</v>
      </c>
      <c r="I134" s="147"/>
      <c r="J134" s="129"/>
      <c r="K134" s="150" t="s">
        <v>8</v>
      </c>
      <c r="L134" s="149">
        <v>155.0</v>
      </c>
      <c r="M134" s="149">
        <v>155.0</v>
      </c>
      <c r="N134" s="151">
        <v>5.5</v>
      </c>
      <c r="O134" s="151">
        <v>5.5</v>
      </c>
      <c r="P134" s="149">
        <v>2096.77163841359</v>
      </c>
      <c r="Q134" s="149" t="s">
        <v>138</v>
      </c>
      <c r="R134" s="74"/>
      <c r="S134" s="74"/>
      <c r="T134" s="74"/>
      <c r="U134" s="74"/>
      <c r="V134" s="74"/>
      <c r="W134" s="74"/>
      <c r="X134" s="74"/>
      <c r="Y134" s="74"/>
      <c r="Z134" s="74"/>
    </row>
    <row r="135" ht="14.25" customHeight="1">
      <c r="A135" s="74"/>
      <c r="B135" s="145" t="s">
        <v>11</v>
      </c>
      <c r="C135" s="146">
        <v>5636.928</v>
      </c>
      <c r="D135" s="146">
        <v>3453.27</v>
      </c>
      <c r="E135" s="146">
        <v>0.0</v>
      </c>
      <c r="F135" s="146">
        <v>0.0</v>
      </c>
      <c r="G135" s="146">
        <f t="shared" ref="G135:G138" si="2">C135</f>
        <v>5636.928</v>
      </c>
      <c r="H135" s="298">
        <f t="shared" si="1"/>
        <v>3453.27</v>
      </c>
      <c r="I135" s="147"/>
      <c r="J135" s="129"/>
      <c r="K135" s="118" t="s">
        <v>10</v>
      </c>
      <c r="L135" s="149">
        <v>214.0</v>
      </c>
      <c r="M135" s="149">
        <v>214.0</v>
      </c>
      <c r="N135" s="149">
        <v>21.0</v>
      </c>
      <c r="O135" s="149">
        <v>21.0</v>
      </c>
      <c r="P135" s="149">
        <v>1879.6128145344</v>
      </c>
      <c r="Q135" s="149" t="s">
        <v>138</v>
      </c>
      <c r="R135" s="74"/>
      <c r="S135" s="74"/>
      <c r="T135" s="74"/>
      <c r="U135" s="74"/>
      <c r="V135" s="74"/>
      <c r="W135" s="74"/>
      <c r="X135" s="74"/>
      <c r="Y135" s="74"/>
      <c r="Z135" s="74"/>
    </row>
    <row r="136" ht="14.25" customHeight="1">
      <c r="A136" s="74"/>
      <c r="B136" s="145" t="s">
        <v>12</v>
      </c>
      <c r="C136" s="210">
        <v>26185.028963200002</v>
      </c>
      <c r="D136" s="146">
        <v>418368.16321999993</v>
      </c>
      <c r="E136" s="146">
        <v>0.0</v>
      </c>
      <c r="F136" s="146">
        <v>0.0</v>
      </c>
      <c r="G136" s="146">
        <f t="shared" si="2"/>
        <v>26185.02896</v>
      </c>
      <c r="H136" s="298">
        <f t="shared" si="1"/>
        <v>418368.1632</v>
      </c>
      <c r="I136" s="147"/>
      <c r="J136" s="129"/>
      <c r="K136" s="118" t="s">
        <v>11</v>
      </c>
      <c r="L136" s="149">
        <v>265.0</v>
      </c>
      <c r="M136" s="149">
        <v>265.0</v>
      </c>
      <c r="N136" s="149">
        <v>51.0</v>
      </c>
      <c r="O136" s="149">
        <v>51.0</v>
      </c>
      <c r="P136" s="149">
        <v>1632.4494056856</v>
      </c>
      <c r="Q136" s="149" t="s">
        <v>138</v>
      </c>
      <c r="R136" s="74"/>
      <c r="S136" s="74"/>
      <c r="T136" s="74"/>
      <c r="U136" s="74"/>
      <c r="V136" s="74"/>
      <c r="W136" s="74"/>
      <c r="X136" s="74"/>
      <c r="Y136" s="74"/>
      <c r="Z136" s="74"/>
    </row>
    <row r="137" ht="14.25" customHeight="1">
      <c r="A137" s="74"/>
      <c r="B137" s="81" t="s">
        <v>478</v>
      </c>
      <c r="C137" s="298">
        <v>332.27456</v>
      </c>
      <c r="D137" s="298">
        <v>34929.46</v>
      </c>
      <c r="E137" s="298">
        <v>0.0</v>
      </c>
      <c r="F137" s="298">
        <v>0.0</v>
      </c>
      <c r="G137" s="298">
        <f t="shared" si="2"/>
        <v>332.27456</v>
      </c>
      <c r="H137" s="298">
        <f t="shared" si="1"/>
        <v>34929.46</v>
      </c>
      <c r="I137" s="81"/>
      <c r="J137" s="74"/>
      <c r="K137" s="153" t="s">
        <v>21</v>
      </c>
      <c r="L137" s="284">
        <v>5.0</v>
      </c>
      <c r="M137" s="284">
        <v>7.5</v>
      </c>
      <c r="N137" s="154">
        <v>1.02</v>
      </c>
      <c r="O137" s="154">
        <v>1.02</v>
      </c>
      <c r="P137" s="284">
        <v>0.00943368031</v>
      </c>
      <c r="Q137" s="154" t="s">
        <v>479</v>
      </c>
      <c r="R137" s="74"/>
      <c r="S137" s="74"/>
      <c r="T137" s="74"/>
      <c r="U137" s="74"/>
      <c r="V137" s="74"/>
      <c r="W137" s="74"/>
      <c r="X137" s="74"/>
      <c r="Y137" s="74"/>
      <c r="Z137" s="74"/>
    </row>
    <row r="138" ht="14.25" customHeight="1">
      <c r="A138" s="74"/>
      <c r="B138" s="145" t="s">
        <v>34</v>
      </c>
      <c r="C138" s="210">
        <v>530.638945424</v>
      </c>
      <c r="D138" s="157" t="s">
        <v>480</v>
      </c>
      <c r="E138" s="146">
        <v>0.0</v>
      </c>
      <c r="F138" s="299" t="s">
        <v>481</v>
      </c>
      <c r="G138" s="146">
        <f t="shared" si="2"/>
        <v>530.6389454</v>
      </c>
      <c r="H138" s="157" t="s">
        <v>480</v>
      </c>
      <c r="I138" s="223" t="s">
        <v>299</v>
      </c>
      <c r="J138" s="74"/>
      <c r="K138" s="118" t="s">
        <v>12</v>
      </c>
      <c r="L138" s="159">
        <v>25.0</v>
      </c>
      <c r="M138" s="159">
        <v>40.0</v>
      </c>
      <c r="N138" s="160">
        <v>1.02</v>
      </c>
      <c r="O138" s="160">
        <v>1.02</v>
      </c>
      <c r="P138" s="160">
        <f>62.74243314036/(M138-L138)</f>
        <v>4.182828876</v>
      </c>
      <c r="Q138" s="159" t="s">
        <v>143</v>
      </c>
      <c r="R138" s="74"/>
      <c r="S138" s="74"/>
      <c r="T138" s="74"/>
      <c r="U138" s="74"/>
      <c r="V138" s="74"/>
      <c r="W138" s="74"/>
      <c r="X138" s="74"/>
      <c r="Y138" s="74"/>
      <c r="Z138" s="74"/>
    </row>
    <row r="139" ht="14.25" customHeight="1">
      <c r="A139" s="74"/>
      <c r="B139" s="117"/>
      <c r="C139" s="117"/>
      <c r="D139" s="117"/>
      <c r="E139" s="117"/>
      <c r="F139" s="117"/>
      <c r="G139" s="225">
        <f t="shared" ref="G139:H139" si="3">SUM(G132:G138)</f>
        <v>51580.0861</v>
      </c>
      <c r="H139" s="225">
        <f t="shared" si="3"/>
        <v>466496.8962</v>
      </c>
      <c r="I139" s="117"/>
      <c r="J139" s="74"/>
      <c r="K139" s="74"/>
      <c r="L139" s="74"/>
      <c r="M139" s="74"/>
      <c r="N139" s="74"/>
      <c r="O139" s="74"/>
      <c r="P139" s="74"/>
      <c r="Q139" s="74"/>
      <c r="R139" s="74"/>
      <c r="S139" s="74"/>
      <c r="T139" s="74"/>
      <c r="U139" s="74"/>
      <c r="V139" s="74"/>
      <c r="W139" s="74"/>
      <c r="X139" s="74"/>
      <c r="Y139" s="74"/>
      <c r="Z139" s="74"/>
    </row>
    <row r="140" ht="14.25" customHeight="1">
      <c r="A140" s="74"/>
      <c r="B140" s="226" t="s">
        <v>158</v>
      </c>
      <c r="C140" s="173" t="s">
        <v>159</v>
      </c>
      <c r="D140" s="173">
        <v>891.74</v>
      </c>
      <c r="E140" s="227" t="s">
        <v>156</v>
      </c>
      <c r="F140" s="300">
        <v>0.264166</v>
      </c>
      <c r="G140" s="227" t="s">
        <v>153</v>
      </c>
      <c r="H140" s="229">
        <v>8765.82</v>
      </c>
      <c r="I140" s="230"/>
      <c r="J140" s="74"/>
      <c r="K140" s="74"/>
      <c r="L140" s="74"/>
      <c r="M140" s="74"/>
      <c r="N140" s="74"/>
      <c r="O140" s="74"/>
      <c r="P140" s="74"/>
      <c r="Q140" s="74"/>
      <c r="R140" s="74"/>
      <c r="S140" s="74"/>
      <c r="T140" s="74"/>
      <c r="U140" s="74"/>
      <c r="V140" s="74"/>
      <c r="W140" s="74"/>
      <c r="X140" s="74"/>
      <c r="Y140" s="74"/>
      <c r="Z140" s="74"/>
    </row>
    <row r="141" ht="14.25" customHeight="1">
      <c r="A141" s="74"/>
      <c r="B141" s="176"/>
      <c r="C141" s="176"/>
      <c r="D141" s="176"/>
      <c r="E141" s="301"/>
      <c r="F141" s="301"/>
      <c r="G141" s="301"/>
      <c r="H141" s="301"/>
      <c r="I141" s="301"/>
      <c r="J141" s="74"/>
      <c r="K141" s="74"/>
      <c r="L141" s="74"/>
      <c r="M141" s="74"/>
      <c r="N141" s="74"/>
      <c r="O141" s="74"/>
      <c r="P141" s="74"/>
      <c r="Q141" s="74"/>
      <c r="R141" s="74"/>
      <c r="S141" s="74"/>
      <c r="T141" s="74"/>
      <c r="U141" s="74"/>
      <c r="V141" s="74"/>
      <c r="W141" s="74"/>
      <c r="X141" s="74"/>
      <c r="Y141" s="74"/>
      <c r="Z141" s="74"/>
    </row>
    <row r="142" ht="14.25" customHeight="1">
      <c r="A142" s="74"/>
      <c r="B142" s="118" t="s">
        <v>3</v>
      </c>
      <c r="C142" s="118" t="s">
        <v>4</v>
      </c>
      <c r="D142" s="118" t="s">
        <v>124</v>
      </c>
      <c r="E142" s="142" t="s">
        <v>5</v>
      </c>
      <c r="F142" s="142" t="s">
        <v>125</v>
      </c>
      <c r="G142" s="143" t="s">
        <v>126</v>
      </c>
      <c r="H142" s="143" t="s">
        <v>127</v>
      </c>
      <c r="I142" s="144" t="s">
        <v>128</v>
      </c>
      <c r="J142" s="74"/>
      <c r="K142" s="74"/>
      <c r="L142" s="74"/>
      <c r="M142" s="74"/>
      <c r="N142" s="74"/>
      <c r="O142" s="74"/>
      <c r="P142" s="74"/>
      <c r="Q142" s="74"/>
      <c r="R142" s="74"/>
      <c r="S142" s="74"/>
      <c r="T142" s="74"/>
      <c r="U142" s="74"/>
      <c r="V142" s="74"/>
      <c r="W142" s="74"/>
      <c r="X142" s="74"/>
      <c r="Y142" s="74"/>
      <c r="Z142" s="74"/>
    </row>
    <row r="143" ht="14.25" customHeight="1">
      <c r="A143" s="74"/>
      <c r="B143" s="302" t="s">
        <v>20</v>
      </c>
      <c r="C143" s="303">
        <f t="shared" ref="C143:F143" si="4">C132*$F$140</f>
        <v>1982.317447</v>
      </c>
      <c r="D143" s="304">
        <f t="shared" si="4"/>
        <v>928.3252819</v>
      </c>
      <c r="E143" s="305">
        <f t="shared" si="4"/>
        <v>-1923.468303</v>
      </c>
      <c r="F143" s="304">
        <f t="shared" si="4"/>
        <v>-900.7680201</v>
      </c>
      <c r="G143" s="304">
        <f t="shared" ref="G143:H143" si="5">C143+E143</f>
        <v>58.84914402</v>
      </c>
      <c r="H143" s="304">
        <f t="shared" si="5"/>
        <v>27.55726176</v>
      </c>
      <c r="I143" s="302"/>
      <c r="J143" s="74"/>
      <c r="K143" s="74"/>
      <c r="L143" s="74"/>
      <c r="M143" s="74"/>
      <c r="N143" s="74"/>
      <c r="O143" s="74"/>
      <c r="P143" s="74"/>
      <c r="Q143" s="74"/>
      <c r="R143" s="74"/>
      <c r="S143" s="74"/>
      <c r="T143" s="74"/>
      <c r="U143" s="74"/>
      <c r="V143" s="74"/>
      <c r="W143" s="74"/>
      <c r="X143" s="74"/>
      <c r="Y143" s="74"/>
      <c r="Z143" s="74"/>
    </row>
    <row r="144" ht="14.25" customHeight="1">
      <c r="A144" s="74"/>
      <c r="B144" s="231" t="s">
        <v>8</v>
      </c>
      <c r="C144" s="303">
        <f t="shared" ref="C144:F144" si="6">C133*$F$140</f>
        <v>1462.269308</v>
      </c>
      <c r="D144" s="304">
        <f t="shared" si="6"/>
        <v>675.2629757</v>
      </c>
      <c r="E144" s="305">
        <f t="shared" si="6"/>
        <v>-428.7688913</v>
      </c>
      <c r="F144" s="304">
        <f t="shared" si="6"/>
        <v>-204.6103036</v>
      </c>
      <c r="G144" s="304">
        <f t="shared" ref="G144:H144" si="7">C144+E144</f>
        <v>1033.500417</v>
      </c>
      <c r="H144" s="304">
        <f t="shared" si="7"/>
        <v>470.6526721</v>
      </c>
      <c r="I144" s="233"/>
      <c r="J144" s="74"/>
      <c r="K144" s="74"/>
      <c r="L144" s="74"/>
      <c r="M144" s="74"/>
      <c r="N144" s="74"/>
      <c r="O144" s="74"/>
      <c r="P144" s="74"/>
      <c r="Q144" s="74"/>
      <c r="R144" s="74"/>
      <c r="S144" s="74"/>
      <c r="T144" s="74"/>
      <c r="U144" s="74"/>
      <c r="V144" s="74"/>
      <c r="W144" s="74"/>
      <c r="X144" s="74"/>
      <c r="Y144" s="74"/>
      <c r="Z144" s="74"/>
    </row>
    <row r="145" ht="14.25" customHeight="1">
      <c r="A145" s="74"/>
      <c r="B145" s="231" t="s">
        <v>10</v>
      </c>
      <c r="C145" s="303">
        <f t="shared" ref="C145:F145" si="8">C134*$F$140</f>
        <v>3899.123973</v>
      </c>
      <c r="D145" s="304">
        <f t="shared" si="8"/>
        <v>2076.352685</v>
      </c>
      <c r="E145" s="305">
        <f t="shared" si="8"/>
        <v>0</v>
      </c>
      <c r="F145" s="304">
        <f t="shared" si="8"/>
        <v>0</v>
      </c>
      <c r="G145" s="304">
        <f t="shared" ref="G145:H145" si="9">C145+E145</f>
        <v>3899.123973</v>
      </c>
      <c r="H145" s="304">
        <f t="shared" si="9"/>
        <v>2076.352685</v>
      </c>
      <c r="I145" s="233"/>
      <c r="J145" s="74"/>
      <c r="K145" s="74"/>
      <c r="L145" s="74"/>
      <c r="M145" s="74"/>
      <c r="N145" s="74"/>
      <c r="O145" s="74"/>
      <c r="P145" s="74"/>
      <c r="Q145" s="74"/>
      <c r="R145" s="74"/>
      <c r="S145" s="74"/>
      <c r="T145" s="74"/>
      <c r="U145" s="74"/>
      <c r="V145" s="74"/>
      <c r="W145" s="74"/>
      <c r="X145" s="74"/>
      <c r="Y145" s="74"/>
      <c r="Z145" s="74"/>
    </row>
    <row r="146" ht="14.25" customHeight="1">
      <c r="A146" s="74"/>
      <c r="B146" s="231" t="s">
        <v>11</v>
      </c>
      <c r="C146" s="303">
        <f t="shared" ref="C146:F146" si="10">C135*$F$140</f>
        <v>1489.084722</v>
      </c>
      <c r="D146" s="304">
        <f t="shared" si="10"/>
        <v>912.2365228</v>
      </c>
      <c r="E146" s="305">
        <f t="shared" si="10"/>
        <v>0</v>
      </c>
      <c r="F146" s="304">
        <f t="shared" si="10"/>
        <v>0</v>
      </c>
      <c r="G146" s="304">
        <f t="shared" ref="G146:H146" si="11">C146+E146</f>
        <v>1489.084722</v>
      </c>
      <c r="H146" s="304">
        <f t="shared" si="11"/>
        <v>912.2365228</v>
      </c>
      <c r="I146" s="233"/>
      <c r="J146" s="74"/>
      <c r="K146" s="74"/>
      <c r="L146" s="74"/>
      <c r="M146" s="74"/>
      <c r="N146" s="74"/>
      <c r="O146" s="74"/>
      <c r="P146" s="74"/>
      <c r="Q146" s="74"/>
      <c r="R146" s="74"/>
      <c r="S146" s="74"/>
      <c r="T146" s="74"/>
      <c r="U146" s="74"/>
      <c r="V146" s="74"/>
      <c r="W146" s="74"/>
      <c r="X146" s="74"/>
      <c r="Y146" s="74"/>
      <c r="Z146" s="74"/>
    </row>
    <row r="147" ht="14.25" customHeight="1">
      <c r="A147" s="74"/>
      <c r="B147" s="231" t="s">
        <v>12</v>
      </c>
      <c r="C147" s="303">
        <f t="shared" ref="C147:F147" si="12">C136*$F$140</f>
        <v>6917.194361</v>
      </c>
      <c r="D147" s="304">
        <f t="shared" si="12"/>
        <v>110518.6442</v>
      </c>
      <c r="E147" s="305">
        <f t="shared" si="12"/>
        <v>0</v>
      </c>
      <c r="F147" s="304">
        <f t="shared" si="12"/>
        <v>0</v>
      </c>
      <c r="G147" s="304">
        <f t="shared" ref="G147:H147" si="13">C147+E147</f>
        <v>6917.194361</v>
      </c>
      <c r="H147" s="304">
        <f t="shared" si="13"/>
        <v>110518.6442</v>
      </c>
      <c r="I147" s="233"/>
      <c r="J147" s="74"/>
      <c r="K147" s="74"/>
      <c r="L147" s="74"/>
      <c r="M147" s="74"/>
      <c r="N147" s="74"/>
      <c r="O147" s="74"/>
      <c r="P147" s="74"/>
      <c r="Q147" s="74"/>
      <c r="R147" s="74"/>
      <c r="S147" s="74"/>
      <c r="T147" s="74"/>
      <c r="U147" s="74"/>
      <c r="V147" s="74"/>
      <c r="W147" s="74"/>
      <c r="X147" s="74"/>
      <c r="Y147" s="74"/>
      <c r="Z147" s="74"/>
    </row>
    <row r="148" ht="14.25" customHeight="1">
      <c r="A148" s="74"/>
      <c r="B148" s="302" t="s">
        <v>478</v>
      </c>
      <c r="C148" s="303">
        <f t="shared" ref="C148:F148" si="14">C137*$F$140</f>
        <v>87.77564142</v>
      </c>
      <c r="D148" s="304">
        <f t="shared" si="14"/>
        <v>9227.17573</v>
      </c>
      <c r="E148" s="305">
        <f t="shared" si="14"/>
        <v>0</v>
      </c>
      <c r="F148" s="304">
        <f t="shared" si="14"/>
        <v>0</v>
      </c>
      <c r="G148" s="304">
        <f t="shared" ref="G148:H148" si="15">C148+E148</f>
        <v>87.77564142</v>
      </c>
      <c r="H148" s="304">
        <f t="shared" si="15"/>
        <v>9227.17573</v>
      </c>
      <c r="I148" s="302"/>
      <c r="J148" s="74"/>
      <c r="K148" s="74"/>
      <c r="L148" s="74"/>
      <c r="M148" s="74"/>
      <c r="N148" s="74"/>
      <c r="O148" s="74"/>
      <c r="P148" s="74"/>
      <c r="Q148" s="74"/>
      <c r="R148" s="74"/>
      <c r="S148" s="74"/>
      <c r="T148" s="74"/>
      <c r="U148" s="74"/>
      <c r="V148" s="74"/>
      <c r="W148" s="74"/>
      <c r="X148" s="74"/>
      <c r="Y148" s="74"/>
      <c r="Z148" s="74"/>
    </row>
    <row r="149" ht="14.25" customHeight="1">
      <c r="A149" s="74"/>
      <c r="B149" s="231" t="s">
        <v>34</v>
      </c>
      <c r="C149" s="306">
        <f t="shared" ref="C149:F149" si="16">C138*$F$140</f>
        <v>140.1767677</v>
      </c>
      <c r="D149" s="304">
        <f t="shared" si="16"/>
        <v>4867.2427</v>
      </c>
      <c r="E149" s="304">
        <f t="shared" si="16"/>
        <v>0</v>
      </c>
      <c r="F149" s="304">
        <f t="shared" si="16"/>
        <v>0</v>
      </c>
      <c r="G149" s="304">
        <f t="shared" ref="G149:H149" si="17">C149+E149</f>
        <v>140.1767677</v>
      </c>
      <c r="H149" s="304">
        <f t="shared" si="17"/>
        <v>4867.2427</v>
      </c>
      <c r="I149" s="234" t="s">
        <v>299</v>
      </c>
      <c r="J149" s="74"/>
      <c r="K149" s="74"/>
      <c r="L149" s="74"/>
      <c r="M149" s="74"/>
      <c r="N149" s="74"/>
      <c r="O149" s="74"/>
      <c r="P149" s="74"/>
      <c r="Q149" s="74"/>
      <c r="R149" s="74"/>
      <c r="S149" s="74"/>
      <c r="T149" s="74"/>
      <c r="U149" s="74"/>
      <c r="V149" s="74"/>
      <c r="W149" s="74"/>
      <c r="X149" s="74"/>
      <c r="Y149" s="74"/>
      <c r="Z149" s="74"/>
    </row>
    <row r="150" ht="14.25" customHeight="1">
      <c r="A150" s="74"/>
      <c r="B150" s="230"/>
      <c r="C150" s="230"/>
      <c r="D150" s="230"/>
      <c r="E150" s="230"/>
      <c r="F150" s="230"/>
      <c r="G150" s="235">
        <f t="shared" ref="G150:H150" si="18">SUM(G143:G149)</f>
        <v>13625.70503</v>
      </c>
      <c r="H150" s="235">
        <f t="shared" si="18"/>
        <v>128099.8618</v>
      </c>
      <c r="I150" s="230"/>
      <c r="J150" s="74"/>
      <c r="K150" s="74"/>
      <c r="L150" s="74"/>
      <c r="M150" s="74"/>
      <c r="N150" s="74"/>
      <c r="O150" s="74"/>
      <c r="P150" s="74"/>
      <c r="Q150" s="74"/>
      <c r="R150" s="74"/>
      <c r="S150" s="74"/>
      <c r="T150" s="74"/>
      <c r="U150" s="74"/>
      <c r="V150" s="74"/>
      <c r="W150" s="74"/>
      <c r="X150" s="74"/>
      <c r="Y150" s="74"/>
      <c r="Z150" s="74"/>
    </row>
    <row r="151" ht="14.25" customHeight="1">
      <c r="A151" s="74"/>
      <c r="B151" s="230"/>
      <c r="C151" s="307">
        <f>SUM(C143:C149)</f>
        <v>15977.94222</v>
      </c>
      <c r="D151" s="308"/>
      <c r="E151" s="235">
        <f>SUM(E143:E149)</f>
        <v>-2352.237194</v>
      </c>
      <c r="F151" s="230"/>
      <c r="G151" s="230"/>
      <c r="H151" s="230"/>
      <c r="I151" s="230"/>
      <c r="J151" s="74"/>
      <c r="K151" s="74"/>
      <c r="L151" s="74"/>
      <c r="M151" s="74"/>
      <c r="N151" s="74"/>
      <c r="O151" s="74"/>
      <c r="P151" s="74"/>
      <c r="Q151" s="74"/>
      <c r="R151" s="74"/>
      <c r="S151" s="74"/>
      <c r="T151" s="74"/>
      <c r="U151" s="74"/>
      <c r="V151" s="74"/>
      <c r="W151" s="74"/>
      <c r="X151" s="74"/>
      <c r="Y151" s="74"/>
      <c r="Z151" s="74"/>
    </row>
    <row r="152" ht="14.25" customHeight="1">
      <c r="A152" s="74"/>
      <c r="B152" s="230"/>
      <c r="C152" s="309"/>
      <c r="D152" s="310">
        <f>SUM(D147:D148)</f>
        <v>119745.8199</v>
      </c>
      <c r="E152" s="230"/>
      <c r="F152" s="230"/>
      <c r="G152" s="230"/>
      <c r="H152" s="230"/>
      <c r="I152" s="230"/>
      <c r="J152" s="74"/>
      <c r="K152" s="74"/>
      <c r="L152" s="74"/>
      <c r="M152" s="74"/>
      <c r="N152" s="74"/>
      <c r="O152" s="74"/>
      <c r="P152" s="74"/>
      <c r="Q152" s="74"/>
      <c r="R152" s="74"/>
      <c r="S152" s="74"/>
      <c r="T152" s="74"/>
      <c r="U152" s="74"/>
      <c r="V152" s="74"/>
      <c r="W152" s="74"/>
      <c r="X152" s="74"/>
      <c r="Y152" s="74"/>
      <c r="Z152" s="74"/>
    </row>
    <row r="153" ht="14.25" customHeight="1">
      <c r="A153" s="74"/>
      <c r="B153" s="230" t="s">
        <v>14</v>
      </c>
      <c r="C153" s="309"/>
      <c r="D153" s="311">
        <f>D149*H140</f>
        <v>42665373.4</v>
      </c>
      <c r="E153" s="230"/>
      <c r="F153" s="312">
        <f>F149*H140</f>
        <v>0</v>
      </c>
      <c r="G153" s="230"/>
      <c r="H153" s="230">
        <f>D153+F153</f>
        <v>42665373.4</v>
      </c>
      <c r="I153" s="227"/>
      <c r="J153" s="74"/>
      <c r="K153" s="74"/>
      <c r="L153" s="74"/>
      <c r="M153" s="74"/>
      <c r="N153" s="74"/>
      <c r="O153" s="74"/>
      <c r="P153" s="74"/>
      <c r="Q153" s="74"/>
      <c r="R153" s="74"/>
      <c r="S153" s="74"/>
      <c r="T153" s="74"/>
      <c r="U153" s="74"/>
      <c r="V153" s="74"/>
      <c r="W153" s="74"/>
      <c r="X153" s="74"/>
      <c r="Y153" s="74"/>
      <c r="Z153" s="74"/>
    </row>
    <row r="154" ht="14.25" customHeight="1">
      <c r="A154" s="74"/>
      <c r="B154" s="117"/>
      <c r="C154" s="117"/>
      <c r="D154" s="117"/>
      <c r="E154" s="117"/>
      <c r="F154" s="117"/>
      <c r="G154" s="117"/>
      <c r="H154" s="117"/>
      <c r="I154" s="117"/>
      <c r="J154" s="74"/>
      <c r="K154" s="74"/>
      <c r="L154" s="74"/>
      <c r="M154" s="74"/>
      <c r="N154" s="74"/>
      <c r="O154" s="74"/>
      <c r="P154" s="74"/>
      <c r="Q154" s="74"/>
      <c r="R154" s="74"/>
      <c r="S154" s="74"/>
      <c r="T154" s="74"/>
      <c r="U154" s="74"/>
      <c r="V154" s="74"/>
      <c r="W154" s="74"/>
      <c r="X154" s="74"/>
      <c r="Y154" s="74"/>
      <c r="Z154" s="74"/>
    </row>
    <row r="155" ht="14.25" customHeight="1">
      <c r="A155" s="74"/>
      <c r="B155" s="117"/>
      <c r="C155" s="117"/>
      <c r="D155" s="117"/>
      <c r="E155" s="117"/>
      <c r="F155" s="117"/>
      <c r="G155" s="117"/>
      <c r="H155" s="117"/>
      <c r="I155" s="117"/>
      <c r="J155" s="74"/>
      <c r="K155" s="74"/>
      <c r="L155" s="74"/>
      <c r="M155" s="74"/>
      <c r="N155" s="74"/>
      <c r="O155" s="74"/>
      <c r="P155" s="74"/>
      <c r="Q155" s="74"/>
      <c r="R155" s="74"/>
      <c r="S155" s="74"/>
      <c r="T155" s="74"/>
      <c r="U155" s="74"/>
      <c r="V155" s="74"/>
      <c r="W155" s="74"/>
      <c r="X155" s="74"/>
      <c r="Y155" s="74"/>
      <c r="Z155" s="74"/>
    </row>
    <row r="156" ht="14.25" customHeight="1">
      <c r="A156" s="74"/>
      <c r="B156" s="117"/>
      <c r="C156" s="117"/>
      <c r="D156" s="117"/>
      <c r="E156" s="117"/>
      <c r="F156" s="117"/>
      <c r="G156" s="117"/>
      <c r="H156" s="117"/>
      <c r="I156" s="117"/>
      <c r="J156" s="74"/>
      <c r="K156" s="74"/>
      <c r="L156" s="74"/>
      <c r="M156" s="74"/>
      <c r="N156" s="74"/>
      <c r="O156" s="74"/>
      <c r="P156" s="74"/>
      <c r="Q156" s="74"/>
      <c r="R156" s="74"/>
      <c r="S156" s="74"/>
      <c r="T156" s="74"/>
      <c r="U156" s="74"/>
      <c r="V156" s="74"/>
      <c r="W156" s="74"/>
      <c r="X156" s="74"/>
      <c r="Y156" s="74"/>
      <c r="Z156" s="74"/>
    </row>
    <row r="157" ht="14.25" customHeight="1">
      <c r="A157" s="74"/>
      <c r="B157" s="117"/>
      <c r="C157" s="117"/>
      <c r="D157" s="117"/>
      <c r="E157" s="117"/>
      <c r="F157" s="117"/>
      <c r="G157" s="117"/>
      <c r="H157" s="117"/>
      <c r="I157" s="117"/>
      <c r="J157" s="74"/>
      <c r="K157" s="74"/>
      <c r="L157" s="74"/>
      <c r="M157" s="74"/>
      <c r="N157" s="74"/>
      <c r="O157" s="74"/>
      <c r="P157" s="74"/>
      <c r="Q157" s="74"/>
      <c r="R157" s="74"/>
      <c r="S157" s="74"/>
      <c r="T157" s="74"/>
      <c r="U157" s="74"/>
      <c r="V157" s="74"/>
      <c r="W157" s="74"/>
      <c r="X157" s="74"/>
      <c r="Y157" s="74"/>
      <c r="Z157" s="74"/>
    </row>
    <row r="158" ht="14.25" customHeight="1">
      <c r="A158" s="74"/>
      <c r="B158" s="313" t="s">
        <v>300</v>
      </c>
      <c r="C158" s="314"/>
      <c r="D158" s="315"/>
      <c r="E158" s="245"/>
      <c r="F158" s="245"/>
      <c r="G158" s="245"/>
      <c r="H158" s="245"/>
      <c r="I158" s="245"/>
      <c r="J158" s="245"/>
      <c r="K158" s="245"/>
      <c r="L158" s="316"/>
      <c r="M158" s="317"/>
      <c r="N158" s="317"/>
      <c r="O158" s="74"/>
      <c r="P158" s="74"/>
      <c r="Q158" s="74"/>
      <c r="R158" s="74"/>
      <c r="S158" s="74"/>
      <c r="T158" s="74"/>
      <c r="U158" s="74"/>
      <c r="V158" s="74"/>
      <c r="W158" s="74"/>
      <c r="X158" s="74"/>
      <c r="Y158" s="74"/>
      <c r="Z158" s="74"/>
    </row>
    <row r="159" ht="14.25" customHeight="1">
      <c r="A159" s="74"/>
      <c r="B159" s="318" t="s">
        <v>8</v>
      </c>
      <c r="C159" s="319"/>
      <c r="D159" s="245"/>
      <c r="E159" s="245"/>
      <c r="F159" s="245"/>
      <c r="G159" s="245"/>
      <c r="H159" s="245"/>
      <c r="I159" s="318" t="s">
        <v>482</v>
      </c>
      <c r="J159" s="319"/>
      <c r="K159" s="245"/>
      <c r="L159" s="245"/>
      <c r="M159" s="245"/>
      <c r="N159" s="245"/>
      <c r="O159" s="74"/>
      <c r="P159" s="74"/>
      <c r="Q159" s="74"/>
      <c r="R159" s="74"/>
      <c r="S159" s="74"/>
      <c r="T159" s="74"/>
      <c r="U159" s="74"/>
      <c r="V159" s="74"/>
      <c r="W159" s="74"/>
      <c r="X159" s="74"/>
      <c r="Y159" s="74"/>
      <c r="Z159" s="74"/>
    </row>
    <row r="160" ht="14.25" customHeight="1">
      <c r="A160" s="74"/>
      <c r="B160" s="246" t="s">
        <v>483</v>
      </c>
      <c r="C160" s="246" t="s">
        <v>484</v>
      </c>
      <c r="D160" s="246" t="s">
        <v>485</v>
      </c>
      <c r="E160" s="246" t="s">
        <v>305</v>
      </c>
      <c r="F160" s="320" t="s">
        <v>128</v>
      </c>
      <c r="G160" s="80"/>
      <c r="H160" s="245"/>
      <c r="I160" s="246" t="s">
        <v>483</v>
      </c>
      <c r="J160" s="246" t="s">
        <v>484</v>
      </c>
      <c r="K160" s="246" t="s">
        <v>485</v>
      </c>
      <c r="L160" s="246" t="s">
        <v>305</v>
      </c>
      <c r="M160" s="320" t="s">
        <v>128</v>
      </c>
      <c r="N160" s="80"/>
      <c r="O160" s="74"/>
      <c r="P160" s="74"/>
      <c r="Q160" s="74"/>
      <c r="R160" s="74"/>
      <c r="S160" s="74"/>
      <c r="T160" s="74"/>
      <c r="U160" s="74"/>
      <c r="V160" s="74"/>
      <c r="W160" s="74"/>
      <c r="X160" s="74"/>
      <c r="Y160" s="74"/>
      <c r="Z160" s="74"/>
    </row>
    <row r="161" ht="14.25" customHeight="1">
      <c r="A161" s="74"/>
      <c r="B161" s="321" t="s">
        <v>486</v>
      </c>
      <c r="C161" s="322">
        <v>246811.835</v>
      </c>
      <c r="D161" s="322">
        <f t="shared" ref="D161:D169" si="19">C161*8000/1000000</f>
        <v>1974.49468</v>
      </c>
      <c r="E161" s="322">
        <v>999.886</v>
      </c>
      <c r="F161" s="323"/>
      <c r="G161" s="324"/>
      <c r="H161" s="245"/>
      <c r="I161" s="321" t="s">
        <v>487</v>
      </c>
      <c r="J161" s="322">
        <v>576642.0</v>
      </c>
      <c r="K161" s="322">
        <f t="shared" ref="K161:K163" si="20">J161*8000/1000000</f>
        <v>4613.136</v>
      </c>
      <c r="L161" s="322">
        <v>2456.58</v>
      </c>
      <c r="M161" s="325"/>
      <c r="N161" s="80"/>
      <c r="O161" s="74"/>
      <c r="P161" s="74"/>
      <c r="Q161" s="74"/>
      <c r="R161" s="74"/>
      <c r="S161" s="74"/>
      <c r="T161" s="74"/>
      <c r="U161" s="74"/>
      <c r="V161" s="74"/>
      <c r="W161" s="74"/>
      <c r="X161" s="74"/>
      <c r="Y161" s="74"/>
      <c r="Z161" s="74"/>
    </row>
    <row r="162" ht="14.25" customHeight="1">
      <c r="A162" s="74"/>
      <c r="B162" s="321" t="s">
        <v>488</v>
      </c>
      <c r="C162" s="322">
        <v>2070.61246</v>
      </c>
      <c r="D162" s="322">
        <f t="shared" si="19"/>
        <v>16.56489968</v>
      </c>
      <c r="E162" s="322">
        <v>8.12695</v>
      </c>
      <c r="F162" s="326"/>
      <c r="G162" s="80"/>
      <c r="H162" s="245"/>
      <c r="I162" s="321" t="s">
        <v>489</v>
      </c>
      <c r="J162" s="322">
        <v>336403.0</v>
      </c>
      <c r="K162" s="322">
        <f t="shared" si="20"/>
        <v>2691.224</v>
      </c>
      <c r="L162" s="322">
        <v>1433.12</v>
      </c>
      <c r="M162" s="325"/>
      <c r="N162" s="80"/>
      <c r="O162" s="74"/>
      <c r="P162" s="74"/>
      <c r="Q162" s="74"/>
      <c r="R162" s="74"/>
      <c r="S162" s="74"/>
      <c r="T162" s="74"/>
      <c r="U162" s="74"/>
      <c r="V162" s="74"/>
      <c r="W162" s="74"/>
      <c r="X162" s="74"/>
      <c r="Y162" s="74"/>
      <c r="Z162" s="74"/>
    </row>
    <row r="163" ht="14.25" customHeight="1">
      <c r="A163" s="74"/>
      <c r="B163" s="321" t="s">
        <v>490</v>
      </c>
      <c r="C163" s="322">
        <v>30705.8633</v>
      </c>
      <c r="D163" s="322">
        <f t="shared" si="19"/>
        <v>245.6469064</v>
      </c>
      <c r="E163" s="322">
        <v>111.568</v>
      </c>
      <c r="F163" s="326"/>
      <c r="G163" s="80"/>
      <c r="H163" s="245"/>
      <c r="I163" s="321" t="s">
        <v>491</v>
      </c>
      <c r="J163" s="322">
        <v>931971.0</v>
      </c>
      <c r="K163" s="322">
        <f t="shared" si="20"/>
        <v>7455.768</v>
      </c>
      <c r="L163" s="322">
        <v>3970.33</v>
      </c>
      <c r="M163" s="325"/>
      <c r="N163" s="80"/>
      <c r="O163" s="74"/>
      <c r="P163" s="74"/>
      <c r="Q163" s="74"/>
      <c r="R163" s="74"/>
      <c r="S163" s="74"/>
      <c r="T163" s="74"/>
      <c r="U163" s="74"/>
      <c r="V163" s="74"/>
      <c r="W163" s="74"/>
      <c r="X163" s="74"/>
      <c r="Y163" s="74"/>
      <c r="Z163" s="74"/>
    </row>
    <row r="164" ht="14.25" customHeight="1">
      <c r="A164" s="74"/>
      <c r="B164" s="321" t="s">
        <v>492</v>
      </c>
      <c r="C164" s="322">
        <v>2191.38999</v>
      </c>
      <c r="D164" s="322">
        <f t="shared" si="19"/>
        <v>17.53111992</v>
      </c>
      <c r="E164" s="322">
        <v>8.36594</v>
      </c>
      <c r="F164" s="326"/>
      <c r="G164" s="80"/>
      <c r="H164" s="245"/>
      <c r="I164" s="327"/>
      <c r="J164" s="327"/>
      <c r="K164" s="328"/>
      <c r="L164" s="328"/>
      <c r="M164" s="323"/>
      <c r="N164" s="324"/>
      <c r="O164" s="74"/>
      <c r="P164" s="74"/>
      <c r="Q164" s="74"/>
      <c r="R164" s="74"/>
      <c r="S164" s="74"/>
      <c r="T164" s="74"/>
      <c r="U164" s="74"/>
      <c r="V164" s="74"/>
      <c r="W164" s="74"/>
      <c r="X164" s="74"/>
      <c r="Y164" s="74"/>
      <c r="Z164" s="74"/>
    </row>
    <row r="165" ht="14.25" customHeight="1">
      <c r="A165" s="74"/>
      <c r="B165" s="321" t="s">
        <v>493</v>
      </c>
      <c r="C165" s="322">
        <v>20873.7837</v>
      </c>
      <c r="D165" s="322">
        <f t="shared" si="19"/>
        <v>166.9902696</v>
      </c>
      <c r="E165" s="322">
        <v>77.6901</v>
      </c>
      <c r="F165" s="326"/>
      <c r="G165" s="80"/>
      <c r="H165" s="245"/>
      <c r="I165" s="245"/>
      <c r="J165" s="245"/>
      <c r="K165" s="329"/>
      <c r="L165" s="329"/>
      <c r="M165" s="330"/>
      <c r="N165" s="77"/>
      <c r="O165" s="74"/>
      <c r="P165" s="74"/>
      <c r="Q165" s="74"/>
      <c r="R165" s="74"/>
      <c r="S165" s="74"/>
      <c r="T165" s="74"/>
      <c r="U165" s="74"/>
      <c r="V165" s="74"/>
      <c r="W165" s="74"/>
      <c r="X165" s="74"/>
      <c r="Y165" s="74"/>
      <c r="Z165" s="74"/>
    </row>
    <row r="166" ht="14.25" customHeight="1">
      <c r="A166" s="74"/>
      <c r="B166" s="321" t="s">
        <v>494</v>
      </c>
      <c r="C166" s="322">
        <v>275688.946</v>
      </c>
      <c r="D166" s="322">
        <f t="shared" si="19"/>
        <v>2205.511568</v>
      </c>
      <c r="E166" s="322">
        <v>967.006</v>
      </c>
      <c r="F166" s="326"/>
      <c r="G166" s="80"/>
      <c r="H166" s="245"/>
      <c r="I166" s="245"/>
      <c r="J166" s="245"/>
      <c r="K166" s="329"/>
      <c r="L166" s="329"/>
      <c r="M166" s="330"/>
      <c r="N166" s="77"/>
      <c r="O166" s="74"/>
      <c r="P166" s="74"/>
      <c r="Q166" s="74"/>
      <c r="R166" s="74"/>
      <c r="S166" s="74"/>
      <c r="T166" s="74"/>
      <c r="U166" s="74"/>
      <c r="V166" s="74"/>
      <c r="W166" s="74"/>
      <c r="X166" s="74"/>
      <c r="Y166" s="74"/>
      <c r="Z166" s="74"/>
    </row>
    <row r="167" ht="14.25" customHeight="1">
      <c r="A167" s="74"/>
      <c r="B167" s="321" t="s">
        <v>495</v>
      </c>
      <c r="C167" s="322">
        <v>70062.5999</v>
      </c>
      <c r="D167" s="322">
        <f t="shared" si="19"/>
        <v>560.5007992</v>
      </c>
      <c r="E167" s="322">
        <v>233.192</v>
      </c>
      <c r="F167" s="326"/>
      <c r="G167" s="80"/>
      <c r="H167" s="245"/>
      <c r="I167" s="245"/>
      <c r="J167" s="245"/>
      <c r="K167" s="329"/>
      <c r="L167" s="329"/>
      <c r="M167" s="330"/>
      <c r="N167" s="77"/>
      <c r="O167" s="74"/>
      <c r="P167" s="74"/>
      <c r="Q167" s="74"/>
      <c r="R167" s="74"/>
      <c r="S167" s="74"/>
      <c r="T167" s="74"/>
      <c r="U167" s="74"/>
      <c r="V167" s="74"/>
      <c r="W167" s="74"/>
      <c r="X167" s="74"/>
      <c r="Y167" s="74"/>
      <c r="Z167" s="74"/>
    </row>
    <row r="168" ht="14.25" customHeight="1">
      <c r="A168" s="74"/>
      <c r="B168" s="321" t="s">
        <v>496</v>
      </c>
      <c r="C168" s="322">
        <v>43522.2558</v>
      </c>
      <c r="D168" s="322">
        <f t="shared" si="19"/>
        <v>348.1780464</v>
      </c>
      <c r="E168" s="322">
        <v>150.372</v>
      </c>
      <c r="F168" s="326"/>
      <c r="G168" s="80"/>
      <c r="H168" s="245"/>
      <c r="I168" s="318" t="s">
        <v>34</v>
      </c>
      <c r="J168" s="319"/>
      <c r="K168" s="245"/>
      <c r="L168" s="245"/>
      <c r="M168" s="245"/>
      <c r="N168" s="245"/>
      <c r="O168" s="74"/>
      <c r="P168" s="74"/>
      <c r="Q168" s="74"/>
      <c r="R168" s="74"/>
      <c r="S168" s="74"/>
      <c r="T168" s="74"/>
      <c r="U168" s="74"/>
      <c r="V168" s="74"/>
      <c r="W168" s="74"/>
      <c r="X168" s="74"/>
      <c r="Y168" s="74"/>
      <c r="Z168" s="74"/>
    </row>
    <row r="169" ht="14.25" customHeight="1">
      <c r="A169" s="74"/>
      <c r="B169" s="321" t="s">
        <v>497</v>
      </c>
      <c r="C169" s="322">
        <v>-202888.0</v>
      </c>
      <c r="D169" s="322">
        <f t="shared" si="19"/>
        <v>-1623.104</v>
      </c>
      <c r="E169" s="322">
        <v>-774.552</v>
      </c>
      <c r="F169" s="326" t="s">
        <v>297</v>
      </c>
      <c r="G169" s="80"/>
      <c r="H169" s="245"/>
      <c r="I169" s="246" t="s">
        <v>483</v>
      </c>
      <c r="J169" s="313" t="s">
        <v>498</v>
      </c>
      <c r="K169" s="331" t="s">
        <v>485</v>
      </c>
      <c r="L169" s="332" t="s">
        <v>499</v>
      </c>
      <c r="M169" s="333" t="s">
        <v>128</v>
      </c>
      <c r="N169" s="334"/>
      <c r="O169" s="74"/>
      <c r="P169" s="74"/>
      <c r="Q169" s="74"/>
      <c r="R169" s="74"/>
      <c r="S169" s="74"/>
      <c r="T169" s="74"/>
      <c r="U169" s="74"/>
      <c r="V169" s="74"/>
      <c r="W169" s="74"/>
      <c r="X169" s="74"/>
      <c r="Y169" s="74"/>
      <c r="Z169" s="74"/>
    </row>
    <row r="170" ht="14.25" customHeight="1">
      <c r="A170" s="74"/>
      <c r="B170" s="245"/>
      <c r="C170" s="245"/>
      <c r="D170" s="245"/>
      <c r="E170" s="335"/>
      <c r="F170" s="245"/>
      <c r="G170" s="245"/>
      <c r="H170" s="245"/>
      <c r="I170" s="321" t="s">
        <v>500</v>
      </c>
      <c r="J170" s="322">
        <v>3.23199</v>
      </c>
      <c r="K170" s="322">
        <f t="shared" ref="K170:K188" si="21">J170*8000/1000000</f>
        <v>0.02585592</v>
      </c>
      <c r="L170" s="322">
        <v>0.897775</v>
      </c>
      <c r="M170" s="336"/>
      <c r="N170" s="337"/>
      <c r="O170" s="74"/>
      <c r="P170" s="74"/>
      <c r="Q170" s="74"/>
      <c r="R170" s="74"/>
      <c r="S170" s="74"/>
      <c r="T170" s="74"/>
      <c r="U170" s="74"/>
      <c r="V170" s="74"/>
      <c r="W170" s="74"/>
      <c r="X170" s="74"/>
      <c r="Y170" s="74"/>
      <c r="Z170" s="74"/>
    </row>
    <row r="171" ht="14.25" customHeight="1">
      <c r="A171" s="74"/>
      <c r="B171" s="338" t="s">
        <v>11</v>
      </c>
      <c r="C171" s="339"/>
      <c r="D171" s="245"/>
      <c r="E171" s="245"/>
      <c r="F171" s="245"/>
      <c r="G171" s="245"/>
      <c r="H171" s="245"/>
      <c r="I171" s="321" t="s">
        <v>501</v>
      </c>
      <c r="J171" s="322">
        <v>248.766</v>
      </c>
      <c r="K171" s="322">
        <f t="shared" si="21"/>
        <v>1.990128</v>
      </c>
      <c r="L171" s="322">
        <v>69.1016</v>
      </c>
      <c r="M171" s="336"/>
      <c r="N171" s="337"/>
      <c r="O171" s="74"/>
      <c r="P171" s="74"/>
      <c r="Q171" s="74"/>
      <c r="R171" s="74"/>
      <c r="S171" s="74"/>
      <c r="T171" s="74"/>
      <c r="U171" s="74"/>
      <c r="V171" s="74"/>
      <c r="W171" s="74"/>
      <c r="X171" s="74"/>
      <c r="Y171" s="74"/>
      <c r="Z171" s="74"/>
    </row>
    <row r="172" ht="14.25" customHeight="1">
      <c r="A172" s="74"/>
      <c r="B172" s="246" t="s">
        <v>483</v>
      </c>
      <c r="C172" s="246" t="s">
        <v>484</v>
      </c>
      <c r="D172" s="246" t="s">
        <v>485</v>
      </c>
      <c r="E172" s="246" t="s">
        <v>305</v>
      </c>
      <c r="F172" s="333" t="s">
        <v>128</v>
      </c>
      <c r="G172" s="334"/>
      <c r="H172" s="245"/>
      <c r="I172" s="321" t="s">
        <v>502</v>
      </c>
      <c r="J172" s="322">
        <v>287.815</v>
      </c>
      <c r="K172" s="322">
        <f t="shared" si="21"/>
        <v>2.30252</v>
      </c>
      <c r="L172" s="322">
        <v>79.9485</v>
      </c>
      <c r="M172" s="326"/>
      <c r="N172" s="80"/>
      <c r="O172" s="74"/>
      <c r="P172" s="74"/>
      <c r="Q172" s="74"/>
      <c r="R172" s="74"/>
      <c r="S172" s="74"/>
      <c r="T172" s="74"/>
      <c r="U172" s="74"/>
      <c r="V172" s="74"/>
      <c r="W172" s="74"/>
      <c r="X172" s="74"/>
      <c r="Y172" s="74"/>
      <c r="Z172" s="74"/>
    </row>
    <row r="173" ht="14.25" customHeight="1">
      <c r="A173" s="74"/>
      <c r="B173" s="321" t="s">
        <v>503</v>
      </c>
      <c r="C173" s="322">
        <v>325379.0</v>
      </c>
      <c r="D173" s="322">
        <f t="shared" ref="D173:D174" si="22">C173*8000/1000000</f>
        <v>2603.032</v>
      </c>
      <c r="E173" s="322">
        <v>1594.66</v>
      </c>
      <c r="F173" s="340"/>
      <c r="G173" s="191"/>
      <c r="H173" s="245"/>
      <c r="I173" s="321" t="s">
        <v>504</v>
      </c>
      <c r="J173" s="322">
        <v>0.996658</v>
      </c>
      <c r="K173" s="322">
        <f t="shared" si="21"/>
        <v>0.007973264</v>
      </c>
      <c r="L173" s="322">
        <v>0.276849</v>
      </c>
      <c r="M173" s="341"/>
      <c r="N173" s="342"/>
      <c r="O173" s="74"/>
      <c r="P173" s="74"/>
      <c r="Q173" s="74"/>
      <c r="R173" s="74"/>
      <c r="S173" s="74"/>
      <c r="T173" s="74"/>
      <c r="U173" s="74"/>
      <c r="V173" s="74"/>
      <c r="W173" s="74"/>
      <c r="X173" s="74"/>
      <c r="Y173" s="74"/>
      <c r="Z173" s="74"/>
    </row>
    <row r="174" ht="14.25" customHeight="1">
      <c r="A174" s="74"/>
      <c r="B174" s="321" t="s">
        <v>505</v>
      </c>
      <c r="C174" s="322">
        <v>379237.0</v>
      </c>
      <c r="D174" s="322">
        <f t="shared" si="22"/>
        <v>3033.896</v>
      </c>
      <c r="E174" s="322">
        <v>1858.61</v>
      </c>
      <c r="F174" s="343"/>
      <c r="G174" s="337"/>
      <c r="H174" s="245"/>
      <c r="I174" s="321" t="s">
        <v>506</v>
      </c>
      <c r="J174" s="322">
        <v>369.237</v>
      </c>
      <c r="K174" s="322">
        <f t="shared" si="21"/>
        <v>2.953896</v>
      </c>
      <c r="L174" s="322">
        <v>102.566</v>
      </c>
      <c r="M174" s="341"/>
      <c r="N174" s="342"/>
      <c r="O174" s="74"/>
      <c r="P174" s="74"/>
      <c r="Q174" s="74"/>
      <c r="R174" s="74"/>
      <c r="S174" s="74"/>
      <c r="T174" s="74"/>
      <c r="U174" s="74"/>
      <c r="V174" s="74"/>
      <c r="W174" s="74"/>
      <c r="X174" s="74"/>
      <c r="Y174" s="74"/>
      <c r="Z174" s="74"/>
    </row>
    <row r="175" ht="14.25" customHeight="1">
      <c r="A175" s="74"/>
      <c r="B175" s="344"/>
      <c r="C175" s="344"/>
      <c r="D175" s="345"/>
      <c r="E175" s="345"/>
      <c r="F175" s="346"/>
      <c r="G175" s="347"/>
      <c r="H175" s="245"/>
      <c r="I175" s="321" t="s">
        <v>507</v>
      </c>
      <c r="J175" s="322">
        <v>12.5639</v>
      </c>
      <c r="K175" s="322">
        <f t="shared" si="21"/>
        <v>0.1005112</v>
      </c>
      <c r="L175" s="322">
        <v>3.48998</v>
      </c>
      <c r="M175" s="326"/>
      <c r="N175" s="80"/>
      <c r="O175" s="74"/>
      <c r="P175" s="74"/>
      <c r="Q175" s="74"/>
      <c r="R175" s="74"/>
      <c r="S175" s="74"/>
      <c r="T175" s="74"/>
      <c r="U175" s="74"/>
      <c r="V175" s="74"/>
      <c r="W175" s="74"/>
      <c r="X175" s="74"/>
      <c r="Y175" s="74"/>
      <c r="Z175" s="74"/>
    </row>
    <row r="176" ht="14.25" customHeight="1">
      <c r="A176" s="74"/>
      <c r="B176" s="245"/>
      <c r="C176" s="245"/>
      <c r="D176" s="329"/>
      <c r="E176" s="329"/>
      <c r="F176" s="348"/>
      <c r="G176" s="348"/>
      <c r="H176" s="245"/>
      <c r="I176" s="321" t="s">
        <v>508</v>
      </c>
      <c r="J176" s="322">
        <v>129.333</v>
      </c>
      <c r="K176" s="322">
        <f t="shared" si="21"/>
        <v>1.034664</v>
      </c>
      <c r="L176" s="322">
        <v>35.9258</v>
      </c>
      <c r="M176" s="341"/>
      <c r="N176" s="342"/>
      <c r="O176" s="74"/>
      <c r="P176" s="74"/>
      <c r="Q176" s="74"/>
      <c r="R176" s="74"/>
      <c r="S176" s="74"/>
      <c r="T176" s="74"/>
      <c r="U176" s="74"/>
      <c r="V176" s="74"/>
      <c r="W176" s="74"/>
      <c r="X176" s="74"/>
      <c r="Y176" s="74"/>
      <c r="Z176" s="74"/>
    </row>
    <row r="177" ht="14.25" customHeight="1">
      <c r="A177" s="74"/>
      <c r="B177" s="338" t="s">
        <v>509</v>
      </c>
      <c r="C177" s="339"/>
      <c r="D177" s="245"/>
      <c r="E177" s="245"/>
      <c r="F177" s="245"/>
      <c r="G177" s="245"/>
      <c r="H177" s="245"/>
      <c r="I177" s="321" t="s">
        <v>510</v>
      </c>
      <c r="J177" s="322">
        <v>238.562</v>
      </c>
      <c r="K177" s="322">
        <f t="shared" si="21"/>
        <v>1.908496</v>
      </c>
      <c r="L177" s="322">
        <v>66.2671</v>
      </c>
      <c r="M177" s="341"/>
      <c r="N177" s="342"/>
      <c r="O177" s="74"/>
      <c r="P177" s="74"/>
      <c r="Q177" s="74"/>
      <c r="R177" s="74"/>
      <c r="S177" s="74"/>
      <c r="T177" s="74"/>
      <c r="U177" s="74"/>
      <c r="V177" s="74"/>
      <c r="W177" s="74"/>
      <c r="X177" s="74"/>
      <c r="Y177" s="74"/>
      <c r="Z177" s="74"/>
    </row>
    <row r="178" ht="14.25" customHeight="1">
      <c r="A178" s="74"/>
      <c r="B178" s="246" t="s">
        <v>483</v>
      </c>
      <c r="C178" s="246" t="s">
        <v>484</v>
      </c>
      <c r="D178" s="246" t="s">
        <v>485</v>
      </c>
      <c r="E178" s="246" t="s">
        <v>305</v>
      </c>
      <c r="F178" s="333" t="s">
        <v>128</v>
      </c>
      <c r="G178" s="334"/>
      <c r="H178" s="245"/>
      <c r="I178" s="321" t="s">
        <v>511</v>
      </c>
      <c r="J178" s="322">
        <v>96.294</v>
      </c>
      <c r="K178" s="322">
        <f t="shared" si="21"/>
        <v>0.770352</v>
      </c>
      <c r="L178" s="322">
        <v>26.7483</v>
      </c>
      <c r="M178" s="341"/>
      <c r="N178" s="342"/>
      <c r="O178" s="74"/>
      <c r="P178" s="74"/>
      <c r="Q178" s="74"/>
      <c r="R178" s="74"/>
      <c r="S178" s="74"/>
      <c r="T178" s="74"/>
      <c r="U178" s="74"/>
      <c r="V178" s="74"/>
      <c r="W178" s="74"/>
      <c r="X178" s="74"/>
      <c r="Y178" s="74"/>
      <c r="Z178" s="74"/>
    </row>
    <row r="179" ht="14.25" customHeight="1">
      <c r="A179" s="74"/>
      <c r="B179" s="321" t="s">
        <v>512</v>
      </c>
      <c r="C179" s="322">
        <v>76106.9</v>
      </c>
      <c r="D179" s="322">
        <f t="shared" ref="D179:D181" si="23">C179*8000/1000000</f>
        <v>608.8552</v>
      </c>
      <c r="E179" s="322">
        <v>309.594</v>
      </c>
      <c r="F179" s="341"/>
      <c r="G179" s="342"/>
      <c r="H179" s="245"/>
      <c r="I179" s="321" t="s">
        <v>513</v>
      </c>
      <c r="J179" s="322">
        <v>1.69414</v>
      </c>
      <c r="K179" s="322">
        <f t="shared" si="21"/>
        <v>0.01355312</v>
      </c>
      <c r="L179" s="322">
        <v>0.470593</v>
      </c>
      <c r="M179" s="341"/>
      <c r="N179" s="342"/>
      <c r="O179" s="74"/>
      <c r="P179" s="74"/>
      <c r="Q179" s="74"/>
      <c r="R179" s="74"/>
      <c r="S179" s="74"/>
      <c r="T179" s="74"/>
      <c r="U179" s="74"/>
      <c r="V179" s="74"/>
      <c r="W179" s="74"/>
      <c r="X179" s="74"/>
      <c r="Y179" s="74"/>
      <c r="Z179" s="74"/>
    </row>
    <row r="180" ht="14.25" customHeight="1">
      <c r="A180" s="74"/>
      <c r="B180" s="321" t="s">
        <v>514</v>
      </c>
      <c r="C180" s="322">
        <v>29832.6</v>
      </c>
      <c r="D180" s="322">
        <f t="shared" si="23"/>
        <v>238.6608</v>
      </c>
      <c r="E180" s="322">
        <v>121.355</v>
      </c>
      <c r="F180" s="341"/>
      <c r="G180" s="342"/>
      <c r="H180" s="245"/>
      <c r="I180" s="321" t="s">
        <v>515</v>
      </c>
      <c r="J180" s="322">
        <v>10.5609</v>
      </c>
      <c r="K180" s="322">
        <f t="shared" si="21"/>
        <v>0.0844872</v>
      </c>
      <c r="L180" s="322">
        <v>2.93359</v>
      </c>
      <c r="M180" s="341"/>
      <c r="N180" s="342"/>
      <c r="O180" s="74"/>
      <c r="P180" s="74"/>
      <c r="Q180" s="74"/>
      <c r="R180" s="74"/>
      <c r="S180" s="74"/>
      <c r="T180" s="74"/>
      <c r="U180" s="74"/>
      <c r="V180" s="74"/>
      <c r="W180" s="74"/>
      <c r="X180" s="74"/>
      <c r="Y180" s="74"/>
      <c r="Z180" s="74"/>
    </row>
    <row r="181" ht="14.25" customHeight="1">
      <c r="A181" s="74"/>
      <c r="B181" s="321" t="s">
        <v>516</v>
      </c>
      <c r="C181" s="322">
        <v>80387.3</v>
      </c>
      <c r="D181" s="322">
        <f t="shared" si="23"/>
        <v>643.0984</v>
      </c>
      <c r="E181" s="322">
        <v>327.006</v>
      </c>
      <c r="F181" s="341"/>
      <c r="G181" s="342"/>
      <c r="H181" s="245"/>
      <c r="I181" s="321" t="s">
        <v>517</v>
      </c>
      <c r="J181" s="322">
        <v>3.70516</v>
      </c>
      <c r="K181" s="322">
        <f t="shared" si="21"/>
        <v>0.02964128</v>
      </c>
      <c r="L181" s="322">
        <v>1.02921</v>
      </c>
      <c r="M181" s="341"/>
      <c r="N181" s="342"/>
      <c r="O181" s="74"/>
      <c r="P181" s="74"/>
      <c r="Q181" s="74"/>
      <c r="R181" s="74"/>
      <c r="S181" s="74"/>
      <c r="T181" s="74"/>
      <c r="U181" s="74"/>
      <c r="V181" s="74"/>
      <c r="W181" s="74"/>
      <c r="X181" s="74"/>
      <c r="Y181" s="74"/>
      <c r="Z181" s="74"/>
    </row>
    <row r="182" ht="14.25" customHeight="1">
      <c r="A182" s="74"/>
      <c r="B182" s="344"/>
      <c r="C182" s="349"/>
      <c r="D182" s="349"/>
      <c r="E182" s="349"/>
      <c r="F182" s="350"/>
      <c r="G182" s="347"/>
      <c r="H182" s="245"/>
      <c r="I182" s="321" t="s">
        <v>518</v>
      </c>
      <c r="J182" s="322">
        <v>2.72733</v>
      </c>
      <c r="K182" s="322">
        <f t="shared" si="21"/>
        <v>0.02181864</v>
      </c>
      <c r="L182" s="322">
        <v>0.757591</v>
      </c>
      <c r="M182" s="341"/>
      <c r="N182" s="342"/>
      <c r="O182" s="74"/>
      <c r="P182" s="74"/>
      <c r="Q182" s="74"/>
      <c r="R182" s="74"/>
      <c r="S182" s="74"/>
      <c r="T182" s="74"/>
      <c r="U182" s="74"/>
      <c r="V182" s="74"/>
      <c r="W182" s="74"/>
      <c r="X182" s="74"/>
      <c r="Y182" s="74"/>
      <c r="Z182" s="74"/>
    </row>
    <row r="183" ht="14.25" customHeight="1">
      <c r="A183" s="74"/>
      <c r="B183" s="245"/>
      <c r="C183" s="245"/>
      <c r="D183" s="329"/>
      <c r="E183" s="329"/>
      <c r="F183" s="348"/>
      <c r="G183" s="348"/>
      <c r="H183" s="245"/>
      <c r="I183" s="321" t="s">
        <v>519</v>
      </c>
      <c r="J183" s="322">
        <v>2646.34</v>
      </c>
      <c r="K183" s="322">
        <f t="shared" si="21"/>
        <v>21.17072</v>
      </c>
      <c r="L183" s="322">
        <v>735.095</v>
      </c>
      <c r="M183" s="341"/>
      <c r="N183" s="342"/>
      <c r="O183" s="74"/>
      <c r="P183" s="74"/>
      <c r="Q183" s="74"/>
      <c r="R183" s="74"/>
      <c r="S183" s="74"/>
      <c r="T183" s="74"/>
      <c r="U183" s="74"/>
      <c r="V183" s="74"/>
      <c r="W183" s="74"/>
      <c r="X183" s="74"/>
      <c r="Y183" s="74"/>
      <c r="Z183" s="74"/>
    </row>
    <row r="184" ht="14.25" customHeight="1">
      <c r="A184" s="74"/>
      <c r="B184" s="245"/>
      <c r="C184" s="245"/>
      <c r="D184" s="329"/>
      <c r="E184" s="329"/>
      <c r="F184" s="348"/>
      <c r="G184" s="348"/>
      <c r="H184" s="245"/>
      <c r="I184" s="321" t="s">
        <v>520</v>
      </c>
      <c r="J184" s="322">
        <v>1115.94</v>
      </c>
      <c r="K184" s="322">
        <f t="shared" si="21"/>
        <v>8.92752</v>
      </c>
      <c r="L184" s="322">
        <v>309.983</v>
      </c>
      <c r="M184" s="341"/>
      <c r="N184" s="342"/>
      <c r="O184" s="74"/>
      <c r="P184" s="74"/>
      <c r="Q184" s="74"/>
      <c r="R184" s="74"/>
      <c r="S184" s="74"/>
      <c r="T184" s="74"/>
      <c r="U184" s="74"/>
      <c r="V184" s="74"/>
      <c r="W184" s="74"/>
      <c r="X184" s="74"/>
      <c r="Y184" s="74"/>
      <c r="Z184" s="74"/>
    </row>
    <row r="185" ht="14.25" customHeight="1">
      <c r="A185" s="74"/>
      <c r="B185" s="318" t="s">
        <v>12</v>
      </c>
      <c r="C185" s="319"/>
      <c r="D185" s="245"/>
      <c r="E185" s="245"/>
      <c r="F185" s="245"/>
      <c r="G185" s="245"/>
      <c r="H185" s="245"/>
      <c r="I185" s="321" t="s">
        <v>521</v>
      </c>
      <c r="J185" s="322">
        <v>24.9705</v>
      </c>
      <c r="K185" s="322">
        <f t="shared" si="21"/>
        <v>0.199764</v>
      </c>
      <c r="L185" s="322">
        <v>6.93626</v>
      </c>
      <c r="M185" s="341"/>
      <c r="N185" s="342"/>
      <c r="O185" s="74"/>
      <c r="P185" s="74"/>
      <c r="Q185" s="74"/>
      <c r="R185" s="74"/>
      <c r="S185" s="74"/>
      <c r="T185" s="74"/>
      <c r="U185" s="74"/>
      <c r="V185" s="74"/>
      <c r="W185" s="74"/>
      <c r="X185" s="74"/>
      <c r="Y185" s="74"/>
      <c r="Z185" s="74"/>
    </row>
    <row r="186" ht="14.25" customHeight="1">
      <c r="A186" s="74"/>
      <c r="B186" s="246" t="s">
        <v>483</v>
      </c>
      <c r="C186" s="246" t="s">
        <v>484</v>
      </c>
      <c r="D186" s="246" t="s">
        <v>485</v>
      </c>
      <c r="E186" s="246" t="s">
        <v>305</v>
      </c>
      <c r="F186" s="333" t="s">
        <v>128</v>
      </c>
      <c r="G186" s="334"/>
      <c r="H186" s="245"/>
      <c r="I186" s="321" t="s">
        <v>522</v>
      </c>
      <c r="J186" s="322">
        <v>136.649</v>
      </c>
      <c r="K186" s="322">
        <f t="shared" si="21"/>
        <v>1.093192</v>
      </c>
      <c r="L186" s="322">
        <v>37.9581</v>
      </c>
      <c r="M186" s="341"/>
      <c r="N186" s="342"/>
      <c r="O186" s="74"/>
      <c r="P186" s="74"/>
      <c r="Q186" s="74"/>
      <c r="R186" s="74"/>
      <c r="S186" s="74"/>
      <c r="T186" s="74"/>
      <c r="U186" s="74"/>
      <c r="V186" s="74"/>
      <c r="W186" s="74"/>
      <c r="X186" s="74"/>
      <c r="Y186" s="74"/>
      <c r="Z186" s="74"/>
    </row>
    <row r="187" ht="14.25" customHeight="1">
      <c r="A187" s="74"/>
      <c r="B187" s="321" t="s">
        <v>523</v>
      </c>
      <c r="C187" s="322">
        <v>382673.0</v>
      </c>
      <c r="D187" s="322">
        <f t="shared" ref="D187:D216" si="24">C187*8000/1000000</f>
        <v>3061.384</v>
      </c>
      <c r="E187" s="322">
        <v>48912.8</v>
      </c>
      <c r="F187" s="341"/>
      <c r="G187" s="342"/>
      <c r="H187" s="245"/>
      <c r="I187" s="321" t="s">
        <v>524</v>
      </c>
      <c r="J187" s="322">
        <v>60945.2</v>
      </c>
      <c r="K187" s="322">
        <f t="shared" si="21"/>
        <v>487.5616</v>
      </c>
      <c r="L187" s="322">
        <v>16929.2</v>
      </c>
      <c r="M187" s="351"/>
      <c r="N187" s="352"/>
      <c r="O187" s="74"/>
      <c r="P187" s="74"/>
      <c r="Q187" s="74"/>
      <c r="R187" s="74"/>
      <c r="S187" s="74"/>
      <c r="T187" s="74"/>
      <c r="U187" s="74"/>
      <c r="V187" s="74"/>
      <c r="W187" s="74"/>
      <c r="X187" s="74"/>
      <c r="Y187" s="74"/>
      <c r="Z187" s="74"/>
    </row>
    <row r="188" ht="14.25" customHeight="1">
      <c r="A188" s="74"/>
      <c r="B188" s="321" t="s">
        <v>525</v>
      </c>
      <c r="C188" s="322">
        <v>395771.0</v>
      </c>
      <c r="D188" s="322">
        <f t="shared" si="24"/>
        <v>3166.168</v>
      </c>
      <c r="E188" s="322">
        <v>50587.1</v>
      </c>
      <c r="F188" s="341"/>
      <c r="G188" s="342"/>
      <c r="H188" s="245"/>
      <c r="I188" s="321" t="s">
        <v>526</v>
      </c>
      <c r="J188" s="322">
        <v>55.2816</v>
      </c>
      <c r="K188" s="322">
        <f t="shared" si="21"/>
        <v>0.4422528</v>
      </c>
      <c r="L188" s="322">
        <v>15.356</v>
      </c>
      <c r="M188" s="344"/>
      <c r="N188" s="344"/>
      <c r="O188" s="74"/>
      <c r="P188" s="74"/>
      <c r="Q188" s="74"/>
      <c r="R188" s="74"/>
      <c r="S188" s="74"/>
      <c r="T188" s="74"/>
      <c r="U188" s="74"/>
      <c r="V188" s="74"/>
      <c r="W188" s="74"/>
      <c r="X188" s="74"/>
      <c r="Y188" s="74"/>
      <c r="Z188" s="74"/>
    </row>
    <row r="189" ht="14.25" customHeight="1">
      <c r="A189" s="74"/>
      <c r="B189" s="321" t="s">
        <v>527</v>
      </c>
      <c r="C189" s="322">
        <v>53050.3</v>
      </c>
      <c r="D189" s="322">
        <f t="shared" si="24"/>
        <v>424.4024</v>
      </c>
      <c r="E189" s="322">
        <v>6780.84</v>
      </c>
      <c r="F189" s="341"/>
      <c r="G189" s="342"/>
      <c r="H189" s="245"/>
      <c r="I189" s="245"/>
      <c r="J189" s="245"/>
      <c r="K189" s="245"/>
      <c r="L189" s="335"/>
      <c r="M189" s="245"/>
      <c r="N189" s="245"/>
      <c r="O189" s="74"/>
      <c r="P189" s="74"/>
      <c r="Q189" s="74"/>
      <c r="R189" s="74"/>
      <c r="S189" s="74"/>
      <c r="T189" s="74"/>
      <c r="U189" s="74"/>
      <c r="V189" s="74"/>
      <c r="W189" s="74"/>
      <c r="X189" s="74"/>
      <c r="Y189" s="74"/>
      <c r="Z189" s="74"/>
    </row>
    <row r="190" ht="14.25" customHeight="1">
      <c r="A190" s="74"/>
      <c r="B190" s="321" t="s">
        <v>528</v>
      </c>
      <c r="C190" s="322">
        <v>168388.0</v>
      </c>
      <c r="D190" s="322">
        <f t="shared" si="24"/>
        <v>1347.104</v>
      </c>
      <c r="E190" s="322">
        <v>21523.2</v>
      </c>
      <c r="F190" s="341"/>
      <c r="G190" s="342"/>
      <c r="H190" s="245"/>
      <c r="I190" s="318" t="s">
        <v>21</v>
      </c>
      <c r="J190" s="319"/>
      <c r="K190" s="245"/>
      <c r="L190" s="245"/>
      <c r="M190" s="245"/>
      <c r="N190" s="245"/>
      <c r="O190" s="74"/>
      <c r="P190" s="74"/>
      <c r="Q190" s="74"/>
      <c r="R190" s="74"/>
      <c r="S190" s="74"/>
      <c r="T190" s="74"/>
      <c r="U190" s="74"/>
      <c r="V190" s="74"/>
      <c r="W190" s="74"/>
      <c r="X190" s="74"/>
      <c r="Y190" s="74"/>
      <c r="Z190" s="74"/>
    </row>
    <row r="191" ht="14.25" customHeight="1">
      <c r="A191" s="74"/>
      <c r="B191" s="321" t="s">
        <v>529</v>
      </c>
      <c r="C191" s="322">
        <v>50179.8</v>
      </c>
      <c r="D191" s="322">
        <f t="shared" si="24"/>
        <v>401.4384</v>
      </c>
      <c r="E191" s="322">
        <v>6413.93</v>
      </c>
      <c r="F191" s="341"/>
      <c r="G191" s="342"/>
      <c r="H191" s="245"/>
      <c r="I191" s="246" t="s">
        <v>483</v>
      </c>
      <c r="J191" s="246" t="s">
        <v>484</v>
      </c>
      <c r="K191" s="246" t="s">
        <v>485</v>
      </c>
      <c r="L191" s="246" t="s">
        <v>305</v>
      </c>
      <c r="M191" s="320" t="s">
        <v>128</v>
      </c>
      <c r="N191" s="80"/>
      <c r="O191" s="74"/>
      <c r="P191" s="74"/>
      <c r="Q191" s="74"/>
      <c r="R191" s="74"/>
      <c r="S191" s="74"/>
      <c r="T191" s="74"/>
      <c r="U191" s="74"/>
      <c r="V191" s="74"/>
      <c r="W191" s="74"/>
      <c r="X191" s="74"/>
      <c r="Y191" s="74"/>
      <c r="Z191" s="74"/>
    </row>
    <row r="192" ht="14.25" customHeight="1">
      <c r="A192" s="74"/>
      <c r="B192" s="321" t="s">
        <v>530</v>
      </c>
      <c r="C192" s="322">
        <v>27665.4</v>
      </c>
      <c r="D192" s="322">
        <f t="shared" si="24"/>
        <v>221.3232</v>
      </c>
      <c r="E192" s="322">
        <v>3536.17</v>
      </c>
      <c r="F192" s="341"/>
      <c r="G192" s="342"/>
      <c r="H192" s="245"/>
      <c r="I192" s="321" t="s">
        <v>531</v>
      </c>
      <c r="J192" s="322">
        <v>8531.67</v>
      </c>
      <c r="K192" s="322">
        <f t="shared" ref="K192:K196" si="25">J192*8000/1000000</f>
        <v>68.25336</v>
      </c>
      <c r="L192" s="322">
        <v>7174.95</v>
      </c>
      <c r="M192" s="353"/>
      <c r="N192" s="80"/>
      <c r="O192" s="74"/>
      <c r="P192" s="74"/>
      <c r="Q192" s="74"/>
      <c r="R192" s="74"/>
      <c r="S192" s="74"/>
      <c r="T192" s="74"/>
      <c r="U192" s="74"/>
      <c r="V192" s="74"/>
      <c r="W192" s="74"/>
      <c r="X192" s="74"/>
      <c r="Y192" s="74"/>
      <c r="Z192" s="74"/>
    </row>
    <row r="193" ht="14.25" customHeight="1">
      <c r="A193" s="74"/>
      <c r="B193" s="321" t="s">
        <v>532</v>
      </c>
      <c r="C193" s="322">
        <v>54033.7</v>
      </c>
      <c r="D193" s="322">
        <f t="shared" si="24"/>
        <v>432.2696</v>
      </c>
      <c r="E193" s="322">
        <v>6906.53</v>
      </c>
      <c r="F193" s="341"/>
      <c r="G193" s="342"/>
      <c r="H193" s="245"/>
      <c r="I193" s="321" t="s">
        <v>533</v>
      </c>
      <c r="J193" s="322">
        <v>8051.45</v>
      </c>
      <c r="K193" s="322">
        <f t="shared" si="25"/>
        <v>64.4116</v>
      </c>
      <c r="L193" s="322">
        <v>6771.1</v>
      </c>
      <c r="M193" s="354"/>
      <c r="N193" s="355"/>
      <c r="O193" s="74"/>
      <c r="P193" s="74"/>
      <c r="Q193" s="74"/>
      <c r="R193" s="74"/>
      <c r="S193" s="74"/>
      <c r="T193" s="74"/>
      <c r="U193" s="74"/>
      <c r="V193" s="74"/>
      <c r="W193" s="74"/>
      <c r="X193" s="74"/>
      <c r="Y193" s="74"/>
      <c r="Z193" s="74"/>
    </row>
    <row r="194" ht="14.25" customHeight="1">
      <c r="A194" s="74"/>
      <c r="B194" s="321" t="s">
        <v>534</v>
      </c>
      <c r="C194" s="322">
        <v>1058.14</v>
      </c>
      <c r="D194" s="322">
        <f t="shared" si="24"/>
        <v>8.46512</v>
      </c>
      <c r="E194" s="322">
        <v>135.251</v>
      </c>
      <c r="F194" s="341"/>
      <c r="G194" s="342"/>
      <c r="H194" s="245"/>
      <c r="I194" s="321" t="s">
        <v>535</v>
      </c>
      <c r="J194" s="322">
        <v>3174.61</v>
      </c>
      <c r="K194" s="322">
        <f t="shared" si="25"/>
        <v>25.39688</v>
      </c>
      <c r="L194" s="322">
        <v>2669.78</v>
      </c>
      <c r="M194" s="354"/>
      <c r="N194" s="355"/>
      <c r="O194" s="74"/>
      <c r="P194" s="74"/>
      <c r="Q194" s="74"/>
      <c r="R194" s="74"/>
      <c r="S194" s="74"/>
      <c r="T194" s="74"/>
      <c r="U194" s="74"/>
      <c r="V194" s="74"/>
      <c r="W194" s="74"/>
      <c r="X194" s="74"/>
      <c r="Y194" s="74"/>
      <c r="Z194" s="74"/>
    </row>
    <row r="195" ht="14.25" customHeight="1">
      <c r="A195" s="74"/>
      <c r="B195" s="321" t="s">
        <v>536</v>
      </c>
      <c r="C195" s="322">
        <v>7588.32</v>
      </c>
      <c r="D195" s="322">
        <f t="shared" si="24"/>
        <v>60.70656</v>
      </c>
      <c r="E195" s="322">
        <v>969.931</v>
      </c>
      <c r="F195" s="341"/>
      <c r="G195" s="342"/>
      <c r="H195" s="245"/>
      <c r="I195" s="321" t="s">
        <v>537</v>
      </c>
      <c r="J195" s="322">
        <v>2317.69</v>
      </c>
      <c r="K195" s="322">
        <f t="shared" si="25"/>
        <v>18.54152</v>
      </c>
      <c r="L195" s="322">
        <v>1949.13</v>
      </c>
      <c r="M195" s="350"/>
      <c r="N195" s="347"/>
      <c r="O195" s="74"/>
      <c r="P195" s="74"/>
      <c r="Q195" s="74"/>
      <c r="R195" s="74"/>
      <c r="S195" s="74"/>
      <c r="T195" s="74"/>
      <c r="U195" s="74"/>
      <c r="V195" s="74"/>
      <c r="W195" s="74"/>
      <c r="X195" s="74"/>
      <c r="Y195" s="74"/>
      <c r="Z195" s="74"/>
    </row>
    <row r="196" ht="14.25" customHeight="1">
      <c r="A196" s="74"/>
      <c r="B196" s="321" t="s">
        <v>538</v>
      </c>
      <c r="C196" s="322">
        <v>56483.1</v>
      </c>
      <c r="D196" s="322">
        <f t="shared" si="24"/>
        <v>451.8648</v>
      </c>
      <c r="E196" s="322">
        <v>7219.61</v>
      </c>
      <c r="F196" s="341"/>
      <c r="G196" s="342"/>
      <c r="H196" s="245"/>
      <c r="I196" s="321" t="s">
        <v>539</v>
      </c>
      <c r="J196" s="322">
        <v>19458.9</v>
      </c>
      <c r="K196" s="322">
        <f t="shared" si="25"/>
        <v>155.6712</v>
      </c>
      <c r="L196" s="322">
        <v>16364.5</v>
      </c>
      <c r="M196" s="326"/>
      <c r="N196" s="80"/>
      <c r="O196" s="74"/>
      <c r="P196" s="74"/>
      <c r="Q196" s="74"/>
      <c r="R196" s="74"/>
      <c r="S196" s="74"/>
      <c r="T196" s="74"/>
      <c r="U196" s="74"/>
      <c r="V196" s="74"/>
      <c r="W196" s="74"/>
      <c r="X196" s="74"/>
      <c r="Y196" s="74"/>
      <c r="Z196" s="74"/>
    </row>
    <row r="197" ht="14.25" customHeight="1">
      <c r="A197" s="74"/>
      <c r="B197" s="321" t="s">
        <v>540</v>
      </c>
      <c r="C197" s="322">
        <v>59244.1</v>
      </c>
      <c r="D197" s="322">
        <f t="shared" si="24"/>
        <v>473.9528</v>
      </c>
      <c r="E197" s="322">
        <v>7572.52</v>
      </c>
      <c r="F197" s="341"/>
      <c r="G197" s="342"/>
      <c r="H197" s="245"/>
      <c r="I197" s="245"/>
      <c r="J197" s="245"/>
      <c r="K197" s="245"/>
      <c r="L197" s="245"/>
      <c r="M197" s="245"/>
      <c r="N197" s="245"/>
      <c r="O197" s="74"/>
      <c r="P197" s="74"/>
      <c r="Q197" s="74"/>
      <c r="R197" s="74"/>
      <c r="S197" s="74"/>
      <c r="T197" s="74"/>
      <c r="U197" s="74"/>
      <c r="V197" s="74"/>
      <c r="W197" s="74"/>
      <c r="X197" s="74"/>
      <c r="Y197" s="74"/>
      <c r="Z197" s="74"/>
    </row>
    <row r="198" ht="14.25" customHeight="1">
      <c r="A198" s="74"/>
      <c r="B198" s="321" t="s">
        <v>541</v>
      </c>
      <c r="C198" s="322">
        <v>20175.8</v>
      </c>
      <c r="D198" s="322">
        <f t="shared" si="24"/>
        <v>161.4064</v>
      </c>
      <c r="E198" s="322">
        <v>2578.85</v>
      </c>
      <c r="F198" s="341"/>
      <c r="G198" s="342"/>
      <c r="H198" s="245"/>
      <c r="I198" s="245"/>
      <c r="J198" s="245"/>
      <c r="K198" s="245"/>
      <c r="L198" s="245"/>
      <c r="M198" s="245"/>
      <c r="N198" s="245"/>
      <c r="O198" s="74"/>
      <c r="P198" s="74"/>
      <c r="Q198" s="74"/>
      <c r="R198" s="74"/>
      <c r="S198" s="74"/>
      <c r="T198" s="74"/>
      <c r="U198" s="74"/>
      <c r="V198" s="74"/>
      <c r="W198" s="74"/>
      <c r="X198" s="74"/>
      <c r="Y198" s="74"/>
      <c r="Z198" s="74"/>
    </row>
    <row r="199" ht="14.25" customHeight="1">
      <c r="A199" s="74"/>
      <c r="B199" s="321" t="s">
        <v>542</v>
      </c>
      <c r="C199" s="322">
        <v>20207.0</v>
      </c>
      <c r="D199" s="322">
        <f t="shared" si="24"/>
        <v>161.656</v>
      </c>
      <c r="E199" s="322">
        <v>2582.83</v>
      </c>
      <c r="F199" s="341"/>
      <c r="G199" s="342"/>
      <c r="H199" s="245"/>
      <c r="I199" s="318" t="s">
        <v>543</v>
      </c>
      <c r="J199" s="319"/>
      <c r="K199" s="245"/>
      <c r="L199" s="245"/>
      <c r="M199" s="245"/>
      <c r="N199" s="245"/>
      <c r="O199" s="74"/>
      <c r="P199" s="74"/>
      <c r="Q199" s="74"/>
      <c r="R199" s="74"/>
      <c r="S199" s="74"/>
      <c r="T199" s="74"/>
      <c r="U199" s="74"/>
      <c r="V199" s="74"/>
      <c r="W199" s="74"/>
      <c r="X199" s="74"/>
      <c r="Y199" s="74"/>
      <c r="Z199" s="74"/>
    </row>
    <row r="200" ht="14.25" customHeight="1">
      <c r="A200" s="74"/>
      <c r="B200" s="321" t="s">
        <v>544</v>
      </c>
      <c r="C200" s="322">
        <v>562.074</v>
      </c>
      <c r="D200" s="322">
        <f t="shared" si="24"/>
        <v>4.496592</v>
      </c>
      <c r="E200" s="322">
        <v>71.8437</v>
      </c>
      <c r="F200" s="341"/>
      <c r="G200" s="342"/>
      <c r="H200" s="245"/>
      <c r="I200" s="246" t="s">
        <v>483</v>
      </c>
      <c r="J200" s="246" t="s">
        <v>484</v>
      </c>
      <c r="K200" s="246" t="s">
        <v>485</v>
      </c>
      <c r="L200" s="246" t="s">
        <v>305</v>
      </c>
      <c r="M200" s="333" t="s">
        <v>128</v>
      </c>
      <c r="N200" s="334"/>
      <c r="O200" s="74"/>
      <c r="P200" s="74"/>
      <c r="Q200" s="74"/>
      <c r="R200" s="74"/>
      <c r="S200" s="74"/>
      <c r="T200" s="74"/>
      <c r="U200" s="74"/>
      <c r="V200" s="74"/>
      <c r="W200" s="74"/>
      <c r="X200" s="74"/>
      <c r="Y200" s="74"/>
      <c r="Z200" s="74"/>
    </row>
    <row r="201" ht="14.25" customHeight="1">
      <c r="A201" s="74"/>
      <c r="B201" s="321" t="s">
        <v>545</v>
      </c>
      <c r="C201" s="322">
        <v>84753.7</v>
      </c>
      <c r="D201" s="322">
        <f t="shared" si="24"/>
        <v>678.0296</v>
      </c>
      <c r="E201" s="322">
        <v>10833.1</v>
      </c>
      <c r="F201" s="341"/>
      <c r="G201" s="342"/>
      <c r="H201" s="245"/>
      <c r="I201" s="321" t="s">
        <v>546</v>
      </c>
      <c r="J201" s="322">
        <v>211956.0</v>
      </c>
      <c r="K201" s="322">
        <f t="shared" ref="K201:K213" si="26">J201*8000/1000000</f>
        <v>1695.648</v>
      </c>
      <c r="L201" s="322">
        <v>794.077</v>
      </c>
      <c r="M201" s="356"/>
      <c r="N201" s="342"/>
      <c r="O201" s="74"/>
      <c r="P201" s="74"/>
      <c r="Q201" s="74"/>
      <c r="R201" s="74"/>
      <c r="S201" s="74"/>
      <c r="T201" s="74"/>
      <c r="U201" s="74"/>
      <c r="V201" s="74"/>
      <c r="W201" s="74"/>
      <c r="X201" s="74"/>
      <c r="Y201" s="74"/>
      <c r="Z201" s="74"/>
    </row>
    <row r="202" ht="14.25" customHeight="1">
      <c r="A202" s="74"/>
      <c r="B202" s="321" t="s">
        <v>547</v>
      </c>
      <c r="C202" s="322">
        <v>10779.2</v>
      </c>
      <c r="D202" s="322">
        <f t="shared" si="24"/>
        <v>86.2336</v>
      </c>
      <c r="E202" s="322">
        <v>1377.79</v>
      </c>
      <c r="F202" s="341"/>
      <c r="G202" s="342"/>
      <c r="H202" s="245"/>
      <c r="I202" s="321" t="s">
        <v>548</v>
      </c>
      <c r="J202" s="322">
        <v>190.714</v>
      </c>
      <c r="K202" s="322">
        <f t="shared" si="26"/>
        <v>1.525712</v>
      </c>
      <c r="L202" s="322">
        <v>0.714496</v>
      </c>
      <c r="M202" s="356"/>
      <c r="N202" s="342"/>
      <c r="O202" s="74"/>
      <c r="P202" s="74"/>
      <c r="Q202" s="74"/>
      <c r="R202" s="74"/>
      <c r="S202" s="74"/>
      <c r="T202" s="74"/>
      <c r="U202" s="74"/>
      <c r="V202" s="74"/>
      <c r="W202" s="74"/>
      <c r="X202" s="74"/>
      <c r="Y202" s="74"/>
      <c r="Z202" s="74"/>
    </row>
    <row r="203" ht="14.25" customHeight="1">
      <c r="A203" s="74"/>
      <c r="B203" s="321" t="s">
        <v>549</v>
      </c>
      <c r="C203" s="322">
        <v>2180.1</v>
      </c>
      <c r="D203" s="322">
        <f t="shared" si="24"/>
        <v>17.4408</v>
      </c>
      <c r="E203" s="322">
        <v>278.658</v>
      </c>
      <c r="F203" s="341"/>
      <c r="G203" s="342"/>
      <c r="H203" s="245"/>
      <c r="I203" s="321" t="s">
        <v>550</v>
      </c>
      <c r="J203" s="322">
        <v>224.731</v>
      </c>
      <c r="K203" s="322">
        <f t="shared" si="26"/>
        <v>1.797848</v>
      </c>
      <c r="L203" s="322">
        <v>0.841938</v>
      </c>
      <c r="M203" s="346"/>
      <c r="N203" s="347"/>
      <c r="O203" s="74"/>
      <c r="P203" s="74"/>
      <c r="Q203" s="74"/>
      <c r="R203" s="74"/>
      <c r="S203" s="74"/>
      <c r="T203" s="74"/>
      <c r="U203" s="74"/>
      <c r="V203" s="74"/>
      <c r="W203" s="74"/>
      <c r="X203" s="74"/>
      <c r="Y203" s="74"/>
      <c r="Z203" s="74"/>
    </row>
    <row r="204" ht="14.25" customHeight="1">
      <c r="A204" s="74"/>
      <c r="B204" s="321" t="s">
        <v>551</v>
      </c>
      <c r="C204" s="322">
        <v>55.8134</v>
      </c>
      <c r="D204" s="322">
        <f t="shared" si="24"/>
        <v>0.4465072</v>
      </c>
      <c r="E204" s="322">
        <v>7.13402</v>
      </c>
      <c r="F204" s="341"/>
      <c r="G204" s="342"/>
      <c r="H204" s="245"/>
      <c r="I204" s="321" t="s">
        <v>552</v>
      </c>
      <c r="J204" s="322">
        <v>4509.64</v>
      </c>
      <c r="K204" s="322">
        <f t="shared" si="26"/>
        <v>36.07712</v>
      </c>
      <c r="L204" s="322">
        <v>16.895</v>
      </c>
      <c r="M204" s="346"/>
      <c r="N204" s="357"/>
      <c r="O204" s="74"/>
      <c r="P204" s="74"/>
      <c r="Q204" s="74"/>
      <c r="R204" s="74"/>
      <c r="S204" s="74"/>
      <c r="T204" s="74"/>
      <c r="U204" s="74"/>
      <c r="V204" s="74"/>
      <c r="W204" s="74"/>
      <c r="X204" s="74"/>
      <c r="Y204" s="74"/>
      <c r="Z204" s="74"/>
    </row>
    <row r="205" ht="14.25" customHeight="1">
      <c r="A205" s="74"/>
      <c r="B205" s="321" t="s">
        <v>553</v>
      </c>
      <c r="C205" s="322">
        <v>76828.1</v>
      </c>
      <c r="D205" s="322">
        <f t="shared" si="24"/>
        <v>614.6248</v>
      </c>
      <c r="E205" s="322">
        <v>9820.09</v>
      </c>
      <c r="F205" s="341"/>
      <c r="G205" s="342"/>
      <c r="H205" s="245"/>
      <c r="I205" s="321" t="s">
        <v>554</v>
      </c>
      <c r="J205" s="322">
        <v>5764.36</v>
      </c>
      <c r="K205" s="322">
        <f t="shared" si="26"/>
        <v>46.11488</v>
      </c>
      <c r="L205" s="322">
        <v>21.5958</v>
      </c>
      <c r="M205" s="356"/>
      <c r="N205" s="358"/>
      <c r="O205" s="74"/>
      <c r="P205" s="74"/>
      <c r="Q205" s="74"/>
      <c r="R205" s="74"/>
      <c r="S205" s="74"/>
      <c r="T205" s="74"/>
      <c r="U205" s="74"/>
      <c r="V205" s="74"/>
      <c r="W205" s="74"/>
      <c r="X205" s="74"/>
      <c r="Y205" s="74"/>
      <c r="Z205" s="74"/>
    </row>
    <row r="206" ht="14.25" customHeight="1">
      <c r="A206" s="74"/>
      <c r="B206" s="321" t="s">
        <v>555</v>
      </c>
      <c r="C206" s="322">
        <v>1384.34</v>
      </c>
      <c r="D206" s="322">
        <f t="shared" si="24"/>
        <v>11.07472</v>
      </c>
      <c r="E206" s="322">
        <v>176.944</v>
      </c>
      <c r="F206" s="341"/>
      <c r="G206" s="342"/>
      <c r="H206" s="245"/>
      <c r="I206" s="321" t="s">
        <v>556</v>
      </c>
      <c r="J206" s="322">
        <v>673.345</v>
      </c>
      <c r="K206" s="322">
        <f t="shared" si="26"/>
        <v>5.38676</v>
      </c>
      <c r="L206" s="322">
        <v>2.52264</v>
      </c>
      <c r="M206" s="98"/>
      <c r="N206" s="98"/>
      <c r="O206" s="74"/>
      <c r="P206" s="74"/>
      <c r="Q206" s="74"/>
      <c r="R206" s="74"/>
      <c r="S206" s="74"/>
      <c r="T206" s="74"/>
      <c r="U206" s="74"/>
      <c r="V206" s="74"/>
      <c r="W206" s="74"/>
      <c r="X206" s="74"/>
      <c r="Y206" s="74"/>
      <c r="Z206" s="74"/>
    </row>
    <row r="207" ht="14.25" customHeight="1">
      <c r="A207" s="74"/>
      <c r="B207" s="321" t="s">
        <v>557</v>
      </c>
      <c r="C207" s="322">
        <v>191.533</v>
      </c>
      <c r="D207" s="322">
        <f t="shared" si="24"/>
        <v>1.532264</v>
      </c>
      <c r="E207" s="322">
        <v>24.4815</v>
      </c>
      <c r="F207" s="341"/>
      <c r="G207" s="342"/>
      <c r="H207" s="245"/>
      <c r="I207" s="321" t="s">
        <v>558</v>
      </c>
      <c r="J207" s="322">
        <v>1.34939</v>
      </c>
      <c r="K207" s="322">
        <f t="shared" si="26"/>
        <v>0.01079512</v>
      </c>
      <c r="L207" s="322">
        <v>0.00505539</v>
      </c>
      <c r="M207" s="356"/>
      <c r="N207" s="358"/>
      <c r="O207" s="74"/>
      <c r="P207" s="74"/>
      <c r="Q207" s="74"/>
      <c r="R207" s="74"/>
      <c r="S207" s="74"/>
      <c r="T207" s="74"/>
      <c r="U207" s="74"/>
      <c r="V207" s="74"/>
      <c r="W207" s="74"/>
      <c r="X207" s="74"/>
      <c r="Y207" s="74"/>
      <c r="Z207" s="74"/>
    </row>
    <row r="208" ht="14.25" customHeight="1">
      <c r="A208" s="74"/>
      <c r="B208" s="321" t="s">
        <v>487</v>
      </c>
      <c r="C208" s="322">
        <v>791149.0</v>
      </c>
      <c r="D208" s="322">
        <f t="shared" si="24"/>
        <v>6329.192</v>
      </c>
      <c r="E208" s="322">
        <v>101124.0</v>
      </c>
      <c r="F208" s="341"/>
      <c r="G208" s="342"/>
      <c r="H208" s="245"/>
      <c r="I208" s="321" t="s">
        <v>559</v>
      </c>
      <c r="J208" s="322">
        <v>123.329</v>
      </c>
      <c r="K208" s="322">
        <f t="shared" si="26"/>
        <v>0.986632</v>
      </c>
      <c r="L208" s="322">
        <v>0.462044</v>
      </c>
      <c r="M208" s="98"/>
      <c r="N208" s="98"/>
      <c r="O208" s="74"/>
      <c r="P208" s="74"/>
      <c r="Q208" s="74"/>
      <c r="R208" s="74"/>
      <c r="S208" s="74"/>
      <c r="T208" s="74"/>
      <c r="U208" s="74"/>
      <c r="V208" s="74"/>
      <c r="W208" s="74"/>
      <c r="X208" s="74"/>
      <c r="Y208" s="74"/>
      <c r="Z208" s="74"/>
    </row>
    <row r="209" ht="14.25" customHeight="1">
      <c r="A209" s="74"/>
      <c r="B209" s="321" t="s">
        <v>493</v>
      </c>
      <c r="C209" s="322">
        <v>29881.9</v>
      </c>
      <c r="D209" s="322">
        <f t="shared" si="24"/>
        <v>239.0552</v>
      </c>
      <c r="E209" s="322">
        <v>3819.47</v>
      </c>
      <c r="F209" s="341"/>
      <c r="G209" s="342"/>
      <c r="H209" s="245"/>
      <c r="I209" s="321" t="s">
        <v>560</v>
      </c>
      <c r="J209" s="322">
        <v>444971.0</v>
      </c>
      <c r="K209" s="322">
        <f t="shared" si="26"/>
        <v>3559.768</v>
      </c>
      <c r="L209" s="322">
        <v>1667.05</v>
      </c>
      <c r="M209" s="356"/>
      <c r="N209" s="358"/>
      <c r="O209" s="74"/>
      <c r="P209" s="74"/>
      <c r="Q209" s="74"/>
      <c r="R209" s="74"/>
      <c r="S209" s="74"/>
      <c r="T209" s="74"/>
      <c r="U209" s="74"/>
      <c r="V209" s="74"/>
      <c r="W209" s="74"/>
      <c r="X209" s="74"/>
      <c r="Y209" s="74"/>
      <c r="Z209" s="74"/>
    </row>
    <row r="210" ht="14.25" customHeight="1">
      <c r="A210" s="74"/>
      <c r="B210" s="321" t="s">
        <v>560</v>
      </c>
      <c r="C210" s="322">
        <v>328919.0</v>
      </c>
      <c r="D210" s="322">
        <f t="shared" si="24"/>
        <v>2631.352</v>
      </c>
      <c r="E210" s="322">
        <v>42042.1</v>
      </c>
      <c r="F210" s="341"/>
      <c r="G210" s="342"/>
      <c r="H210" s="245"/>
      <c r="I210" s="321" t="s">
        <v>561</v>
      </c>
      <c r="J210" s="322">
        <v>160613.0</v>
      </c>
      <c r="K210" s="322">
        <f t="shared" si="26"/>
        <v>1284.904</v>
      </c>
      <c r="L210" s="322">
        <v>601.726</v>
      </c>
      <c r="M210" s="356"/>
      <c r="N210" s="358"/>
      <c r="O210" s="74"/>
      <c r="P210" s="74"/>
      <c r="Q210" s="74"/>
      <c r="R210" s="74"/>
      <c r="S210" s="74"/>
      <c r="T210" s="74"/>
      <c r="U210" s="74"/>
      <c r="V210" s="74"/>
      <c r="W210" s="74"/>
      <c r="X210" s="74"/>
      <c r="Y210" s="74"/>
      <c r="Z210" s="74"/>
    </row>
    <row r="211" ht="14.25" customHeight="1">
      <c r="A211" s="74"/>
      <c r="B211" s="321" t="s">
        <v>503</v>
      </c>
      <c r="C211" s="322">
        <v>207492.0</v>
      </c>
      <c r="D211" s="322">
        <f t="shared" si="24"/>
        <v>1659.936</v>
      </c>
      <c r="E211" s="322">
        <v>26521.4</v>
      </c>
      <c r="F211" s="341"/>
      <c r="G211" s="342"/>
      <c r="H211" s="245"/>
      <c r="I211" s="321" t="s">
        <v>562</v>
      </c>
      <c r="J211" s="322">
        <v>108980.0</v>
      </c>
      <c r="K211" s="322">
        <f t="shared" si="26"/>
        <v>871.84</v>
      </c>
      <c r="L211" s="322">
        <v>408.284</v>
      </c>
      <c r="M211" s="103"/>
      <c r="N211" s="359"/>
      <c r="O211" s="74"/>
      <c r="P211" s="74"/>
      <c r="Q211" s="74"/>
      <c r="R211" s="74"/>
      <c r="S211" s="74"/>
      <c r="T211" s="74"/>
      <c r="U211" s="74"/>
      <c r="V211" s="74"/>
      <c r="W211" s="74"/>
      <c r="X211" s="74"/>
      <c r="Y211" s="74"/>
      <c r="Z211" s="74"/>
    </row>
    <row r="212" ht="14.25" customHeight="1">
      <c r="A212" s="74"/>
      <c r="B212" s="321" t="s">
        <v>561</v>
      </c>
      <c r="C212" s="322">
        <v>106703.0</v>
      </c>
      <c r="D212" s="322">
        <f t="shared" si="24"/>
        <v>853.624</v>
      </c>
      <c r="E212" s="322">
        <v>13638.7</v>
      </c>
      <c r="F212" s="326"/>
      <c r="G212" s="80"/>
      <c r="H212" s="245"/>
      <c r="I212" s="321" t="s">
        <v>563</v>
      </c>
      <c r="J212" s="322">
        <v>-95094.8</v>
      </c>
      <c r="K212" s="322">
        <f t="shared" si="26"/>
        <v>-760.7584</v>
      </c>
      <c r="L212" s="322">
        <v>-356.266</v>
      </c>
      <c r="M212" s="356" t="s">
        <v>297</v>
      </c>
      <c r="N212" s="342"/>
      <c r="O212" s="74"/>
      <c r="P212" s="74"/>
      <c r="Q212" s="74"/>
      <c r="R212" s="74"/>
      <c r="S212" s="74"/>
      <c r="T212" s="74"/>
      <c r="U212" s="74"/>
      <c r="V212" s="74"/>
      <c r="W212" s="74"/>
      <c r="X212" s="74"/>
      <c r="Y212" s="74"/>
      <c r="Z212" s="74"/>
    </row>
    <row r="213" ht="14.25" customHeight="1">
      <c r="A213" s="74"/>
      <c r="B213" s="321" t="s">
        <v>562</v>
      </c>
      <c r="C213" s="322">
        <v>87826.5</v>
      </c>
      <c r="D213" s="322">
        <f t="shared" si="24"/>
        <v>702.612</v>
      </c>
      <c r="E213" s="322">
        <v>11225.9</v>
      </c>
      <c r="F213" s="351"/>
      <c r="G213" s="352"/>
      <c r="H213" s="245"/>
      <c r="I213" s="321" t="s">
        <v>491</v>
      </c>
      <c r="J213" s="322">
        <v>-815066.0</v>
      </c>
      <c r="K213" s="322">
        <f t="shared" si="26"/>
        <v>-6520.528</v>
      </c>
      <c r="L213" s="322">
        <v>-3053.59</v>
      </c>
      <c r="M213" s="356" t="s">
        <v>297</v>
      </c>
      <c r="N213" s="342"/>
      <c r="O213" s="74"/>
      <c r="P213" s="74"/>
      <c r="Q213" s="74"/>
      <c r="R213" s="74"/>
      <c r="S213" s="74"/>
      <c r="T213" s="74"/>
      <c r="U213" s="74"/>
      <c r="V213" s="74"/>
      <c r="W213" s="74"/>
      <c r="X213" s="74"/>
      <c r="Y213" s="74"/>
      <c r="Z213" s="74"/>
    </row>
    <row r="214" ht="14.25" customHeight="1">
      <c r="A214" s="74"/>
      <c r="B214" s="321" t="s">
        <v>494</v>
      </c>
      <c r="C214" s="322">
        <v>202122.0</v>
      </c>
      <c r="D214" s="322">
        <f t="shared" si="24"/>
        <v>1616.976</v>
      </c>
      <c r="E214" s="322">
        <v>25835.1</v>
      </c>
      <c r="F214" s="351"/>
      <c r="G214" s="352"/>
      <c r="H214" s="245"/>
      <c r="I214" s="245"/>
      <c r="J214" s="245"/>
      <c r="K214" s="245"/>
      <c r="L214" s="335"/>
      <c r="M214" s="245"/>
      <c r="N214" s="245"/>
      <c r="O214" s="74"/>
      <c r="P214" s="74"/>
      <c r="Q214" s="74"/>
      <c r="R214" s="74"/>
      <c r="S214" s="74"/>
      <c r="T214" s="74"/>
      <c r="U214" s="74"/>
      <c r="V214" s="74"/>
      <c r="W214" s="74"/>
      <c r="X214" s="74"/>
      <c r="Y214" s="74"/>
      <c r="Z214" s="74"/>
    </row>
    <row r="215" ht="14.25" customHeight="1">
      <c r="A215" s="74"/>
      <c r="B215" s="321" t="s">
        <v>495</v>
      </c>
      <c r="C215" s="322">
        <v>26962.0</v>
      </c>
      <c r="D215" s="322">
        <f t="shared" si="24"/>
        <v>215.696</v>
      </c>
      <c r="E215" s="322">
        <v>3446.25</v>
      </c>
      <c r="F215" s="351"/>
      <c r="G215" s="352"/>
      <c r="H215" s="245"/>
      <c r="I215" s="318" t="s">
        <v>564</v>
      </c>
      <c r="J215" s="319"/>
      <c r="K215" s="245"/>
      <c r="L215" s="245"/>
      <c r="M215" s="245"/>
      <c r="N215" s="245"/>
      <c r="O215" s="74"/>
      <c r="P215" s="74"/>
      <c r="Q215" s="74"/>
      <c r="R215" s="74"/>
      <c r="S215" s="74"/>
      <c r="T215" s="74"/>
      <c r="U215" s="74"/>
      <c r="V215" s="74"/>
      <c r="W215" s="74"/>
      <c r="X215" s="74"/>
      <c r="Y215" s="74"/>
      <c r="Z215" s="74"/>
    </row>
    <row r="216" ht="14.25" customHeight="1">
      <c r="A216" s="74"/>
      <c r="B216" s="321" t="s">
        <v>496</v>
      </c>
      <c r="C216" s="322">
        <v>18820.7</v>
      </c>
      <c r="D216" s="322">
        <f t="shared" si="24"/>
        <v>150.5656</v>
      </c>
      <c r="E216" s="322">
        <v>2405.64</v>
      </c>
      <c r="F216" s="351"/>
      <c r="G216" s="352"/>
      <c r="H216" s="245"/>
      <c r="I216" s="246" t="s">
        <v>483</v>
      </c>
      <c r="J216" s="246" t="s">
        <v>484</v>
      </c>
      <c r="K216" s="246" t="s">
        <v>485</v>
      </c>
      <c r="L216" s="246" t="s">
        <v>305</v>
      </c>
      <c r="M216" s="320" t="s">
        <v>128</v>
      </c>
      <c r="N216" s="80"/>
      <c r="O216" s="74"/>
      <c r="P216" s="74"/>
      <c r="Q216" s="74"/>
      <c r="R216" s="74"/>
      <c r="S216" s="74"/>
      <c r="T216" s="74"/>
      <c r="U216" s="74"/>
      <c r="V216" s="74"/>
      <c r="W216" s="74"/>
      <c r="X216" s="74"/>
      <c r="Y216" s="74"/>
      <c r="Z216" s="74"/>
    </row>
    <row r="217" ht="14.25" customHeight="1">
      <c r="A217" s="74"/>
      <c r="B217" s="344"/>
      <c r="C217" s="360"/>
      <c r="D217" s="360"/>
      <c r="E217" s="360"/>
      <c r="F217" s="326"/>
      <c r="G217" s="80"/>
      <c r="H217" s="245"/>
      <c r="I217" s="361" t="s">
        <v>565</v>
      </c>
      <c r="J217" s="362">
        <v>5431.58</v>
      </c>
      <c r="K217" s="362">
        <f>J217*8000/1000000</f>
        <v>43.45264</v>
      </c>
      <c r="L217" s="362">
        <v>90.0882</v>
      </c>
      <c r="M217" s="363" t="s">
        <v>566</v>
      </c>
      <c r="N217" s="80"/>
      <c r="O217" s="74"/>
      <c r="P217" s="74"/>
      <c r="Q217" s="74"/>
      <c r="R217" s="74"/>
      <c r="S217" s="74"/>
      <c r="T217" s="74"/>
      <c r="U217" s="74"/>
      <c r="V217" s="74"/>
      <c r="W217" s="74"/>
      <c r="X217" s="74"/>
      <c r="Y217" s="74"/>
      <c r="Z217" s="74"/>
    </row>
    <row r="218" ht="14.25" customHeight="1">
      <c r="A218" s="74"/>
      <c r="B218" s="245"/>
      <c r="C218" s="245"/>
      <c r="D218" s="245"/>
      <c r="E218" s="335"/>
      <c r="F218" s="245"/>
      <c r="G218" s="245"/>
      <c r="H218" s="245"/>
      <c r="I218" s="364"/>
      <c r="J218" s="364"/>
      <c r="K218" s="365"/>
      <c r="L218" s="365"/>
      <c r="M218" s="354"/>
      <c r="N218" s="355"/>
      <c r="O218" s="74"/>
      <c r="P218" s="74"/>
      <c r="Q218" s="74"/>
      <c r="R218" s="74"/>
      <c r="S218" s="74"/>
      <c r="T218" s="74"/>
      <c r="U218" s="74"/>
      <c r="V218" s="74"/>
      <c r="W218" s="74"/>
      <c r="X218" s="74"/>
      <c r="Y218" s="74"/>
      <c r="Z218" s="74"/>
    </row>
    <row r="219" ht="14.25" customHeight="1">
      <c r="A219" s="74"/>
      <c r="B219" s="245"/>
      <c r="C219" s="245"/>
      <c r="D219" s="245"/>
      <c r="E219" s="245"/>
      <c r="F219" s="245"/>
      <c r="G219" s="245"/>
      <c r="H219" s="245"/>
      <c r="I219" s="364"/>
      <c r="J219" s="364"/>
      <c r="K219" s="365"/>
      <c r="L219" s="365"/>
      <c r="M219" s="353"/>
      <c r="N219" s="80"/>
      <c r="O219" s="74"/>
      <c r="P219" s="74"/>
      <c r="Q219" s="74"/>
      <c r="R219" s="74"/>
      <c r="S219" s="74"/>
      <c r="T219" s="74"/>
      <c r="U219" s="74"/>
      <c r="V219" s="74"/>
      <c r="W219" s="74"/>
      <c r="X219" s="74"/>
      <c r="Y219" s="74"/>
      <c r="Z219" s="74"/>
    </row>
    <row r="220" ht="14.25" customHeight="1">
      <c r="A220" s="74"/>
      <c r="B220" s="318" t="s">
        <v>567</v>
      </c>
      <c r="C220" s="319"/>
      <c r="D220" s="245"/>
      <c r="E220" s="245"/>
      <c r="F220" s="245"/>
      <c r="G220" s="245"/>
      <c r="H220" s="245"/>
      <c r="I220" s="344"/>
      <c r="J220" s="344"/>
      <c r="K220" s="345"/>
      <c r="L220" s="345"/>
      <c r="M220" s="341"/>
      <c r="N220" s="342"/>
      <c r="O220" s="74"/>
      <c r="P220" s="74"/>
      <c r="Q220" s="74"/>
      <c r="R220" s="74"/>
      <c r="S220" s="74"/>
      <c r="T220" s="74"/>
      <c r="U220" s="74"/>
      <c r="V220" s="74"/>
      <c r="W220" s="74"/>
      <c r="X220" s="74"/>
      <c r="Y220" s="74"/>
      <c r="Z220" s="74"/>
    </row>
    <row r="221" ht="14.25" customHeight="1">
      <c r="A221" s="74"/>
      <c r="B221" s="246" t="s">
        <v>483</v>
      </c>
      <c r="C221" s="246" t="s">
        <v>484</v>
      </c>
      <c r="D221" s="246" t="s">
        <v>485</v>
      </c>
      <c r="E221" s="246" t="s">
        <v>305</v>
      </c>
      <c r="F221" s="320" t="s">
        <v>128</v>
      </c>
      <c r="G221" s="80"/>
      <c r="H221" s="245"/>
      <c r="I221" s="245"/>
      <c r="J221" s="245"/>
      <c r="K221" s="245"/>
      <c r="L221" s="245"/>
      <c r="M221" s="245"/>
      <c r="N221" s="245"/>
      <c r="O221" s="74"/>
      <c r="P221" s="74"/>
      <c r="Q221" s="74"/>
      <c r="R221" s="74"/>
      <c r="S221" s="74"/>
      <c r="T221" s="74"/>
      <c r="U221" s="74"/>
      <c r="V221" s="74"/>
      <c r="W221" s="74"/>
      <c r="X221" s="74"/>
      <c r="Y221" s="74"/>
      <c r="Z221" s="74"/>
    </row>
    <row r="222" ht="14.25" customHeight="1">
      <c r="A222" s="74"/>
      <c r="B222" s="322" t="s">
        <v>568</v>
      </c>
      <c r="C222" s="322">
        <v>3504.64</v>
      </c>
      <c r="D222" s="322">
        <f t="shared" ref="D222:D223" si="27">C222*8000/1000000</f>
        <v>28.03712</v>
      </c>
      <c r="E222" s="322">
        <v>56.0244</v>
      </c>
      <c r="F222" s="353"/>
      <c r="G222" s="80"/>
      <c r="H222" s="245"/>
      <c r="I222" s="245"/>
      <c r="J222" s="245"/>
      <c r="K222" s="245"/>
      <c r="L222" s="245"/>
      <c r="M222" s="245"/>
      <c r="N222" s="245"/>
      <c r="O222" s="74"/>
      <c r="P222" s="74"/>
      <c r="Q222" s="74"/>
      <c r="R222" s="74"/>
      <c r="S222" s="74"/>
      <c r="T222" s="74"/>
      <c r="U222" s="74"/>
      <c r="V222" s="74"/>
      <c r="W222" s="74"/>
      <c r="X222" s="74"/>
      <c r="Y222" s="74"/>
      <c r="Z222" s="74"/>
    </row>
    <row r="223" ht="14.25" customHeight="1">
      <c r="A223" s="74"/>
      <c r="B223" s="322" t="s">
        <v>569</v>
      </c>
      <c r="C223" s="322">
        <v>1245.59</v>
      </c>
      <c r="D223" s="322">
        <f t="shared" si="27"/>
        <v>9.96472</v>
      </c>
      <c r="E223" s="322">
        <v>19.9117</v>
      </c>
      <c r="F223" s="354"/>
      <c r="G223" s="355"/>
      <c r="H223" s="245"/>
      <c r="I223" s="245"/>
      <c r="J223" s="245"/>
      <c r="K223" s="245"/>
      <c r="L223" s="245"/>
      <c r="M223" s="245"/>
      <c r="N223" s="245"/>
      <c r="O223" s="74"/>
      <c r="P223" s="74"/>
      <c r="Q223" s="74"/>
      <c r="R223" s="74"/>
      <c r="S223" s="74"/>
      <c r="T223" s="74"/>
      <c r="U223" s="74"/>
      <c r="V223" s="74"/>
      <c r="W223" s="74"/>
      <c r="X223" s="74"/>
      <c r="Y223" s="74"/>
      <c r="Z223" s="74"/>
    </row>
    <row r="224" ht="14.25" customHeight="1">
      <c r="A224" s="74"/>
      <c r="B224" s="364"/>
      <c r="C224" s="364"/>
      <c r="D224" s="365"/>
      <c r="E224" s="365"/>
      <c r="F224" s="353"/>
      <c r="G224" s="80"/>
      <c r="H224" s="245"/>
      <c r="I224" s="245"/>
      <c r="J224" s="245"/>
      <c r="K224" s="245"/>
      <c r="L224" s="245"/>
      <c r="M224" s="245"/>
      <c r="N224" s="245"/>
      <c r="O224" s="74"/>
      <c r="P224" s="74"/>
      <c r="Q224" s="74"/>
      <c r="R224" s="74"/>
      <c r="S224" s="74"/>
      <c r="T224" s="74"/>
      <c r="U224" s="74"/>
      <c r="V224" s="74"/>
      <c r="W224" s="74"/>
      <c r="X224" s="74"/>
      <c r="Y224" s="74"/>
      <c r="Z224" s="74"/>
    </row>
    <row r="225" ht="14.25" customHeight="1">
      <c r="A225" s="74"/>
      <c r="B225" s="344"/>
      <c r="C225" s="344"/>
      <c r="D225" s="345"/>
      <c r="E225" s="345"/>
      <c r="F225" s="341"/>
      <c r="G225" s="342"/>
      <c r="H225" s="245"/>
      <c r="I225" s="245"/>
      <c r="J225" s="245"/>
      <c r="K225" s="245"/>
      <c r="L225" s="245"/>
      <c r="M225" s="245"/>
      <c r="N225" s="245"/>
      <c r="O225" s="74"/>
      <c r="P225" s="74"/>
      <c r="Q225" s="74"/>
      <c r="R225" s="74"/>
      <c r="S225" s="74"/>
      <c r="T225" s="74"/>
      <c r="U225" s="74"/>
      <c r="V225" s="74"/>
      <c r="W225" s="74"/>
      <c r="X225" s="74"/>
      <c r="Y225" s="74"/>
      <c r="Z225" s="74"/>
    </row>
    <row r="226" ht="14.25" customHeight="1">
      <c r="A226" s="74"/>
      <c r="B226" s="245"/>
      <c r="C226" s="245"/>
      <c r="D226" s="245"/>
      <c r="E226" s="245"/>
      <c r="F226" s="245"/>
      <c r="G226" s="245"/>
      <c r="H226" s="245"/>
      <c r="I226" s="245"/>
      <c r="J226" s="245"/>
      <c r="K226" s="245"/>
      <c r="L226" s="245"/>
      <c r="M226" s="245"/>
      <c r="N226" s="245"/>
      <c r="O226" s="74"/>
      <c r="P226" s="74"/>
      <c r="Q226" s="74"/>
      <c r="R226" s="74"/>
      <c r="S226" s="74"/>
      <c r="T226" s="74"/>
      <c r="U226" s="74"/>
      <c r="V226" s="74"/>
      <c r="W226" s="74"/>
      <c r="X226" s="74"/>
      <c r="Y226" s="74"/>
      <c r="Z226" s="74"/>
    </row>
    <row r="227" ht="14.25" customHeight="1">
      <c r="A227" s="74"/>
      <c r="B227" s="245"/>
      <c r="C227" s="245"/>
      <c r="D227" s="245"/>
      <c r="E227" s="245"/>
      <c r="F227" s="245"/>
      <c r="G227" s="245"/>
      <c r="H227" s="245"/>
      <c r="I227" s="245"/>
      <c r="J227" s="245"/>
      <c r="K227" s="245"/>
      <c r="L227" s="245"/>
      <c r="M227" s="245"/>
      <c r="N227" s="245"/>
      <c r="O227" s="74"/>
      <c r="P227" s="74"/>
      <c r="Q227" s="74"/>
      <c r="R227" s="74"/>
      <c r="S227" s="74"/>
      <c r="T227" s="74"/>
      <c r="U227" s="74"/>
      <c r="V227" s="74"/>
      <c r="W227" s="74"/>
      <c r="X227" s="74"/>
      <c r="Y227" s="74"/>
      <c r="Z227" s="74"/>
    </row>
    <row r="228" ht="14.25" customHeight="1">
      <c r="A228" s="74"/>
      <c r="B228" s="245"/>
      <c r="C228" s="245"/>
      <c r="D228" s="245"/>
      <c r="E228" s="245"/>
      <c r="F228" s="245"/>
      <c r="G228" s="245"/>
      <c r="H228" s="245"/>
      <c r="I228" s="245"/>
      <c r="J228" s="245"/>
      <c r="K228" s="245"/>
      <c r="L228" s="245"/>
      <c r="M228" s="245"/>
      <c r="N228" s="245"/>
      <c r="O228" s="74"/>
      <c r="P228" s="74"/>
      <c r="Q228" s="74"/>
      <c r="R228" s="74"/>
      <c r="S228" s="74"/>
      <c r="T228" s="74"/>
      <c r="U228" s="74"/>
      <c r="V228" s="74"/>
      <c r="W228" s="74"/>
      <c r="X228" s="74"/>
      <c r="Y228" s="74"/>
      <c r="Z228" s="74"/>
    </row>
    <row r="229" ht="14.25" customHeight="1">
      <c r="A229" s="74"/>
      <c r="B229" s="245"/>
      <c r="C229" s="245"/>
      <c r="D229" s="245"/>
      <c r="E229" s="245"/>
      <c r="F229" s="245"/>
      <c r="G229" s="245"/>
      <c r="H229" s="245"/>
      <c r="I229" s="245"/>
      <c r="J229" s="245"/>
      <c r="K229" s="245"/>
      <c r="L229" s="245"/>
      <c r="M229" s="245"/>
      <c r="N229" s="245"/>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110" t="s">
        <v>163</v>
      </c>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188" t="s">
        <v>570</v>
      </c>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188" t="s">
        <v>165</v>
      </c>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188" t="s">
        <v>166</v>
      </c>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24.75" customHeight="1">
      <c r="A238" s="74"/>
      <c r="B238" s="189" t="s">
        <v>167</v>
      </c>
      <c r="C238" s="190" t="s">
        <v>168</v>
      </c>
      <c r="D238" s="191"/>
      <c r="E238" s="80"/>
      <c r="F238" s="74"/>
      <c r="G238" s="74"/>
      <c r="H238" s="74"/>
      <c r="I238" s="74"/>
      <c r="J238" s="74"/>
      <c r="K238" s="74"/>
      <c r="L238" s="74"/>
      <c r="M238" s="74"/>
      <c r="N238" s="74"/>
      <c r="O238" s="74"/>
      <c r="P238" s="74"/>
      <c r="Q238" s="74"/>
      <c r="R238" s="74"/>
      <c r="S238" s="74"/>
      <c r="T238" s="74"/>
      <c r="U238" s="74"/>
      <c r="V238" s="74"/>
      <c r="W238" s="74"/>
      <c r="X238" s="74"/>
      <c r="Y238" s="74"/>
      <c r="Z238" s="74"/>
    </row>
    <row r="239" ht="30.0" customHeight="1">
      <c r="A239" s="74"/>
      <c r="B239" s="366" t="s">
        <v>169</v>
      </c>
      <c r="C239" s="367" t="s">
        <v>571</v>
      </c>
      <c r="D239" s="93"/>
      <c r="E239" s="94"/>
      <c r="F239" s="74"/>
      <c r="G239" s="74"/>
      <c r="H239" s="74"/>
      <c r="I239" s="74"/>
      <c r="J239" s="74"/>
      <c r="K239" s="74"/>
      <c r="L239" s="74"/>
      <c r="M239" s="74"/>
      <c r="N239" s="74"/>
      <c r="O239" s="74"/>
      <c r="P239" s="74"/>
      <c r="Q239" s="74"/>
      <c r="R239" s="74"/>
      <c r="S239" s="74"/>
      <c r="T239" s="74"/>
      <c r="U239" s="74"/>
      <c r="V239" s="74"/>
      <c r="W239" s="74"/>
      <c r="X239" s="74"/>
      <c r="Y239" s="74"/>
      <c r="Z239" s="74"/>
    </row>
    <row r="240" ht="30.0" customHeight="1">
      <c r="A240" s="74"/>
      <c r="B240" s="366" t="s">
        <v>171</v>
      </c>
      <c r="C240" s="368" t="s">
        <v>572</v>
      </c>
      <c r="E240" s="29"/>
      <c r="F240" s="74"/>
      <c r="G240" s="74"/>
      <c r="H240" s="74"/>
      <c r="I240" s="74"/>
      <c r="J240" s="74"/>
      <c r="K240" s="74"/>
      <c r="L240" s="74"/>
      <c r="M240" s="74"/>
      <c r="N240" s="74"/>
      <c r="O240" s="74"/>
      <c r="P240" s="74"/>
      <c r="Q240" s="74"/>
      <c r="R240" s="74"/>
      <c r="S240" s="74"/>
      <c r="T240" s="74"/>
      <c r="U240" s="74"/>
      <c r="V240" s="74"/>
      <c r="W240" s="74"/>
      <c r="X240" s="74"/>
      <c r="Y240" s="74"/>
      <c r="Z240" s="74"/>
    </row>
    <row r="241" ht="30.0" customHeight="1">
      <c r="A241" s="74"/>
      <c r="B241" s="366" t="s">
        <v>173</v>
      </c>
      <c r="C241" s="368" t="s">
        <v>573</v>
      </c>
      <c r="E241" s="29"/>
      <c r="F241" s="74"/>
      <c r="G241" s="74"/>
      <c r="H241" s="74"/>
      <c r="I241" s="74"/>
      <c r="J241" s="74"/>
      <c r="K241" s="74"/>
      <c r="L241" s="74"/>
      <c r="M241" s="74"/>
      <c r="N241" s="74"/>
      <c r="O241" s="74"/>
      <c r="P241" s="74"/>
      <c r="Q241" s="74"/>
      <c r="R241" s="74"/>
      <c r="S241" s="74"/>
      <c r="T241" s="74"/>
      <c r="U241" s="74"/>
      <c r="V241" s="74"/>
      <c r="W241" s="74"/>
      <c r="X241" s="74"/>
      <c r="Y241" s="74"/>
      <c r="Z241" s="74"/>
    </row>
    <row r="242" ht="30.0" customHeight="1">
      <c r="A242" s="74"/>
      <c r="B242" s="366" t="s">
        <v>175</v>
      </c>
      <c r="C242" s="368" t="s">
        <v>574</v>
      </c>
      <c r="E242" s="29"/>
      <c r="F242" s="74"/>
      <c r="G242" s="74"/>
      <c r="H242" s="74"/>
      <c r="I242" s="74"/>
      <c r="J242" s="74"/>
      <c r="K242" s="74"/>
      <c r="L242" s="74"/>
      <c r="M242" s="74"/>
      <c r="N242" s="74"/>
      <c r="O242" s="74"/>
      <c r="P242" s="74"/>
      <c r="Q242" s="74"/>
      <c r="R242" s="74"/>
      <c r="S242" s="74"/>
      <c r="T242" s="74"/>
      <c r="U242" s="74"/>
      <c r="V242" s="74"/>
      <c r="W242" s="74"/>
      <c r="X242" s="74"/>
      <c r="Y242" s="74"/>
      <c r="Z242" s="74"/>
    </row>
    <row r="243" ht="30.0" customHeight="1">
      <c r="A243" s="74"/>
      <c r="B243" s="366" t="s">
        <v>177</v>
      </c>
      <c r="C243" s="369" t="s">
        <v>575</v>
      </c>
      <c r="E243" s="29"/>
      <c r="F243" s="74"/>
      <c r="G243" s="74"/>
      <c r="H243" s="74"/>
      <c r="I243" s="74"/>
      <c r="J243" s="74"/>
      <c r="K243" s="74"/>
      <c r="L243" s="74"/>
      <c r="M243" s="74"/>
      <c r="N243" s="74"/>
      <c r="O243" s="74"/>
      <c r="P243" s="74"/>
      <c r="Q243" s="74"/>
      <c r="R243" s="74"/>
      <c r="S243" s="74"/>
      <c r="T243" s="74"/>
      <c r="U243" s="74"/>
      <c r="V243" s="74"/>
      <c r="W243" s="74"/>
      <c r="X243" s="74"/>
      <c r="Y243" s="74"/>
      <c r="Z243" s="74"/>
    </row>
    <row r="244" ht="30.0" customHeight="1">
      <c r="A244" s="74"/>
      <c r="B244" s="366" t="s">
        <v>179</v>
      </c>
      <c r="C244" s="368" t="s">
        <v>576</v>
      </c>
      <c r="E244" s="29"/>
      <c r="F244" s="74"/>
      <c r="G244" s="74"/>
      <c r="H244" s="74"/>
      <c r="I244" s="74"/>
      <c r="J244" s="74"/>
      <c r="K244" s="74"/>
      <c r="L244" s="74"/>
      <c r="M244" s="74"/>
      <c r="N244" s="74"/>
      <c r="O244" s="74"/>
      <c r="P244" s="74"/>
      <c r="Q244" s="74"/>
      <c r="R244" s="74"/>
      <c r="S244" s="74"/>
      <c r="T244" s="74"/>
      <c r="U244" s="74"/>
      <c r="V244" s="74"/>
      <c r="W244" s="74"/>
      <c r="X244" s="74"/>
      <c r="Y244" s="74"/>
      <c r="Z244" s="74"/>
    </row>
    <row r="245" ht="30.0" customHeight="1">
      <c r="A245" s="74"/>
      <c r="B245" s="366" t="s">
        <v>181</v>
      </c>
      <c r="C245" s="368" t="s">
        <v>577</v>
      </c>
      <c r="F245" s="74"/>
      <c r="G245" s="74"/>
      <c r="H245" s="74"/>
      <c r="I245" s="74"/>
      <c r="J245" s="74"/>
      <c r="K245" s="74"/>
      <c r="L245" s="74"/>
      <c r="M245" s="74"/>
      <c r="N245" s="74"/>
      <c r="O245" s="74"/>
      <c r="P245" s="74"/>
      <c r="Q245" s="74"/>
      <c r="R245" s="74"/>
      <c r="S245" s="74"/>
      <c r="T245" s="74"/>
      <c r="U245" s="74"/>
      <c r="V245" s="74"/>
      <c r="W245" s="74"/>
      <c r="X245" s="74"/>
      <c r="Y245" s="74"/>
      <c r="Z245" s="74"/>
    </row>
    <row r="246" ht="30.0" customHeight="1">
      <c r="A246" s="74"/>
      <c r="B246" s="366" t="s">
        <v>183</v>
      </c>
      <c r="C246" s="368" t="s">
        <v>578</v>
      </c>
      <c r="F246" s="74"/>
      <c r="G246" s="74"/>
      <c r="H246" s="74"/>
      <c r="I246" s="74"/>
      <c r="J246" s="74"/>
      <c r="K246" s="74"/>
      <c r="L246" s="74"/>
      <c r="M246" s="74"/>
      <c r="N246" s="74"/>
      <c r="O246" s="74"/>
      <c r="P246" s="74"/>
      <c r="Q246" s="74"/>
      <c r="R246" s="74"/>
      <c r="S246" s="74"/>
      <c r="T246" s="74"/>
      <c r="U246" s="74"/>
      <c r="V246" s="74"/>
      <c r="W246" s="74"/>
      <c r="X246" s="74"/>
      <c r="Y246" s="74"/>
      <c r="Z246" s="74"/>
    </row>
    <row r="247" ht="30.0" customHeight="1">
      <c r="A247" s="74"/>
      <c r="B247" s="366" t="s">
        <v>185</v>
      </c>
      <c r="C247" s="368" t="s">
        <v>579</v>
      </c>
      <c r="F247" s="74"/>
      <c r="G247" s="74"/>
      <c r="H247" s="74"/>
      <c r="I247" s="74"/>
      <c r="J247" s="74"/>
      <c r="K247" s="74"/>
      <c r="L247" s="74"/>
      <c r="M247" s="74"/>
      <c r="N247" s="74"/>
      <c r="O247" s="74"/>
      <c r="P247" s="74"/>
      <c r="Q247" s="74"/>
      <c r="R247" s="74"/>
      <c r="S247" s="74"/>
      <c r="T247" s="74"/>
      <c r="U247" s="74"/>
      <c r="V247" s="74"/>
      <c r="W247" s="74"/>
      <c r="X247" s="74"/>
      <c r="Y247" s="74"/>
      <c r="Z247" s="74"/>
    </row>
    <row r="248" ht="30.0" customHeight="1">
      <c r="A248" s="74"/>
      <c r="B248" s="366" t="s">
        <v>187</v>
      </c>
      <c r="C248" s="368" t="s">
        <v>580</v>
      </c>
      <c r="F248" s="74"/>
      <c r="G248" s="74"/>
      <c r="H248" s="74"/>
      <c r="I248" s="74"/>
      <c r="J248" s="74"/>
      <c r="K248" s="74"/>
      <c r="L248" s="74"/>
      <c r="M248" s="74"/>
      <c r="N248" s="74"/>
      <c r="O248" s="74"/>
      <c r="P248" s="74"/>
      <c r="Q248" s="74"/>
      <c r="R248" s="74"/>
      <c r="S248" s="74"/>
      <c r="T248" s="74"/>
      <c r="U248" s="74"/>
      <c r="V248" s="74"/>
      <c r="W248" s="74"/>
      <c r="X248" s="74"/>
      <c r="Y248" s="74"/>
      <c r="Z248" s="74"/>
    </row>
    <row r="249" ht="30.0" customHeight="1">
      <c r="A249" s="74"/>
      <c r="B249" s="366" t="s">
        <v>189</v>
      </c>
      <c r="C249" s="368" t="s">
        <v>581</v>
      </c>
      <c r="F249" s="74"/>
      <c r="G249" s="74"/>
      <c r="H249" s="74"/>
      <c r="I249" s="74"/>
      <c r="J249" s="74"/>
      <c r="K249" s="74"/>
      <c r="L249" s="74"/>
      <c r="M249" s="74"/>
      <c r="N249" s="74"/>
      <c r="O249" s="74"/>
      <c r="P249" s="74"/>
      <c r="Q249" s="74"/>
      <c r="R249" s="74"/>
      <c r="S249" s="74"/>
      <c r="T249" s="74"/>
      <c r="U249" s="74"/>
      <c r="V249" s="74"/>
      <c r="W249" s="74"/>
      <c r="X249" s="74"/>
      <c r="Y249" s="74"/>
      <c r="Z249" s="74"/>
    </row>
    <row r="250" ht="30.0" customHeight="1">
      <c r="A250" s="74"/>
      <c r="B250" s="366" t="s">
        <v>191</v>
      </c>
      <c r="C250" s="368" t="s">
        <v>582</v>
      </c>
      <c r="F250" s="74"/>
      <c r="G250" s="74"/>
      <c r="H250" s="74"/>
      <c r="I250" s="74"/>
      <c r="J250" s="74"/>
      <c r="K250" s="74"/>
      <c r="L250" s="74"/>
      <c r="M250" s="74"/>
      <c r="N250" s="74"/>
      <c r="O250" s="74"/>
      <c r="P250" s="74"/>
      <c r="Q250" s="74"/>
      <c r="R250" s="74"/>
      <c r="S250" s="74"/>
      <c r="T250" s="74"/>
      <c r="U250" s="74"/>
      <c r="V250" s="74"/>
      <c r="W250" s="74"/>
      <c r="X250" s="74"/>
      <c r="Y250" s="74"/>
      <c r="Z250" s="74"/>
    </row>
    <row r="251" ht="30.0" customHeight="1">
      <c r="A251" s="74"/>
      <c r="B251" s="366" t="s">
        <v>193</v>
      </c>
      <c r="C251" s="368" t="s">
        <v>583</v>
      </c>
      <c r="F251" s="74"/>
      <c r="G251" s="74"/>
      <c r="H251" s="74"/>
      <c r="I251" s="74"/>
      <c r="J251" s="74"/>
      <c r="K251" s="74"/>
      <c r="L251" s="74"/>
      <c r="M251" s="74"/>
      <c r="N251" s="74"/>
      <c r="O251" s="74"/>
      <c r="P251" s="74"/>
      <c r="Q251" s="74"/>
      <c r="R251" s="74"/>
      <c r="S251" s="74"/>
      <c r="T251" s="74"/>
      <c r="U251" s="74"/>
      <c r="V251" s="74"/>
      <c r="W251" s="74"/>
      <c r="X251" s="74"/>
      <c r="Y251" s="74"/>
      <c r="Z251" s="74"/>
    </row>
    <row r="252" ht="30.0" customHeight="1">
      <c r="A252" s="74"/>
      <c r="B252" s="366" t="s">
        <v>195</v>
      </c>
      <c r="C252" s="368" t="s">
        <v>584</v>
      </c>
      <c r="F252" s="74"/>
      <c r="G252" s="74"/>
      <c r="H252" s="74"/>
      <c r="I252" s="74"/>
      <c r="J252" s="74"/>
      <c r="K252" s="74"/>
      <c r="L252" s="74"/>
      <c r="M252" s="74"/>
      <c r="N252" s="74"/>
      <c r="O252" s="74"/>
      <c r="P252" s="74"/>
      <c r="Q252" s="74"/>
      <c r="R252" s="74"/>
      <c r="S252" s="74"/>
      <c r="T252" s="74"/>
      <c r="U252" s="74"/>
      <c r="V252" s="74"/>
      <c r="W252" s="74"/>
      <c r="X252" s="74"/>
      <c r="Y252" s="74"/>
      <c r="Z252" s="74"/>
    </row>
    <row r="253" ht="30.0" customHeight="1">
      <c r="A253" s="74"/>
      <c r="B253" s="366" t="s">
        <v>197</v>
      </c>
      <c r="C253" s="368" t="s">
        <v>585</v>
      </c>
      <c r="F253" s="74"/>
      <c r="G253" s="74"/>
      <c r="H253" s="74"/>
      <c r="I253" s="74"/>
      <c r="J253" s="74"/>
      <c r="K253" s="74"/>
      <c r="L253" s="74"/>
      <c r="M253" s="74"/>
      <c r="N253" s="74"/>
      <c r="O253" s="74"/>
      <c r="P253" s="74"/>
      <c r="Q253" s="74"/>
      <c r="R253" s="74"/>
      <c r="S253" s="74"/>
      <c r="T253" s="74"/>
      <c r="U253" s="74"/>
      <c r="V253" s="74"/>
      <c r="W253" s="74"/>
      <c r="X253" s="74"/>
      <c r="Y253" s="74"/>
      <c r="Z253" s="74"/>
    </row>
    <row r="254" ht="30.0" customHeight="1">
      <c r="A254" s="74"/>
      <c r="B254" s="366" t="s">
        <v>199</v>
      </c>
      <c r="C254" s="368" t="s">
        <v>586</v>
      </c>
      <c r="F254" s="74"/>
      <c r="G254" s="74"/>
      <c r="H254" s="74"/>
      <c r="I254" s="74"/>
      <c r="J254" s="74"/>
      <c r="K254" s="74"/>
      <c r="L254" s="74"/>
      <c r="M254" s="74"/>
      <c r="N254" s="74"/>
      <c r="O254" s="74"/>
      <c r="P254" s="74"/>
      <c r="Q254" s="74"/>
      <c r="R254" s="74"/>
      <c r="S254" s="74"/>
      <c r="T254" s="74"/>
      <c r="U254" s="74"/>
      <c r="V254" s="74"/>
      <c r="W254" s="74"/>
      <c r="X254" s="74"/>
      <c r="Y254" s="74"/>
      <c r="Z254" s="74"/>
    </row>
    <row r="255" ht="30.0" customHeight="1">
      <c r="A255" s="74"/>
      <c r="B255" s="366" t="s">
        <v>201</v>
      </c>
      <c r="C255" s="368" t="s">
        <v>587</v>
      </c>
      <c r="F255" s="74"/>
      <c r="G255" s="74"/>
      <c r="H255" s="74"/>
      <c r="I255" s="74"/>
      <c r="J255" s="74"/>
      <c r="K255" s="74"/>
      <c r="L255" s="74"/>
      <c r="M255" s="74"/>
      <c r="N255" s="74"/>
      <c r="O255" s="74"/>
      <c r="P255" s="74"/>
      <c r="Q255" s="74"/>
      <c r="R255" s="74"/>
      <c r="S255" s="74"/>
      <c r="T255" s="74"/>
      <c r="U255" s="74"/>
      <c r="V255" s="74"/>
      <c r="W255" s="74"/>
      <c r="X255" s="74"/>
      <c r="Y255" s="74"/>
      <c r="Z255" s="74"/>
    </row>
    <row r="256" ht="30.0" customHeight="1">
      <c r="A256" s="74"/>
      <c r="B256" s="366" t="s">
        <v>203</v>
      </c>
      <c r="C256" s="368" t="s">
        <v>588</v>
      </c>
      <c r="F256" s="74"/>
      <c r="G256" s="74"/>
      <c r="H256" s="74"/>
      <c r="I256" s="74"/>
      <c r="J256" s="74"/>
      <c r="K256" s="74"/>
      <c r="L256" s="74"/>
      <c r="M256" s="74"/>
      <c r="N256" s="74"/>
      <c r="O256" s="74"/>
      <c r="P256" s="74"/>
      <c r="Q256" s="74"/>
      <c r="R256" s="74"/>
      <c r="S256" s="74"/>
      <c r="T256" s="74"/>
      <c r="U256" s="74"/>
      <c r="V256" s="74"/>
      <c r="W256" s="74"/>
      <c r="X256" s="74"/>
      <c r="Y256" s="74"/>
      <c r="Z256" s="74"/>
    </row>
    <row r="257" ht="30.0" customHeight="1">
      <c r="A257" s="74"/>
      <c r="B257" s="366" t="s">
        <v>205</v>
      </c>
      <c r="C257" s="368" t="s">
        <v>589</v>
      </c>
      <c r="F257" s="74"/>
      <c r="G257" s="74"/>
      <c r="H257" s="74"/>
      <c r="I257" s="74"/>
      <c r="J257" s="74"/>
      <c r="K257" s="74"/>
      <c r="L257" s="74"/>
      <c r="M257" s="74"/>
      <c r="N257" s="74"/>
      <c r="O257" s="74"/>
      <c r="P257" s="74"/>
      <c r="Q257" s="74"/>
      <c r="R257" s="74"/>
      <c r="S257" s="74"/>
      <c r="T257" s="74"/>
      <c r="U257" s="74"/>
      <c r="V257" s="74"/>
      <c r="W257" s="74"/>
      <c r="X257" s="74"/>
      <c r="Y257" s="74"/>
      <c r="Z257" s="74"/>
    </row>
    <row r="258" ht="30.0" customHeight="1">
      <c r="A258" s="74"/>
      <c r="B258" s="366" t="s">
        <v>207</v>
      </c>
      <c r="C258" s="368" t="s">
        <v>590</v>
      </c>
      <c r="F258" s="74"/>
      <c r="G258" s="74"/>
      <c r="H258" s="74"/>
      <c r="I258" s="74"/>
      <c r="J258" s="74"/>
      <c r="K258" s="74"/>
      <c r="L258" s="74"/>
      <c r="M258" s="74"/>
      <c r="N258" s="74"/>
      <c r="O258" s="74"/>
      <c r="P258" s="74"/>
      <c r="Q258" s="74"/>
      <c r="R258" s="74"/>
      <c r="S258" s="74"/>
      <c r="T258" s="74"/>
      <c r="U258" s="74"/>
      <c r="V258" s="74"/>
      <c r="W258" s="74"/>
      <c r="X258" s="74"/>
      <c r="Y258" s="74"/>
      <c r="Z258" s="74"/>
    </row>
    <row r="259" ht="30.0" customHeight="1">
      <c r="A259" s="74"/>
      <c r="B259" s="366" t="s">
        <v>209</v>
      </c>
      <c r="C259" s="368" t="s">
        <v>591</v>
      </c>
      <c r="F259" s="74"/>
      <c r="G259" s="74"/>
      <c r="H259" s="74"/>
      <c r="I259" s="74"/>
      <c r="J259" s="74"/>
      <c r="K259" s="74"/>
      <c r="L259" s="74"/>
      <c r="M259" s="74"/>
      <c r="N259" s="74"/>
      <c r="O259" s="74"/>
      <c r="P259" s="74"/>
      <c r="Q259" s="74"/>
      <c r="R259" s="74"/>
      <c r="S259" s="74"/>
      <c r="T259" s="74"/>
      <c r="U259" s="74"/>
      <c r="V259" s="74"/>
      <c r="W259" s="74"/>
      <c r="X259" s="74"/>
      <c r="Y259" s="74"/>
      <c r="Z259" s="74"/>
    </row>
    <row r="260" ht="30.0" customHeight="1">
      <c r="A260" s="74"/>
      <c r="B260" s="366" t="s">
        <v>211</v>
      </c>
      <c r="C260" s="368" t="s">
        <v>592</v>
      </c>
      <c r="F260" s="74"/>
      <c r="G260" s="74"/>
      <c r="H260" s="74"/>
      <c r="I260" s="74"/>
      <c r="J260" s="74"/>
      <c r="K260" s="74"/>
      <c r="L260" s="74"/>
      <c r="M260" s="74"/>
      <c r="N260" s="74"/>
      <c r="O260" s="74"/>
      <c r="P260" s="74"/>
      <c r="Q260" s="74"/>
      <c r="R260" s="74"/>
      <c r="S260" s="74"/>
      <c r="T260" s="74"/>
      <c r="U260" s="74"/>
      <c r="V260" s="74"/>
      <c r="W260" s="74"/>
      <c r="X260" s="74"/>
      <c r="Y260" s="74"/>
      <c r="Z260" s="74"/>
    </row>
    <row r="261" ht="30.0" customHeight="1">
      <c r="A261" s="74"/>
      <c r="B261" s="366" t="s">
        <v>213</v>
      </c>
      <c r="C261" s="368" t="s">
        <v>593</v>
      </c>
      <c r="F261" s="74"/>
      <c r="G261" s="74"/>
      <c r="H261" s="74"/>
      <c r="I261" s="74"/>
      <c r="J261" s="74"/>
      <c r="K261" s="74"/>
      <c r="L261" s="74"/>
      <c r="M261" s="74"/>
      <c r="N261" s="74"/>
      <c r="O261" s="74"/>
      <c r="P261" s="74"/>
      <c r="Q261" s="74"/>
      <c r="R261" s="74"/>
      <c r="S261" s="74"/>
      <c r="T261" s="74"/>
      <c r="U261" s="74"/>
      <c r="V261" s="74"/>
      <c r="W261" s="74"/>
      <c r="X261" s="74"/>
      <c r="Y261" s="74"/>
      <c r="Z261" s="74"/>
    </row>
    <row r="262" ht="30.0" customHeight="1">
      <c r="A262" s="74"/>
      <c r="B262" s="366" t="s">
        <v>215</v>
      </c>
      <c r="C262" s="368" t="s">
        <v>594</v>
      </c>
      <c r="F262" s="74"/>
      <c r="G262" s="74"/>
      <c r="H262" s="74"/>
      <c r="I262" s="74"/>
      <c r="J262" s="74"/>
      <c r="K262" s="74"/>
      <c r="L262" s="74"/>
      <c r="M262" s="74"/>
      <c r="N262" s="74"/>
      <c r="O262" s="74"/>
      <c r="P262" s="74"/>
      <c r="Q262" s="74"/>
      <c r="R262" s="74"/>
      <c r="S262" s="74"/>
      <c r="T262" s="74"/>
      <c r="U262" s="74"/>
      <c r="V262" s="74"/>
      <c r="W262" s="74"/>
      <c r="X262" s="74"/>
      <c r="Y262" s="74"/>
      <c r="Z262" s="74"/>
    </row>
    <row r="263" ht="30.0" customHeight="1">
      <c r="A263" s="74"/>
      <c r="B263" s="366" t="s">
        <v>217</v>
      </c>
      <c r="C263" s="368" t="s">
        <v>595</v>
      </c>
      <c r="F263" s="74"/>
      <c r="G263" s="74"/>
      <c r="H263" s="74"/>
      <c r="I263" s="74"/>
      <c r="J263" s="74"/>
      <c r="K263" s="74"/>
      <c r="L263" s="74"/>
      <c r="M263" s="74"/>
      <c r="N263" s="74"/>
      <c r="O263" s="74"/>
      <c r="P263" s="74"/>
      <c r="Q263" s="74"/>
      <c r="R263" s="74"/>
      <c r="S263" s="74"/>
      <c r="T263" s="74"/>
      <c r="U263" s="74"/>
      <c r="V263" s="74"/>
      <c r="W263" s="74"/>
      <c r="X263" s="74"/>
      <c r="Y263" s="74"/>
      <c r="Z263" s="74"/>
    </row>
    <row r="264" ht="30.0" customHeight="1">
      <c r="A264" s="74"/>
      <c r="B264" s="366" t="s">
        <v>219</v>
      </c>
      <c r="C264" s="368" t="s">
        <v>596</v>
      </c>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137" t="s">
        <v>597</v>
      </c>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row r="1001" ht="14.25" customHeight="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row>
    <row r="1002" ht="14.25" customHeight="1">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c r="Y1002" s="74"/>
      <c r="Z1002" s="74"/>
    </row>
    <row r="1003" ht="14.25" customHeight="1">
      <c r="A1003" s="74"/>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c r="Y1003" s="74"/>
      <c r="Z1003" s="74"/>
    </row>
    <row r="1004" ht="14.25" customHeight="1">
      <c r="A1004" s="74"/>
      <c r="B1004" s="74"/>
      <c r="C1004" s="74"/>
      <c r="D1004" s="74"/>
      <c r="E1004" s="74"/>
      <c r="F1004" s="74"/>
      <c r="G1004" s="74"/>
      <c r="H1004" s="74"/>
      <c r="I1004" s="74"/>
      <c r="J1004" s="74"/>
      <c r="K1004" s="74"/>
      <c r="L1004" s="74"/>
      <c r="M1004" s="74"/>
      <c r="N1004" s="74"/>
      <c r="O1004" s="74"/>
      <c r="P1004" s="74"/>
      <c r="Q1004" s="74"/>
      <c r="R1004" s="74"/>
      <c r="S1004" s="74"/>
      <c r="T1004" s="74"/>
      <c r="U1004" s="74"/>
      <c r="V1004" s="74"/>
      <c r="W1004" s="74"/>
      <c r="X1004" s="74"/>
      <c r="Y1004" s="74"/>
      <c r="Z1004" s="74"/>
    </row>
    <row r="1005" ht="14.25" customHeight="1">
      <c r="A1005" s="74"/>
      <c r="B1005" s="74"/>
      <c r="C1005" s="74"/>
      <c r="D1005" s="74"/>
      <c r="E1005" s="74"/>
      <c r="F1005" s="74"/>
      <c r="G1005" s="74"/>
      <c r="H1005" s="74"/>
      <c r="I1005" s="74"/>
      <c r="J1005" s="74"/>
      <c r="K1005" s="74"/>
      <c r="L1005" s="74"/>
      <c r="M1005" s="74"/>
      <c r="N1005" s="74"/>
      <c r="O1005" s="74"/>
      <c r="P1005" s="74"/>
      <c r="Q1005" s="74"/>
      <c r="R1005" s="74"/>
      <c r="S1005" s="74"/>
      <c r="T1005" s="74"/>
      <c r="U1005" s="74"/>
      <c r="V1005" s="74"/>
      <c r="W1005" s="74"/>
      <c r="X1005" s="74"/>
      <c r="Y1005" s="74"/>
      <c r="Z1005" s="74"/>
    </row>
    <row r="1006" ht="14.25" customHeight="1">
      <c r="A1006" s="74"/>
      <c r="B1006" s="74"/>
      <c r="C1006" s="74"/>
      <c r="D1006" s="74"/>
      <c r="E1006" s="74"/>
      <c r="F1006" s="74"/>
      <c r="G1006" s="74"/>
      <c r="H1006" s="74"/>
      <c r="I1006" s="74"/>
      <c r="J1006" s="74"/>
      <c r="K1006" s="74"/>
      <c r="L1006" s="74"/>
      <c r="M1006" s="74"/>
      <c r="N1006" s="74"/>
      <c r="O1006" s="74"/>
      <c r="P1006" s="74"/>
      <c r="Q1006" s="74"/>
      <c r="R1006" s="74"/>
      <c r="S1006" s="74"/>
      <c r="T1006" s="74"/>
      <c r="U1006" s="74"/>
      <c r="V1006" s="74"/>
      <c r="W1006" s="74"/>
      <c r="X1006" s="74"/>
      <c r="Y1006" s="74"/>
      <c r="Z1006" s="74"/>
    </row>
    <row r="1007" ht="14.25" customHeight="1">
      <c r="A1007" s="74"/>
      <c r="B1007" s="74"/>
      <c r="C1007" s="74"/>
      <c r="D1007" s="74"/>
      <c r="E1007" s="74"/>
      <c r="F1007" s="74"/>
      <c r="G1007" s="74"/>
      <c r="H1007" s="74"/>
      <c r="I1007" s="74"/>
      <c r="J1007" s="74"/>
      <c r="K1007" s="74"/>
      <c r="L1007" s="74"/>
      <c r="M1007" s="74"/>
      <c r="N1007" s="74"/>
      <c r="O1007" s="74"/>
      <c r="P1007" s="74"/>
      <c r="Q1007" s="74"/>
      <c r="R1007" s="74"/>
      <c r="S1007" s="74"/>
      <c r="T1007" s="74"/>
      <c r="U1007" s="74"/>
      <c r="V1007" s="74"/>
      <c r="W1007" s="74"/>
      <c r="X1007" s="74"/>
      <c r="Y1007" s="74"/>
      <c r="Z1007" s="74"/>
    </row>
    <row r="1008" ht="14.25" customHeight="1">
      <c r="A1008" s="74"/>
      <c r="B1008" s="74"/>
      <c r="C1008" s="74"/>
      <c r="D1008" s="74"/>
      <c r="E1008" s="74"/>
      <c r="F1008" s="74"/>
      <c r="G1008" s="74"/>
      <c r="H1008" s="74"/>
      <c r="I1008" s="74"/>
      <c r="J1008" s="74"/>
      <c r="K1008" s="74"/>
      <c r="L1008" s="74"/>
      <c r="M1008" s="74"/>
      <c r="N1008" s="74"/>
      <c r="O1008" s="74"/>
      <c r="P1008" s="74"/>
      <c r="Q1008" s="74"/>
      <c r="R1008" s="74"/>
      <c r="S1008" s="74"/>
      <c r="T1008" s="74"/>
      <c r="U1008" s="74"/>
      <c r="V1008" s="74"/>
      <c r="W1008" s="74"/>
      <c r="X1008" s="74"/>
      <c r="Y1008" s="74"/>
      <c r="Z1008" s="74"/>
    </row>
    <row r="1009" ht="14.25" customHeight="1">
      <c r="A1009" s="74"/>
      <c r="B1009" s="74"/>
      <c r="C1009" s="74"/>
      <c r="D1009" s="74"/>
      <c r="E1009" s="74"/>
      <c r="F1009" s="74"/>
      <c r="G1009" s="74"/>
      <c r="H1009" s="74"/>
      <c r="I1009" s="74"/>
      <c r="J1009" s="74"/>
      <c r="K1009" s="74"/>
      <c r="L1009" s="74"/>
      <c r="M1009" s="74"/>
      <c r="N1009" s="74"/>
      <c r="O1009" s="74"/>
      <c r="P1009" s="74"/>
      <c r="Q1009" s="74"/>
      <c r="R1009" s="74"/>
      <c r="S1009" s="74"/>
      <c r="T1009" s="74"/>
      <c r="U1009" s="74"/>
      <c r="V1009" s="74"/>
      <c r="W1009" s="74"/>
      <c r="X1009" s="74"/>
      <c r="Y1009" s="74"/>
      <c r="Z1009" s="74"/>
    </row>
    <row r="1010" ht="14.25" customHeight="1">
      <c r="A1010" s="74"/>
      <c r="B1010" s="74"/>
      <c r="C1010" s="74"/>
      <c r="D1010" s="74"/>
      <c r="E1010" s="74"/>
      <c r="F1010" s="74"/>
      <c r="G1010" s="74"/>
      <c r="H1010" s="74"/>
      <c r="I1010" s="74"/>
      <c r="J1010" s="74"/>
      <c r="K1010" s="74"/>
      <c r="L1010" s="74"/>
      <c r="M1010" s="74"/>
      <c r="N1010" s="74"/>
      <c r="O1010" s="74"/>
      <c r="P1010" s="74"/>
      <c r="Q1010" s="74"/>
      <c r="R1010" s="74"/>
      <c r="S1010" s="74"/>
      <c r="T1010" s="74"/>
      <c r="U1010" s="74"/>
      <c r="V1010" s="74"/>
      <c r="W1010" s="74"/>
      <c r="X1010" s="74"/>
      <c r="Y1010" s="74"/>
      <c r="Z1010" s="74"/>
    </row>
  </sheetData>
  <mergeCells count="68">
    <mergeCell ref="C245:E245"/>
    <mergeCell ref="C246:E246"/>
    <mergeCell ref="C247:E247"/>
    <mergeCell ref="C248:E248"/>
    <mergeCell ref="C249:E249"/>
    <mergeCell ref="C250:E250"/>
    <mergeCell ref="C251:E251"/>
    <mergeCell ref="C259:E259"/>
    <mergeCell ref="C260:E260"/>
    <mergeCell ref="C261:E261"/>
    <mergeCell ref="C262:E262"/>
    <mergeCell ref="C263:E263"/>
    <mergeCell ref="C264:E264"/>
    <mergeCell ref="C252:E252"/>
    <mergeCell ref="C253:E253"/>
    <mergeCell ref="C254:E254"/>
    <mergeCell ref="C255:E255"/>
    <mergeCell ref="C256:E256"/>
    <mergeCell ref="C257:E257"/>
    <mergeCell ref="C258:E258"/>
    <mergeCell ref="B3:O3"/>
    <mergeCell ref="B4:O4"/>
    <mergeCell ref="B6:C6"/>
    <mergeCell ref="E6:O7"/>
    <mergeCell ref="B7:C7"/>
    <mergeCell ref="B10:O14"/>
    <mergeCell ref="B19:O23"/>
    <mergeCell ref="C102:E102"/>
    <mergeCell ref="K131:L131"/>
    <mergeCell ref="F160:G160"/>
    <mergeCell ref="M160:N160"/>
    <mergeCell ref="F161:G161"/>
    <mergeCell ref="M161:N161"/>
    <mergeCell ref="M162:N162"/>
    <mergeCell ref="F162:G162"/>
    <mergeCell ref="F163:G163"/>
    <mergeCell ref="F164:G164"/>
    <mergeCell ref="F165:G165"/>
    <mergeCell ref="F166:G166"/>
    <mergeCell ref="F167:G167"/>
    <mergeCell ref="F168:G168"/>
    <mergeCell ref="M191:N191"/>
    <mergeCell ref="M192:N192"/>
    <mergeCell ref="M196:N196"/>
    <mergeCell ref="M216:N216"/>
    <mergeCell ref="M217:N217"/>
    <mergeCell ref="M219:N219"/>
    <mergeCell ref="M163:N163"/>
    <mergeCell ref="M164:N164"/>
    <mergeCell ref="M165:N165"/>
    <mergeCell ref="M166:N166"/>
    <mergeCell ref="M167:N167"/>
    <mergeCell ref="M172:N172"/>
    <mergeCell ref="M175:N175"/>
    <mergeCell ref="F169:G169"/>
    <mergeCell ref="F173:G173"/>
    <mergeCell ref="F212:G212"/>
    <mergeCell ref="F217:G217"/>
    <mergeCell ref="F221:G221"/>
    <mergeCell ref="F222:G222"/>
    <mergeCell ref="F224:G224"/>
    <mergeCell ref="C238:E238"/>
    <mergeCell ref="C239:E239"/>
    <mergeCell ref="C240:E240"/>
    <mergeCell ref="C241:E241"/>
    <mergeCell ref="C242:E242"/>
    <mergeCell ref="C243:E243"/>
    <mergeCell ref="C244:E244"/>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598</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79" t="s">
        <v>85</v>
      </c>
      <c r="C6" s="80"/>
      <c r="D6" s="81" t="s">
        <v>599</v>
      </c>
      <c r="E6" s="82"/>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t="s">
        <v>88</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97" t="s">
        <v>600</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136.5"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370" t="s">
        <v>601</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336.0"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74"/>
      <c r="L36" s="113"/>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74"/>
      <c r="G54" s="74" t="s">
        <v>602</v>
      </c>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110" t="s">
        <v>98</v>
      </c>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111"/>
      <c r="D61" s="111"/>
      <c r="E61" s="112"/>
      <c r="F61" s="91"/>
      <c r="G61" s="113"/>
      <c r="H61" s="74"/>
      <c r="I61" s="74"/>
      <c r="J61" s="74"/>
      <c r="K61" s="74"/>
      <c r="L61" s="74"/>
      <c r="M61" s="74"/>
      <c r="N61" s="74"/>
      <c r="O61" s="109"/>
      <c r="P61" s="74"/>
      <c r="Q61" s="74"/>
      <c r="R61" s="74"/>
      <c r="S61" s="74"/>
      <c r="T61" s="74"/>
      <c r="U61" s="74"/>
      <c r="V61" s="74"/>
      <c r="W61" s="74"/>
      <c r="X61" s="74"/>
      <c r="Y61" s="74"/>
      <c r="Z61" s="74"/>
    </row>
    <row r="62" ht="14.25" customHeight="1">
      <c r="A62" s="74"/>
      <c r="B62" s="114" t="s">
        <v>99</v>
      </c>
      <c r="C62" s="203"/>
      <c r="D62" s="80"/>
      <c r="E62" s="74"/>
      <c r="F62" s="118" t="s">
        <v>100</v>
      </c>
      <c r="G62" s="138"/>
      <c r="H62" s="80"/>
      <c r="I62" s="74"/>
      <c r="J62" s="118" t="s">
        <v>101</v>
      </c>
      <c r="K62" s="118"/>
      <c r="L62" s="89"/>
      <c r="M62" s="74"/>
      <c r="N62" s="74"/>
      <c r="O62" s="105"/>
      <c r="P62" s="74"/>
      <c r="Q62" s="74"/>
      <c r="R62" s="74"/>
      <c r="S62" s="74"/>
      <c r="T62" s="74"/>
      <c r="U62" s="74"/>
      <c r="V62" s="74"/>
      <c r="W62" s="74"/>
      <c r="X62" s="74"/>
      <c r="Y62" s="74"/>
      <c r="Z62" s="74"/>
    </row>
    <row r="63" ht="14.25" customHeight="1">
      <c r="A63" s="74"/>
      <c r="B63" s="121" t="s">
        <v>102</v>
      </c>
      <c r="C63" s="121" t="s">
        <v>103</v>
      </c>
      <c r="D63" s="121" t="s">
        <v>603</v>
      </c>
      <c r="E63" s="74"/>
      <c r="F63" s="121" t="s">
        <v>102</v>
      </c>
      <c r="G63" s="121" t="s">
        <v>103</v>
      </c>
      <c r="H63" s="121" t="s">
        <v>603</v>
      </c>
      <c r="I63" s="74"/>
      <c r="J63" s="118" t="s">
        <v>105</v>
      </c>
      <c r="K63" s="121" t="s">
        <v>603</v>
      </c>
      <c r="L63" s="74"/>
      <c r="M63" s="74"/>
      <c r="N63" s="74"/>
      <c r="O63" s="105"/>
      <c r="P63" s="74"/>
      <c r="Q63" s="74"/>
      <c r="R63" s="74"/>
      <c r="S63" s="74"/>
      <c r="T63" s="74"/>
      <c r="U63" s="74"/>
      <c r="V63" s="74"/>
      <c r="W63" s="74"/>
      <c r="X63" s="74"/>
      <c r="Y63" s="74"/>
      <c r="Z63" s="74"/>
    </row>
    <row r="64" ht="14.25" customHeight="1">
      <c r="A64" s="74"/>
      <c r="B64" s="123" t="s">
        <v>604</v>
      </c>
      <c r="C64" s="124" t="s">
        <v>137</v>
      </c>
      <c r="D64" s="124">
        <v>3300.0</v>
      </c>
      <c r="E64" s="74"/>
      <c r="F64" s="123" t="s">
        <v>605</v>
      </c>
      <c r="G64" s="124" t="s">
        <v>606</v>
      </c>
      <c r="H64" s="124" t="s">
        <v>607</v>
      </c>
      <c r="I64" s="74"/>
      <c r="J64" s="110" t="s">
        <v>110</v>
      </c>
      <c r="K64" s="125">
        <f>SUM(D64:D67)</f>
        <v>16820</v>
      </c>
      <c r="L64" s="74"/>
      <c r="M64" s="74"/>
      <c r="N64" s="74"/>
      <c r="O64" s="105"/>
      <c r="P64" s="74"/>
      <c r="Q64" s="74"/>
      <c r="R64" s="74"/>
      <c r="S64" s="74"/>
      <c r="T64" s="74"/>
      <c r="U64" s="74"/>
      <c r="V64" s="74"/>
      <c r="W64" s="74"/>
      <c r="X64" s="74"/>
      <c r="Y64" s="74"/>
      <c r="Z64" s="74"/>
    </row>
    <row r="65" ht="14.25" customHeight="1">
      <c r="A65" s="74"/>
      <c r="B65" s="123" t="s">
        <v>258</v>
      </c>
      <c r="C65" s="124" t="s">
        <v>247</v>
      </c>
      <c r="D65" s="124">
        <v>13520.0</v>
      </c>
      <c r="E65" s="74"/>
      <c r="F65" s="123" t="s">
        <v>608</v>
      </c>
      <c r="G65" s="124" t="s">
        <v>609</v>
      </c>
      <c r="H65" s="124" t="s">
        <v>610</v>
      </c>
      <c r="I65" s="74"/>
      <c r="J65" s="110" t="s">
        <v>114</v>
      </c>
      <c r="K65" s="125">
        <f>769+68</f>
        <v>837</v>
      </c>
      <c r="L65" s="74"/>
      <c r="M65" s="74"/>
      <c r="N65" s="74"/>
      <c r="O65" s="105"/>
      <c r="P65" s="74"/>
      <c r="Q65" s="74"/>
      <c r="R65" s="74"/>
      <c r="S65" s="74"/>
      <c r="T65" s="74"/>
      <c r="U65" s="74"/>
      <c r="V65" s="74"/>
      <c r="W65" s="74"/>
      <c r="X65" s="74"/>
      <c r="Y65" s="74"/>
      <c r="Z65" s="74"/>
    </row>
    <row r="66" ht="14.25" customHeight="1">
      <c r="A66" s="74"/>
      <c r="B66" s="371"/>
      <c r="C66" s="132"/>
      <c r="D66" s="132"/>
      <c r="E66" s="74"/>
      <c r="F66" s="123" t="s">
        <v>611</v>
      </c>
      <c r="G66" s="124" t="s">
        <v>137</v>
      </c>
      <c r="H66" s="124">
        <v>1095.0</v>
      </c>
      <c r="I66" s="372"/>
      <c r="J66" s="110" t="s">
        <v>117</v>
      </c>
      <c r="K66" s="125">
        <f>H66+H67+H68</f>
        <v>15983</v>
      </c>
      <c r="L66" s="74"/>
      <c r="M66" s="74"/>
      <c r="N66" s="74"/>
      <c r="O66" s="105"/>
      <c r="P66" s="74"/>
      <c r="Q66" s="74"/>
      <c r="R66" s="74"/>
      <c r="S66" s="74"/>
      <c r="T66" s="74"/>
      <c r="U66" s="74"/>
      <c r="V66" s="74"/>
      <c r="W66" s="74"/>
      <c r="X66" s="74"/>
      <c r="Y66" s="74"/>
      <c r="Z66" s="74"/>
    </row>
    <row r="67" ht="14.25" customHeight="1">
      <c r="A67" s="74"/>
      <c r="B67" s="371"/>
      <c r="C67" s="132"/>
      <c r="D67" s="132"/>
      <c r="E67" s="74"/>
      <c r="F67" s="124" t="s">
        <v>612</v>
      </c>
      <c r="G67" s="127" t="s">
        <v>137</v>
      </c>
      <c r="H67" s="128">
        <v>2205.0</v>
      </c>
      <c r="I67" s="372"/>
      <c r="J67" s="74"/>
      <c r="K67" s="74"/>
      <c r="L67" s="126"/>
      <c r="M67" s="74"/>
      <c r="N67" s="74"/>
      <c r="O67" s="105"/>
      <c r="P67" s="74"/>
      <c r="Q67" s="74"/>
      <c r="R67" s="74"/>
      <c r="S67" s="74"/>
      <c r="T67" s="74"/>
      <c r="U67" s="74"/>
      <c r="V67" s="74"/>
      <c r="W67" s="74"/>
      <c r="X67" s="74"/>
      <c r="Y67" s="74"/>
      <c r="Z67" s="74"/>
    </row>
    <row r="68" ht="14.25" customHeight="1">
      <c r="A68" s="105"/>
      <c r="B68" s="105"/>
      <c r="C68" s="108"/>
      <c r="D68" s="109"/>
      <c r="E68" s="292"/>
      <c r="F68" s="128" t="s">
        <v>258</v>
      </c>
      <c r="G68" s="124" t="s">
        <v>247</v>
      </c>
      <c r="H68" s="373">
        <v>12683.0</v>
      </c>
      <c r="I68" s="293"/>
      <c r="J68" s="110" t="s">
        <v>101</v>
      </c>
      <c r="K68" s="125">
        <f>K64-K65-K66</f>
        <v>0</v>
      </c>
      <c r="L68" s="74"/>
      <c r="M68" s="74"/>
      <c r="N68" s="74"/>
      <c r="O68" s="105"/>
      <c r="P68" s="74"/>
      <c r="Q68" s="74"/>
      <c r="R68" s="74"/>
      <c r="S68" s="74"/>
      <c r="T68" s="74"/>
      <c r="U68" s="74"/>
      <c r="V68" s="74"/>
      <c r="W68" s="74"/>
      <c r="X68" s="74"/>
      <c r="Y68" s="74"/>
      <c r="Z68" s="74"/>
    </row>
    <row r="69" ht="14.25" customHeight="1">
      <c r="A69" s="105"/>
      <c r="B69" s="105"/>
      <c r="C69" s="108"/>
      <c r="D69" s="109"/>
      <c r="E69" s="292"/>
      <c r="F69" s="105"/>
      <c r="G69" s="74"/>
      <c r="H69" s="105"/>
      <c r="I69" s="74"/>
      <c r="J69" s="135" t="s">
        <v>121</v>
      </c>
      <c r="K69" s="124">
        <f>(K68/K64)*100</f>
        <v>0</v>
      </c>
      <c r="L69" s="74"/>
      <c r="M69" s="104"/>
      <c r="N69" s="109"/>
      <c r="O69" s="105"/>
      <c r="P69" s="74"/>
      <c r="Q69" s="74"/>
      <c r="R69" s="74"/>
      <c r="S69" s="74"/>
      <c r="T69" s="74"/>
      <c r="U69" s="74"/>
      <c r="V69" s="74"/>
      <c r="W69" s="74"/>
      <c r="X69" s="74"/>
      <c r="Y69" s="74"/>
      <c r="Z69" s="74"/>
    </row>
    <row r="70" ht="14.25" customHeight="1">
      <c r="A70" s="74"/>
      <c r="B70" s="74"/>
      <c r="C70" s="74"/>
      <c r="D70" s="74"/>
      <c r="E70" s="74"/>
      <c r="F70" s="74"/>
      <c r="G70" s="74"/>
      <c r="H70" s="74"/>
      <c r="I70" s="74"/>
      <c r="J70" s="74"/>
      <c r="K70" s="74"/>
      <c r="L70" s="200"/>
      <c r="M70" s="74"/>
      <c r="N70" s="104"/>
      <c r="O70" s="105"/>
      <c r="P70" s="74"/>
      <c r="Q70" s="74"/>
      <c r="R70" s="74"/>
      <c r="S70" s="74"/>
      <c r="T70" s="74"/>
      <c r="U70" s="74"/>
      <c r="V70" s="74"/>
      <c r="W70" s="74"/>
      <c r="X70" s="74"/>
      <c r="Y70" s="74"/>
      <c r="Z70" s="74"/>
    </row>
    <row r="71" ht="14.25" customHeight="1">
      <c r="A71" s="74"/>
      <c r="B71" s="89"/>
      <c r="C71" s="89"/>
      <c r="D71" s="89"/>
      <c r="E71" s="89"/>
      <c r="F71" s="89"/>
      <c r="G71" s="89"/>
      <c r="H71" s="91"/>
      <c r="I71" s="91"/>
      <c r="J71" s="91"/>
      <c r="K71" s="91"/>
      <c r="L71" s="91"/>
      <c r="M71" s="74"/>
      <c r="N71" s="74"/>
      <c r="O71" s="74"/>
      <c r="P71" s="74"/>
      <c r="Q71" s="74"/>
      <c r="R71" s="74"/>
      <c r="S71" s="74"/>
      <c r="T71" s="74"/>
      <c r="U71" s="74"/>
      <c r="V71" s="74"/>
      <c r="W71" s="74"/>
      <c r="X71" s="74"/>
      <c r="Y71" s="74"/>
      <c r="Z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4.25" customHeight="1">
      <c r="A73" s="74"/>
      <c r="B73" s="110" t="s">
        <v>122</v>
      </c>
      <c r="C73" s="117"/>
      <c r="D73" s="117"/>
      <c r="E73" s="117"/>
      <c r="F73" s="297" t="s">
        <v>613</v>
      </c>
      <c r="G73" s="297">
        <v>837.0</v>
      </c>
      <c r="H73" s="117"/>
      <c r="I73" s="117"/>
      <c r="J73" s="74"/>
      <c r="K73" s="74"/>
      <c r="L73" s="74"/>
      <c r="M73" s="74"/>
      <c r="N73" s="74"/>
      <c r="O73" s="74"/>
      <c r="P73" s="74"/>
      <c r="Q73" s="74"/>
      <c r="R73" s="74"/>
      <c r="S73" s="74"/>
      <c r="T73" s="74"/>
      <c r="U73" s="74"/>
      <c r="V73" s="74"/>
      <c r="W73" s="74"/>
      <c r="X73" s="74"/>
      <c r="Y73" s="74"/>
      <c r="Z73" s="74"/>
    </row>
    <row r="74" ht="14.25" customHeight="1">
      <c r="A74" s="74"/>
      <c r="B74" s="117"/>
      <c r="C74" s="117"/>
      <c r="D74" s="117"/>
      <c r="E74" s="117"/>
      <c r="F74" s="117"/>
      <c r="G74" s="117"/>
      <c r="H74" s="117"/>
      <c r="I74" s="117"/>
      <c r="J74" s="74"/>
      <c r="K74" s="89"/>
      <c r="L74" s="74"/>
      <c r="M74" s="74"/>
      <c r="N74" s="74"/>
      <c r="O74" s="74"/>
      <c r="P74" s="74"/>
      <c r="Q74" s="74"/>
      <c r="R74" s="74"/>
      <c r="S74" s="74"/>
      <c r="T74" s="74"/>
      <c r="U74" s="74"/>
      <c r="V74" s="74"/>
      <c r="W74" s="74"/>
      <c r="X74" s="74"/>
      <c r="Y74" s="74"/>
      <c r="Z74" s="74"/>
    </row>
    <row r="75" ht="14.25" customHeight="1">
      <c r="A75" s="74"/>
      <c r="B75" s="118" t="s">
        <v>614</v>
      </c>
      <c r="C75" s="118" t="s">
        <v>615</v>
      </c>
      <c r="D75" s="118" t="s">
        <v>616</v>
      </c>
      <c r="E75" s="89"/>
      <c r="F75" s="89"/>
      <c r="G75" s="89"/>
      <c r="H75" s="89"/>
      <c r="I75" s="374"/>
      <c r="J75" s="129"/>
      <c r="K75" s="89"/>
      <c r="L75" s="136"/>
      <c r="M75" s="74"/>
      <c r="N75" s="74"/>
      <c r="O75" s="74"/>
      <c r="P75" s="74"/>
      <c r="Q75" s="74"/>
      <c r="R75" s="74"/>
      <c r="S75" s="74"/>
      <c r="T75" s="74"/>
      <c r="U75" s="74"/>
      <c r="V75" s="74"/>
      <c r="W75" s="74"/>
      <c r="X75" s="74"/>
      <c r="Y75" s="74"/>
      <c r="Z75" s="74"/>
    </row>
    <row r="76" ht="15.0" customHeight="1">
      <c r="A76" s="74"/>
      <c r="B76" s="145" t="s">
        <v>617</v>
      </c>
      <c r="C76" s="146">
        <v>10.0</v>
      </c>
      <c r="D76" s="146">
        <v>0.0</v>
      </c>
      <c r="E76" s="225"/>
      <c r="F76" s="225"/>
      <c r="G76" s="225"/>
      <c r="H76" s="225"/>
      <c r="I76" s="129"/>
      <c r="J76" s="129"/>
      <c r="K76" s="89"/>
      <c r="L76" s="91"/>
      <c r="M76" s="74"/>
      <c r="N76" s="74"/>
      <c r="O76" s="74"/>
      <c r="P76" s="74"/>
      <c r="Q76" s="74"/>
      <c r="R76" s="74"/>
      <c r="S76" s="74"/>
      <c r="T76" s="74"/>
      <c r="U76" s="74"/>
      <c r="V76" s="74"/>
      <c r="W76" s="74"/>
      <c r="X76" s="74"/>
      <c r="Y76" s="74"/>
      <c r="Z76" s="74"/>
    </row>
    <row r="77" ht="15.0" customHeight="1">
      <c r="A77" s="74"/>
      <c r="B77" s="145" t="s">
        <v>618</v>
      </c>
      <c r="C77" s="146">
        <v>5.0</v>
      </c>
      <c r="D77" s="146">
        <v>33.5</v>
      </c>
      <c r="E77" s="225"/>
      <c r="F77" s="225"/>
      <c r="G77" s="225"/>
      <c r="H77" s="225"/>
      <c r="I77" s="129"/>
      <c r="J77" s="129"/>
      <c r="K77" s="89"/>
      <c r="L77" s="91"/>
      <c r="M77" s="74"/>
      <c r="N77" s="74"/>
      <c r="O77" s="74"/>
      <c r="P77" s="74"/>
      <c r="Q77" s="74"/>
      <c r="R77" s="74"/>
      <c r="S77" s="74"/>
      <c r="T77" s="74"/>
      <c r="U77" s="74"/>
      <c r="V77" s="74"/>
      <c r="W77" s="74"/>
      <c r="X77" s="74"/>
      <c r="Y77" s="74"/>
      <c r="Z77" s="74"/>
    </row>
    <row r="78" ht="15.0" customHeight="1">
      <c r="A78" s="74"/>
      <c r="B78" s="145" t="s">
        <v>619</v>
      </c>
      <c r="C78" s="146">
        <v>5.0</v>
      </c>
      <c r="D78" s="146">
        <v>33.5</v>
      </c>
      <c r="E78" s="225"/>
      <c r="F78" s="225"/>
      <c r="G78" s="225"/>
      <c r="H78" s="225"/>
      <c r="I78" s="129"/>
      <c r="J78" s="129"/>
      <c r="K78" s="89"/>
      <c r="L78" s="91"/>
      <c r="M78" s="74"/>
      <c r="N78" s="74"/>
      <c r="O78" s="74"/>
      <c r="P78" s="74"/>
      <c r="Q78" s="74"/>
      <c r="R78" s="74"/>
      <c r="S78" s="74"/>
      <c r="T78" s="74"/>
      <c r="U78" s="74"/>
      <c r="V78" s="74"/>
      <c r="W78" s="74"/>
      <c r="X78" s="74"/>
      <c r="Y78" s="74"/>
      <c r="Z78" s="74"/>
    </row>
    <row r="79" ht="14.25" customHeight="1">
      <c r="A79" s="74"/>
      <c r="B79" s="145" t="s">
        <v>620</v>
      </c>
      <c r="C79" s="146">
        <v>6.0</v>
      </c>
      <c r="D79" s="146">
        <v>0.0</v>
      </c>
      <c r="E79" s="225"/>
      <c r="F79" s="225"/>
      <c r="G79" s="225"/>
      <c r="H79" s="225"/>
      <c r="I79" s="129"/>
      <c r="J79" s="129"/>
      <c r="K79" s="74"/>
      <c r="L79" s="74"/>
      <c r="M79" s="74"/>
      <c r="N79" s="74"/>
      <c r="O79" s="74"/>
      <c r="P79" s="74"/>
      <c r="Q79" s="74"/>
      <c r="R79" s="74"/>
      <c r="S79" s="74"/>
      <c r="T79" s="74"/>
      <c r="U79" s="74"/>
      <c r="V79" s="74"/>
      <c r="W79" s="74"/>
      <c r="X79" s="74"/>
      <c r="Y79" s="74"/>
      <c r="Z79" s="74"/>
    </row>
    <row r="80" ht="14.25" customHeight="1">
      <c r="A80" s="74"/>
      <c r="B80" s="145" t="s">
        <v>621</v>
      </c>
      <c r="C80" s="146">
        <v>0.0</v>
      </c>
      <c r="D80" s="152">
        <v>27.0</v>
      </c>
      <c r="E80" s="225"/>
      <c r="F80" s="225"/>
      <c r="G80" s="225"/>
      <c r="H80" s="375"/>
      <c r="I80" s="129"/>
      <c r="J80" s="129"/>
      <c r="K80" s="74"/>
      <c r="L80" s="74"/>
      <c r="M80" s="74"/>
      <c r="N80" s="74"/>
      <c r="O80" s="74"/>
      <c r="P80" s="74"/>
      <c r="Q80" s="74"/>
      <c r="R80" s="74"/>
      <c r="S80" s="74"/>
      <c r="T80" s="74"/>
      <c r="U80" s="74"/>
      <c r="V80" s="74"/>
      <c r="W80" s="74"/>
      <c r="X80" s="74"/>
      <c r="Y80" s="74"/>
      <c r="Z80" s="74"/>
    </row>
    <row r="81" ht="14.25" customHeight="1">
      <c r="A81" s="74"/>
      <c r="B81" s="117"/>
      <c r="C81" s="117"/>
      <c r="D81" s="117"/>
      <c r="E81" s="117"/>
      <c r="F81" s="297"/>
      <c r="G81" s="117"/>
      <c r="H81" s="117"/>
      <c r="I81" s="117"/>
      <c r="J81" s="74"/>
      <c r="K81" s="74"/>
      <c r="L81" s="74"/>
      <c r="M81" s="74"/>
      <c r="N81" s="74"/>
      <c r="O81" s="74"/>
      <c r="P81" s="74"/>
      <c r="Q81" s="74"/>
      <c r="R81" s="74"/>
      <c r="S81" s="74"/>
      <c r="T81" s="74"/>
      <c r="U81" s="74"/>
      <c r="V81" s="74"/>
      <c r="W81" s="74"/>
      <c r="X81" s="74"/>
      <c r="Y81" s="74"/>
      <c r="Z81" s="74"/>
    </row>
    <row r="82" ht="14.25" customHeight="1">
      <c r="A82" s="74"/>
      <c r="B82" s="74"/>
      <c r="C82" s="74"/>
      <c r="D82" s="74"/>
      <c r="E82" s="74"/>
      <c r="F82" s="74"/>
      <c r="G82" s="117"/>
      <c r="H82" s="117"/>
      <c r="I82" s="117"/>
      <c r="J82" s="74"/>
      <c r="K82" s="74"/>
      <c r="L82" s="74"/>
      <c r="M82" s="74"/>
      <c r="N82" s="74"/>
      <c r="O82" s="74"/>
      <c r="P82" s="74"/>
      <c r="Q82" s="74"/>
      <c r="R82" s="74"/>
      <c r="S82" s="74"/>
      <c r="T82" s="74"/>
      <c r="U82" s="74"/>
      <c r="V82" s="74"/>
      <c r="W82" s="74"/>
      <c r="X82" s="74"/>
      <c r="Y82" s="74"/>
      <c r="Z82" s="74"/>
    </row>
    <row r="83" ht="14.25" customHeight="1">
      <c r="A83" s="74"/>
      <c r="B83" s="74"/>
      <c r="C83" s="161">
        <f t="shared" ref="C83:D83" si="1">SUM(C76:C80)</f>
        <v>26</v>
      </c>
      <c r="D83" s="161">
        <f t="shared" si="1"/>
        <v>94</v>
      </c>
      <c r="E83" s="74"/>
      <c r="F83" s="74"/>
      <c r="G83" s="117"/>
      <c r="H83" s="117"/>
      <c r="I83" s="117"/>
      <c r="J83" s="74"/>
      <c r="K83" s="74"/>
      <c r="L83" s="74"/>
      <c r="M83" s="74"/>
      <c r="N83" s="74"/>
      <c r="O83" s="74"/>
      <c r="P83" s="74"/>
      <c r="Q83" s="74"/>
      <c r="R83" s="74"/>
      <c r="S83" s="74"/>
      <c r="T83" s="74"/>
      <c r="U83" s="74"/>
      <c r="V83" s="74"/>
      <c r="W83" s="74"/>
      <c r="X83" s="74"/>
      <c r="Y83" s="74"/>
      <c r="Z83" s="74"/>
    </row>
    <row r="84" ht="14.25" customHeight="1">
      <c r="A84" s="74"/>
      <c r="B84" s="74"/>
      <c r="C84" s="74"/>
      <c r="D84" s="74"/>
      <c r="E84" s="74"/>
      <c r="F84" s="74"/>
      <c r="G84" s="117"/>
      <c r="H84" s="117"/>
      <c r="I84" s="117"/>
      <c r="J84" s="74"/>
      <c r="K84" s="74"/>
      <c r="L84" s="74"/>
      <c r="M84" s="74"/>
      <c r="N84" s="74"/>
      <c r="O84" s="74"/>
      <c r="P84" s="74"/>
      <c r="Q84" s="74"/>
      <c r="R84" s="74"/>
      <c r="S84" s="74"/>
      <c r="T84" s="74"/>
      <c r="U84" s="74"/>
      <c r="V84" s="74"/>
      <c r="W84" s="74"/>
      <c r="X84" s="74"/>
      <c r="Y84" s="74"/>
      <c r="Z84" s="74"/>
    </row>
    <row r="85" ht="14.25" customHeight="1">
      <c r="A85" s="74"/>
      <c r="B85" s="226" t="s">
        <v>158</v>
      </c>
      <c r="C85" s="227" t="s">
        <v>159</v>
      </c>
      <c r="D85" s="227">
        <v>837.0</v>
      </c>
      <c r="E85" s="173" t="s">
        <v>156</v>
      </c>
      <c r="F85" s="227">
        <v>0.018182</v>
      </c>
      <c r="G85" s="173" t="s">
        <v>153</v>
      </c>
      <c r="H85" s="229">
        <v>8765.82</v>
      </c>
      <c r="I85" s="174"/>
      <c r="J85" s="74"/>
      <c r="K85" s="74"/>
      <c r="L85" s="74"/>
      <c r="M85" s="74"/>
      <c r="N85" s="74"/>
      <c r="O85" s="74"/>
      <c r="P85" s="74"/>
      <c r="Q85" s="74"/>
      <c r="R85" s="74"/>
      <c r="S85" s="74"/>
      <c r="T85" s="74"/>
      <c r="U85" s="74"/>
      <c r="V85" s="74"/>
      <c r="W85" s="74"/>
      <c r="X85" s="74"/>
      <c r="Y85" s="74"/>
      <c r="Z85" s="74"/>
    </row>
    <row r="86" ht="14.25" customHeight="1">
      <c r="A86" s="74"/>
      <c r="B86" s="230"/>
      <c r="C86" s="230"/>
      <c r="D86" s="230"/>
      <c r="E86" s="174"/>
      <c r="F86" s="174"/>
      <c r="G86" s="174"/>
      <c r="H86" s="174"/>
      <c r="I86" s="174"/>
      <c r="J86" s="74"/>
      <c r="K86" s="74"/>
      <c r="L86" s="74"/>
      <c r="M86" s="74"/>
      <c r="N86" s="74"/>
      <c r="O86" s="74"/>
      <c r="P86" s="74"/>
      <c r="Q86" s="74"/>
      <c r="R86" s="74"/>
      <c r="S86" s="74"/>
      <c r="T86" s="74"/>
      <c r="U86" s="74"/>
      <c r="V86" s="74"/>
      <c r="W86" s="74"/>
      <c r="X86" s="74"/>
      <c r="Y86" s="74"/>
      <c r="Z86" s="74"/>
    </row>
    <row r="87" ht="14.25" customHeight="1">
      <c r="A87" s="74"/>
      <c r="B87" s="118" t="s">
        <v>614</v>
      </c>
      <c r="C87" s="118" t="s">
        <v>615</v>
      </c>
      <c r="D87" s="118" t="s">
        <v>616</v>
      </c>
      <c r="E87" s="174"/>
      <c r="F87" s="174"/>
      <c r="G87" s="174"/>
      <c r="H87" s="174"/>
      <c r="I87" s="174"/>
      <c r="J87" s="74"/>
      <c r="K87" s="74"/>
      <c r="L87" s="74"/>
      <c r="M87" s="74"/>
      <c r="N87" s="74"/>
      <c r="O87" s="74"/>
      <c r="P87" s="74"/>
      <c r="Q87" s="74"/>
      <c r="R87" s="74"/>
      <c r="S87" s="74"/>
      <c r="T87" s="74"/>
      <c r="U87" s="74"/>
      <c r="V87" s="74"/>
      <c r="W87" s="74"/>
      <c r="X87" s="74"/>
      <c r="Y87" s="74"/>
      <c r="Z87" s="74"/>
    </row>
    <row r="88" ht="14.25" customHeight="1">
      <c r="A88" s="74"/>
      <c r="B88" s="231" t="s">
        <v>617</v>
      </c>
      <c r="C88" s="232">
        <f t="shared" ref="C88:D88" si="2">C76*$F$85</f>
        <v>0.18182</v>
      </c>
      <c r="D88" s="232">
        <f t="shared" si="2"/>
        <v>0</v>
      </c>
      <c r="E88" s="174"/>
      <c r="F88" s="174"/>
      <c r="G88" s="174"/>
      <c r="H88" s="174"/>
      <c r="I88" s="174"/>
      <c r="J88" s="74"/>
      <c r="K88" s="74"/>
      <c r="L88" s="74"/>
      <c r="M88" s="74"/>
      <c r="N88" s="74"/>
      <c r="O88" s="74"/>
      <c r="P88" s="74"/>
      <c r="Q88" s="74"/>
      <c r="R88" s="74"/>
      <c r="S88" s="74"/>
      <c r="T88" s="74"/>
      <c r="U88" s="74"/>
      <c r="V88" s="74"/>
      <c r="W88" s="74"/>
      <c r="X88" s="74"/>
      <c r="Y88" s="74"/>
      <c r="Z88" s="74"/>
    </row>
    <row r="89" ht="14.25" customHeight="1">
      <c r="A89" s="74"/>
      <c r="B89" s="231" t="s">
        <v>618</v>
      </c>
      <c r="C89" s="232">
        <f t="shared" ref="C89:D89" si="3">C77*$F$85</f>
        <v>0.09091</v>
      </c>
      <c r="D89" s="232">
        <f t="shared" si="3"/>
        <v>0.609097</v>
      </c>
      <c r="E89" s="174"/>
      <c r="F89" s="174"/>
      <c r="G89" s="174"/>
      <c r="H89" s="174"/>
      <c r="I89" s="174"/>
      <c r="J89" s="74"/>
      <c r="K89" s="74"/>
      <c r="L89" s="74"/>
      <c r="M89" s="74"/>
      <c r="N89" s="74"/>
      <c r="O89" s="74"/>
      <c r="P89" s="74"/>
      <c r="Q89" s="74"/>
      <c r="R89" s="74"/>
      <c r="S89" s="74"/>
      <c r="T89" s="74"/>
      <c r="U89" s="74"/>
      <c r="V89" s="74"/>
      <c r="W89" s="74"/>
      <c r="X89" s="74"/>
      <c r="Y89" s="74"/>
      <c r="Z89" s="74"/>
    </row>
    <row r="90" ht="14.25" customHeight="1">
      <c r="A90" s="74"/>
      <c r="B90" s="231" t="s">
        <v>619</v>
      </c>
      <c r="C90" s="232">
        <f t="shared" ref="C90:D90" si="4">C78*$F$85</f>
        <v>0.09091</v>
      </c>
      <c r="D90" s="232">
        <f t="shared" si="4"/>
        <v>0.609097</v>
      </c>
      <c r="E90" s="174"/>
      <c r="F90" s="174"/>
      <c r="G90" s="174"/>
      <c r="H90" s="174"/>
      <c r="I90" s="174"/>
      <c r="J90" s="74"/>
      <c r="K90" s="74"/>
      <c r="L90" s="74"/>
      <c r="M90" s="74"/>
      <c r="N90" s="74"/>
      <c r="O90" s="74"/>
      <c r="P90" s="74"/>
      <c r="Q90" s="74"/>
      <c r="R90" s="74"/>
      <c r="S90" s="74"/>
      <c r="T90" s="74"/>
      <c r="U90" s="74"/>
      <c r="V90" s="74"/>
      <c r="W90" s="74"/>
      <c r="X90" s="74"/>
      <c r="Y90" s="74"/>
      <c r="Z90" s="74"/>
    </row>
    <row r="91" ht="14.25" customHeight="1">
      <c r="A91" s="74"/>
      <c r="B91" s="231" t="s">
        <v>620</v>
      </c>
      <c r="C91" s="232">
        <f t="shared" ref="C91:D91" si="5">C79*$F$85</f>
        <v>0.109092</v>
      </c>
      <c r="D91" s="232">
        <f t="shared" si="5"/>
        <v>0</v>
      </c>
      <c r="E91" s="174"/>
      <c r="F91" s="174"/>
      <c r="G91" s="174"/>
      <c r="H91" s="174"/>
      <c r="I91" s="174"/>
      <c r="J91" s="74"/>
      <c r="K91" s="74"/>
      <c r="L91" s="74"/>
      <c r="M91" s="74"/>
      <c r="N91" s="74"/>
      <c r="O91" s="74"/>
      <c r="P91" s="74"/>
      <c r="Q91" s="74"/>
      <c r="R91" s="74"/>
      <c r="S91" s="74"/>
      <c r="T91" s="74"/>
      <c r="U91" s="74"/>
      <c r="V91" s="74"/>
      <c r="W91" s="74"/>
      <c r="X91" s="74"/>
      <c r="Y91" s="74"/>
      <c r="Z91" s="74"/>
    </row>
    <row r="92" ht="14.25" customHeight="1">
      <c r="A92" s="74"/>
      <c r="B92" s="231" t="s">
        <v>621</v>
      </c>
      <c r="C92" s="232">
        <f t="shared" ref="C92:D92" si="6">C80*$F$85</f>
        <v>0</v>
      </c>
      <c r="D92" s="232">
        <f t="shared" si="6"/>
        <v>0.490914</v>
      </c>
      <c r="E92" s="174"/>
      <c r="F92" s="174"/>
      <c r="G92" s="174"/>
      <c r="H92" s="174"/>
      <c r="I92" s="174"/>
      <c r="J92" s="74"/>
      <c r="K92" s="74"/>
      <c r="L92" s="74"/>
      <c r="M92" s="74"/>
      <c r="N92" s="74"/>
      <c r="O92" s="74"/>
      <c r="P92" s="74"/>
      <c r="Q92" s="74"/>
      <c r="R92" s="74"/>
      <c r="S92" s="74"/>
      <c r="T92" s="74"/>
      <c r="U92" s="74"/>
      <c r="V92" s="74"/>
      <c r="W92" s="74"/>
      <c r="X92" s="74"/>
      <c r="Y92" s="74"/>
      <c r="Z92" s="74"/>
    </row>
    <row r="93" ht="14.25" customHeight="1">
      <c r="A93" s="74"/>
      <c r="B93" s="230"/>
      <c r="C93" s="230"/>
      <c r="D93" s="230"/>
      <c r="E93" s="174"/>
      <c r="F93" s="174"/>
      <c r="G93" s="174"/>
      <c r="H93" s="174"/>
      <c r="I93" s="174"/>
      <c r="J93" s="74"/>
      <c r="K93" s="74"/>
      <c r="L93" s="74"/>
      <c r="M93" s="74"/>
      <c r="N93" s="74"/>
      <c r="O93" s="74"/>
      <c r="P93" s="74"/>
      <c r="Q93" s="74"/>
      <c r="R93" s="74"/>
      <c r="S93" s="74"/>
      <c r="T93" s="74"/>
      <c r="U93" s="74"/>
      <c r="V93" s="74"/>
      <c r="W93" s="74"/>
      <c r="X93" s="74"/>
      <c r="Y93" s="74"/>
      <c r="Z93" s="74"/>
    </row>
    <row r="94" ht="14.25" customHeight="1">
      <c r="A94" s="74"/>
      <c r="B94" s="174"/>
      <c r="C94" s="174"/>
      <c r="D94" s="174"/>
      <c r="E94" s="174"/>
      <c r="F94" s="174"/>
      <c r="G94" s="174"/>
      <c r="H94" s="174"/>
      <c r="I94" s="174"/>
      <c r="J94" s="74"/>
      <c r="K94" s="74"/>
      <c r="L94" s="74"/>
      <c r="M94" s="74"/>
      <c r="N94" s="74"/>
      <c r="O94" s="74"/>
      <c r="P94" s="74"/>
      <c r="Q94" s="74"/>
      <c r="R94" s="74"/>
      <c r="S94" s="74"/>
      <c r="T94" s="74"/>
      <c r="U94" s="74"/>
      <c r="V94" s="74"/>
      <c r="W94" s="74"/>
      <c r="X94" s="74"/>
      <c r="Y94" s="74"/>
      <c r="Z94" s="74"/>
    </row>
    <row r="95" ht="14.25" customHeight="1">
      <c r="A95" s="74"/>
      <c r="B95" s="173" t="s">
        <v>622</v>
      </c>
      <c r="C95" s="236">
        <f t="shared" ref="C95:D95" si="7">SUM(C88:C92)</f>
        <v>0.472732</v>
      </c>
      <c r="D95" s="236">
        <f t="shared" si="7"/>
        <v>1.709108</v>
      </c>
      <c r="E95" s="174"/>
      <c r="F95" s="174"/>
      <c r="G95" s="174"/>
      <c r="H95" s="174"/>
      <c r="I95" s="174"/>
      <c r="J95" s="74"/>
      <c r="K95" s="74"/>
      <c r="L95" s="74"/>
      <c r="M95" s="74"/>
      <c r="N95" s="74"/>
      <c r="O95" s="74"/>
      <c r="P95" s="74"/>
      <c r="Q95" s="74"/>
      <c r="R95" s="74"/>
      <c r="S95" s="74"/>
      <c r="T95" s="74"/>
      <c r="U95" s="74"/>
      <c r="V95" s="74"/>
      <c r="W95" s="74"/>
      <c r="X95" s="74"/>
      <c r="Y95" s="74"/>
      <c r="Z95" s="74"/>
    </row>
    <row r="96" ht="14.25" customHeight="1">
      <c r="A96" s="74"/>
      <c r="B96" s="173" t="s">
        <v>9</v>
      </c>
      <c r="C96" s="185">
        <f>C95*H85</f>
        <v>4143.88362</v>
      </c>
      <c r="D96" s="185">
        <f>D95*H85</f>
        <v>14981.73309</v>
      </c>
      <c r="E96" s="174">
        <f>SUM(C96:D96)</f>
        <v>19125.61671</v>
      </c>
      <c r="F96" s="174"/>
      <c r="G96" s="174"/>
      <c r="H96" s="174"/>
      <c r="I96" s="174"/>
      <c r="J96" s="74"/>
      <c r="K96" s="74"/>
      <c r="L96" s="74"/>
      <c r="M96" s="74"/>
      <c r="N96" s="74"/>
      <c r="O96" s="74"/>
      <c r="P96" s="74"/>
      <c r="Q96" s="74"/>
      <c r="R96" s="74"/>
      <c r="S96" s="74"/>
      <c r="T96" s="74"/>
      <c r="U96" s="74"/>
      <c r="V96" s="74"/>
      <c r="W96" s="74"/>
      <c r="X96" s="74"/>
      <c r="Y96" s="74"/>
      <c r="Z96" s="74"/>
    </row>
    <row r="97" ht="14.2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ht="14.2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ht="14.25" customHeight="1">
      <c r="A99" s="74"/>
      <c r="B99" s="267" t="s">
        <v>167</v>
      </c>
      <c r="C99" s="376" t="s">
        <v>168</v>
      </c>
      <c r="D99" s="377"/>
      <c r="E99" s="324"/>
      <c r="F99" s="74"/>
      <c r="G99" s="74"/>
      <c r="H99" s="74"/>
      <c r="I99" s="74"/>
      <c r="J99" s="74"/>
      <c r="K99" s="74"/>
      <c r="L99" s="74"/>
      <c r="M99" s="74"/>
      <c r="N99" s="74"/>
      <c r="O99" s="74"/>
      <c r="P99" s="74"/>
      <c r="Q99" s="74"/>
      <c r="R99" s="74"/>
      <c r="S99" s="74"/>
      <c r="T99" s="74"/>
      <c r="U99" s="74"/>
      <c r="V99" s="74"/>
      <c r="W99" s="74"/>
      <c r="X99" s="74"/>
      <c r="Y99" s="74"/>
      <c r="Z99" s="74"/>
    </row>
    <row r="100" ht="68.25" customHeight="1">
      <c r="A100" s="74"/>
      <c r="B100" s="378" t="s">
        <v>169</v>
      </c>
      <c r="C100" s="379" t="s">
        <v>623</v>
      </c>
      <c r="D100" s="377"/>
      <c r="E100" s="324"/>
      <c r="F100" s="74"/>
      <c r="G100" s="74"/>
      <c r="H100" s="74"/>
      <c r="I100" s="74"/>
      <c r="J100" s="74"/>
      <c r="K100" s="74"/>
      <c r="L100" s="74"/>
      <c r="M100" s="74"/>
      <c r="N100" s="74"/>
      <c r="O100" s="74"/>
      <c r="P100" s="74"/>
      <c r="Q100" s="74"/>
      <c r="R100" s="74"/>
      <c r="S100" s="74"/>
      <c r="T100" s="74"/>
      <c r="U100" s="74"/>
      <c r="V100" s="74"/>
      <c r="W100" s="74"/>
      <c r="X100" s="74"/>
      <c r="Y100" s="74"/>
      <c r="Z100" s="74"/>
    </row>
    <row r="101" ht="79.5" customHeight="1">
      <c r="A101" s="74"/>
      <c r="B101" s="380" t="s">
        <v>171</v>
      </c>
      <c r="C101" s="381" t="s">
        <v>624</v>
      </c>
      <c r="D101" s="76"/>
      <c r="E101" s="382"/>
      <c r="F101" s="74"/>
      <c r="G101" s="74"/>
      <c r="H101" s="74"/>
      <c r="I101" s="74"/>
      <c r="J101" s="74"/>
      <c r="K101" s="74"/>
      <c r="L101" s="74"/>
      <c r="M101" s="74"/>
      <c r="N101" s="74"/>
      <c r="O101" s="74"/>
      <c r="P101" s="74"/>
      <c r="Q101" s="74"/>
      <c r="R101" s="74"/>
      <c r="S101" s="74"/>
      <c r="T101" s="74"/>
      <c r="U101" s="74"/>
      <c r="V101" s="74"/>
      <c r="W101" s="74"/>
      <c r="X101" s="74"/>
      <c r="Y101" s="74"/>
      <c r="Z101" s="74"/>
    </row>
    <row r="102" ht="87.0" customHeight="1">
      <c r="A102" s="74"/>
      <c r="B102" s="383" t="s">
        <v>173</v>
      </c>
      <c r="C102" s="384" t="s">
        <v>625</v>
      </c>
      <c r="D102" s="385"/>
      <c r="E102" s="386"/>
      <c r="F102" s="74"/>
      <c r="G102" s="74"/>
      <c r="H102" s="74"/>
      <c r="I102" s="74"/>
      <c r="J102" s="74"/>
      <c r="K102" s="74"/>
      <c r="L102" s="74"/>
      <c r="M102" s="74"/>
      <c r="N102" s="74"/>
      <c r="O102" s="74"/>
      <c r="P102" s="74"/>
      <c r="Q102" s="74"/>
      <c r="R102" s="74"/>
      <c r="S102" s="74"/>
      <c r="T102" s="74"/>
      <c r="U102" s="74"/>
      <c r="V102" s="74"/>
      <c r="W102" s="74"/>
      <c r="X102" s="74"/>
      <c r="Y102" s="74"/>
      <c r="Z102" s="74"/>
    </row>
    <row r="103" ht="118.5" customHeight="1">
      <c r="A103" s="74"/>
      <c r="B103" s="387"/>
      <c r="C103" s="388"/>
      <c r="D103" s="76"/>
      <c r="E103" s="77"/>
      <c r="F103" s="74"/>
      <c r="G103" s="74"/>
      <c r="H103" s="74"/>
      <c r="I103" s="74"/>
      <c r="J103" s="74"/>
      <c r="K103" s="74"/>
      <c r="L103" s="74"/>
      <c r="M103" s="74"/>
      <c r="N103" s="74"/>
      <c r="O103" s="74"/>
      <c r="P103" s="74"/>
      <c r="Q103" s="74"/>
      <c r="R103" s="74"/>
      <c r="S103" s="74"/>
      <c r="T103" s="74"/>
      <c r="U103" s="74"/>
      <c r="V103" s="74"/>
      <c r="W103" s="74"/>
      <c r="X103" s="74"/>
      <c r="Y103" s="74"/>
      <c r="Z103" s="74"/>
    </row>
    <row r="104" ht="57.0" customHeight="1">
      <c r="A104" s="74"/>
      <c r="B104" s="387"/>
      <c r="C104" s="388"/>
      <c r="D104" s="76"/>
      <c r="E104" s="77"/>
      <c r="F104" s="74"/>
      <c r="G104" s="74"/>
      <c r="H104" s="74"/>
      <c r="I104" s="74"/>
      <c r="J104" s="74"/>
      <c r="K104" s="74"/>
      <c r="L104" s="74"/>
      <c r="M104" s="74"/>
      <c r="N104" s="74"/>
      <c r="O104" s="74"/>
      <c r="P104" s="74"/>
      <c r="Q104" s="74"/>
      <c r="R104" s="74"/>
      <c r="S104" s="74"/>
      <c r="T104" s="74"/>
      <c r="U104" s="74"/>
      <c r="V104" s="74"/>
      <c r="W104" s="74"/>
      <c r="X104" s="74"/>
      <c r="Y104" s="74"/>
      <c r="Z104" s="74"/>
    </row>
    <row r="105" ht="177.0" customHeight="1">
      <c r="A105" s="74"/>
      <c r="B105" s="387"/>
      <c r="C105" s="388"/>
      <c r="D105" s="76"/>
      <c r="E105" s="77"/>
      <c r="F105" s="74"/>
      <c r="G105" s="74"/>
      <c r="H105" s="74"/>
      <c r="I105" s="74"/>
      <c r="J105" s="74"/>
      <c r="K105" s="74"/>
      <c r="L105" s="74"/>
      <c r="M105" s="74"/>
      <c r="N105" s="74"/>
      <c r="O105" s="74"/>
      <c r="P105" s="74"/>
      <c r="Q105" s="74"/>
      <c r="R105" s="74"/>
      <c r="S105" s="74"/>
      <c r="T105" s="74"/>
      <c r="U105" s="74"/>
      <c r="V105" s="74"/>
      <c r="W105" s="74"/>
      <c r="X105" s="74"/>
      <c r="Y105" s="74"/>
      <c r="Z105" s="74"/>
    </row>
    <row r="106" ht="14.2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4.2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4.2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4.2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4.2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4.2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4.2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4.2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4.2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4.2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4.2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row r="1001" ht="14.25" customHeight="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row>
    <row r="1002" ht="14.25" customHeight="1">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c r="Y1002" s="74"/>
      <c r="Z1002" s="74"/>
    </row>
    <row r="1003" ht="14.25" customHeight="1">
      <c r="A1003" s="74"/>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c r="Y1003" s="74"/>
      <c r="Z1003" s="74"/>
    </row>
    <row r="1004" ht="14.25" customHeight="1">
      <c r="A1004" s="74"/>
      <c r="B1004" s="74"/>
      <c r="C1004" s="74"/>
      <c r="D1004" s="74"/>
      <c r="E1004" s="74"/>
      <c r="F1004" s="74"/>
      <c r="G1004" s="74"/>
      <c r="H1004" s="74"/>
      <c r="I1004" s="74"/>
      <c r="J1004" s="74"/>
      <c r="K1004" s="74"/>
      <c r="L1004" s="74"/>
      <c r="M1004" s="74"/>
      <c r="N1004" s="74"/>
      <c r="O1004" s="74"/>
      <c r="P1004" s="74"/>
      <c r="Q1004" s="74"/>
      <c r="R1004" s="74"/>
      <c r="S1004" s="74"/>
      <c r="T1004" s="74"/>
      <c r="U1004" s="74"/>
      <c r="V1004" s="74"/>
      <c r="W1004" s="74"/>
      <c r="X1004" s="74"/>
      <c r="Y1004" s="74"/>
      <c r="Z1004" s="74"/>
    </row>
    <row r="1005" ht="14.25" customHeight="1">
      <c r="A1005" s="74"/>
      <c r="B1005" s="74"/>
      <c r="C1005" s="74"/>
      <c r="D1005" s="74"/>
      <c r="E1005" s="74"/>
      <c r="F1005" s="74"/>
      <c r="G1005" s="74"/>
      <c r="H1005" s="74"/>
      <c r="I1005" s="74"/>
      <c r="J1005" s="74"/>
      <c r="K1005" s="74"/>
      <c r="L1005" s="74"/>
      <c r="M1005" s="74"/>
      <c r="N1005" s="74"/>
      <c r="O1005" s="74"/>
      <c r="P1005" s="74"/>
      <c r="Q1005" s="74"/>
      <c r="R1005" s="74"/>
      <c r="S1005" s="74"/>
      <c r="T1005" s="74"/>
      <c r="U1005" s="74"/>
      <c r="V1005" s="74"/>
      <c r="W1005" s="74"/>
      <c r="X1005" s="74"/>
      <c r="Y1005" s="74"/>
      <c r="Z1005" s="74"/>
    </row>
    <row r="1006" ht="14.25" customHeight="1">
      <c r="A1006" s="74"/>
      <c r="B1006" s="74"/>
      <c r="C1006" s="74"/>
      <c r="D1006" s="74"/>
      <c r="E1006" s="74"/>
      <c r="F1006" s="74"/>
      <c r="G1006" s="74"/>
      <c r="H1006" s="74"/>
      <c r="I1006" s="74"/>
      <c r="J1006" s="74"/>
      <c r="K1006" s="74"/>
      <c r="L1006" s="74"/>
      <c r="M1006" s="74"/>
      <c r="N1006" s="74"/>
      <c r="O1006" s="74"/>
      <c r="P1006" s="74"/>
      <c r="Q1006" s="74"/>
      <c r="R1006" s="74"/>
      <c r="S1006" s="74"/>
      <c r="T1006" s="74"/>
      <c r="U1006" s="74"/>
      <c r="V1006" s="74"/>
      <c r="W1006" s="74"/>
      <c r="X1006" s="74"/>
      <c r="Y1006" s="74"/>
      <c r="Z1006" s="74"/>
    </row>
  </sheetData>
  <mergeCells count="16">
    <mergeCell ref="B3:O3"/>
    <mergeCell ref="B4:O4"/>
    <mergeCell ref="B6:C6"/>
    <mergeCell ref="E6:O7"/>
    <mergeCell ref="B7:C7"/>
    <mergeCell ref="B10:O14"/>
    <mergeCell ref="B19:O23"/>
    <mergeCell ref="C104:E104"/>
    <mergeCell ref="C105:E105"/>
    <mergeCell ref="C62:D62"/>
    <mergeCell ref="G62:H62"/>
    <mergeCell ref="C99:E99"/>
    <mergeCell ref="C100:E100"/>
    <mergeCell ref="C101:E101"/>
    <mergeCell ref="C102:E102"/>
    <mergeCell ref="C103:E103"/>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16" width="22.57"/>
    <col customWidth="1" min="17"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626</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79" t="s">
        <v>85</v>
      </c>
      <c r="C6" s="80"/>
      <c r="D6" s="81" t="s">
        <v>627</v>
      </c>
      <c r="E6" s="82"/>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t="s">
        <v>88</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97" t="s">
        <v>628</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351.75"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97" t="s">
        <v>629</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59.25"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74"/>
      <c r="L36" s="100" t="s">
        <v>93</v>
      </c>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74"/>
      <c r="L37" s="101" t="s">
        <v>94</v>
      </c>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74"/>
      <c r="L38" s="101" t="s">
        <v>95</v>
      </c>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74"/>
      <c r="L39" s="101" t="s">
        <v>96</v>
      </c>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t="s">
        <v>630</v>
      </c>
      <c r="H58" s="74"/>
      <c r="I58" s="74"/>
      <c r="J58" s="74"/>
      <c r="K58" s="74"/>
      <c r="L58" s="74"/>
      <c r="M58" s="74"/>
      <c r="N58" s="74"/>
      <c r="O58" s="74"/>
      <c r="P58" s="74"/>
      <c r="Q58" s="74"/>
      <c r="R58" s="74"/>
      <c r="S58" s="74"/>
      <c r="T58" s="74"/>
      <c r="U58" s="74"/>
      <c r="V58" s="74"/>
      <c r="W58" s="74"/>
      <c r="X58" s="74"/>
      <c r="Y58" s="74"/>
      <c r="Z58" s="74"/>
    </row>
    <row r="59" ht="14.25" customHeight="1">
      <c r="A59" s="74"/>
      <c r="B59" s="110" t="s">
        <v>98</v>
      </c>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111"/>
      <c r="D61" s="111"/>
      <c r="E61" s="74"/>
      <c r="F61" s="74"/>
      <c r="G61" s="112"/>
      <c r="H61" s="91"/>
      <c r="I61" s="113"/>
      <c r="J61" s="74"/>
      <c r="K61" s="74"/>
      <c r="L61" s="74"/>
      <c r="M61" s="74"/>
      <c r="N61" s="74"/>
      <c r="O61" s="109"/>
      <c r="P61" s="74"/>
      <c r="Q61" s="74"/>
      <c r="R61" s="74"/>
      <c r="S61" s="74"/>
      <c r="T61" s="74"/>
      <c r="U61" s="74"/>
      <c r="V61" s="74"/>
      <c r="W61" s="74"/>
      <c r="X61" s="74"/>
      <c r="Y61" s="74"/>
      <c r="Z61" s="74"/>
    </row>
    <row r="62" ht="14.25" customHeight="1">
      <c r="A62" s="74"/>
      <c r="B62" s="114" t="s">
        <v>99</v>
      </c>
      <c r="C62" s="203"/>
      <c r="D62" s="80"/>
      <c r="E62" s="74"/>
      <c r="F62" s="74"/>
      <c r="G62" s="74"/>
      <c r="H62" s="118" t="s">
        <v>100</v>
      </c>
      <c r="I62" s="119"/>
      <c r="J62" s="120"/>
      <c r="K62" s="74"/>
      <c r="L62" s="74"/>
      <c r="M62" s="74"/>
      <c r="N62" s="118" t="s">
        <v>101</v>
      </c>
      <c r="O62" s="118"/>
      <c r="P62" s="74"/>
      <c r="Q62" s="74"/>
      <c r="R62" s="74"/>
      <c r="S62" s="74"/>
      <c r="T62" s="74"/>
      <c r="U62" s="74"/>
      <c r="V62" s="74"/>
      <c r="W62" s="74"/>
      <c r="X62" s="74"/>
      <c r="Y62" s="74"/>
      <c r="Z62" s="74"/>
    </row>
    <row r="63" ht="14.25" customHeight="1">
      <c r="A63" s="74"/>
      <c r="B63" s="121" t="s">
        <v>102</v>
      </c>
      <c r="C63" s="121" t="s">
        <v>103</v>
      </c>
      <c r="D63" s="121" t="s">
        <v>104</v>
      </c>
      <c r="E63" s="204" t="s">
        <v>240</v>
      </c>
      <c r="F63" s="204" t="s">
        <v>241</v>
      </c>
      <c r="G63" s="74"/>
      <c r="H63" s="121" t="s">
        <v>102</v>
      </c>
      <c r="I63" s="121" t="s">
        <v>103</v>
      </c>
      <c r="J63" s="121" t="s">
        <v>104</v>
      </c>
      <c r="K63" s="389" t="s">
        <v>240</v>
      </c>
      <c r="L63" s="390" t="s">
        <v>241</v>
      </c>
      <c r="M63" s="74"/>
      <c r="N63" s="118" t="s">
        <v>105</v>
      </c>
      <c r="O63" s="122"/>
      <c r="P63" s="74"/>
      <c r="Q63" s="74"/>
      <c r="R63" s="74"/>
      <c r="S63" s="74"/>
      <c r="T63" s="74"/>
      <c r="U63" s="74"/>
      <c r="V63" s="74"/>
      <c r="W63" s="74"/>
      <c r="X63" s="74"/>
      <c r="Y63" s="74"/>
      <c r="Z63" s="74"/>
    </row>
    <row r="64" ht="15.0" customHeight="1">
      <c r="A64" s="74"/>
      <c r="B64" s="391" t="s">
        <v>106</v>
      </c>
      <c r="C64" s="392" t="s">
        <v>631</v>
      </c>
      <c r="D64" s="393">
        <v>827.760128</v>
      </c>
      <c r="E64" s="394">
        <v>20.0</v>
      </c>
      <c r="F64" s="395">
        <v>1.02</v>
      </c>
      <c r="G64" s="74"/>
      <c r="H64" s="396" t="s">
        <v>632</v>
      </c>
      <c r="I64" s="397" t="s">
        <v>633</v>
      </c>
      <c r="J64" s="398">
        <v>93.7167772</v>
      </c>
      <c r="K64" s="394">
        <v>40.0</v>
      </c>
      <c r="L64" s="395">
        <v>1.02</v>
      </c>
      <c r="M64" s="74"/>
      <c r="N64" s="110" t="s">
        <v>110</v>
      </c>
      <c r="O64" s="125">
        <f>SUM(D64:D70)</f>
        <v>1186.215887</v>
      </c>
      <c r="P64" s="74"/>
      <c r="Q64" s="74"/>
      <c r="R64" s="74"/>
      <c r="S64" s="74"/>
      <c r="T64" s="74"/>
      <c r="U64" s="74"/>
      <c r="V64" s="74"/>
      <c r="W64" s="74"/>
      <c r="X64" s="74"/>
      <c r="Y64" s="74"/>
      <c r="Z64" s="74"/>
    </row>
    <row r="65" ht="14.25" customHeight="1">
      <c r="A65" s="74"/>
      <c r="B65" s="33"/>
      <c r="C65" s="33"/>
      <c r="D65" s="33"/>
      <c r="E65" s="33"/>
      <c r="F65" s="33"/>
      <c r="G65" s="74"/>
      <c r="H65" s="399"/>
      <c r="I65" s="400"/>
      <c r="J65" s="27"/>
      <c r="K65" s="27"/>
      <c r="L65" s="27"/>
      <c r="M65" s="74"/>
      <c r="N65" s="110" t="s">
        <v>114</v>
      </c>
      <c r="O65" s="125">
        <f>J64+J67</f>
        <v>173.9212671</v>
      </c>
      <c r="P65" s="74"/>
      <c r="Q65" s="74"/>
      <c r="R65" s="74"/>
      <c r="S65" s="74"/>
      <c r="T65" s="74"/>
      <c r="U65" s="74"/>
      <c r="V65" s="74"/>
      <c r="W65" s="74"/>
      <c r="X65" s="74"/>
      <c r="Y65" s="74"/>
      <c r="Z65" s="74"/>
    </row>
    <row r="66" ht="14.25" customHeight="1">
      <c r="A66" s="74"/>
      <c r="B66" s="81" t="s">
        <v>634</v>
      </c>
      <c r="C66" s="401" t="s">
        <v>635</v>
      </c>
      <c r="D66" s="401">
        <v>80.2044899</v>
      </c>
      <c r="E66" s="402">
        <v>204.346</v>
      </c>
      <c r="F66" s="322">
        <v>17.0</v>
      </c>
      <c r="G66" s="74"/>
      <c r="H66" s="403"/>
      <c r="I66" s="404"/>
      <c r="J66" s="33"/>
      <c r="K66" s="33"/>
      <c r="L66" s="33"/>
      <c r="M66" s="74"/>
      <c r="N66" s="110" t="s">
        <v>117</v>
      </c>
      <c r="O66" s="125">
        <f>SUM(K72:K91)</f>
        <v>1012.294778</v>
      </c>
      <c r="P66" s="74"/>
      <c r="Q66" s="74"/>
      <c r="R66" s="74"/>
      <c r="S66" s="74"/>
      <c r="T66" s="74"/>
      <c r="U66" s="74"/>
      <c r="V66" s="74"/>
      <c r="W66" s="74"/>
      <c r="X66" s="74"/>
      <c r="Y66" s="74"/>
      <c r="Z66" s="74"/>
    </row>
    <row r="67" ht="14.25" customHeight="1">
      <c r="A67" s="74"/>
      <c r="B67" s="81" t="s">
        <v>636</v>
      </c>
      <c r="C67" s="401" t="s">
        <v>637</v>
      </c>
      <c r="D67" s="401">
        <v>50.0</v>
      </c>
      <c r="E67" s="402">
        <v>20.0</v>
      </c>
      <c r="F67" s="322">
        <v>1.02</v>
      </c>
      <c r="G67" s="74"/>
      <c r="H67" s="405" t="s">
        <v>113</v>
      </c>
      <c r="I67" s="406" t="s">
        <v>635</v>
      </c>
      <c r="J67" s="406">
        <v>80.2044899</v>
      </c>
      <c r="K67" s="402">
        <v>230.0</v>
      </c>
      <c r="L67" s="402">
        <v>17.0</v>
      </c>
      <c r="M67" s="74"/>
      <c r="N67" s="74"/>
      <c r="O67" s="74"/>
      <c r="P67" s="74"/>
      <c r="Q67" s="74"/>
      <c r="R67" s="74"/>
      <c r="S67" s="74"/>
      <c r="T67" s="74"/>
      <c r="U67" s="74"/>
      <c r="V67" s="74"/>
      <c r="W67" s="74"/>
      <c r="X67" s="74"/>
      <c r="Y67" s="74"/>
      <c r="Z67" s="74"/>
    </row>
    <row r="68" ht="14.25" customHeight="1">
      <c r="A68" s="105"/>
      <c r="B68" s="81" t="s">
        <v>638</v>
      </c>
      <c r="C68" s="401" t="s">
        <v>637</v>
      </c>
      <c r="D68" s="401">
        <v>32.2203188</v>
      </c>
      <c r="E68" s="402">
        <v>20.0</v>
      </c>
      <c r="F68" s="322">
        <v>1.02</v>
      </c>
      <c r="G68" s="292"/>
      <c r="H68" s="105"/>
      <c r="I68" s="105"/>
      <c r="J68" s="108"/>
      <c r="K68" s="293"/>
      <c r="L68" s="74"/>
      <c r="M68" s="74"/>
      <c r="N68" s="110" t="s">
        <v>101</v>
      </c>
      <c r="O68" s="125">
        <f>O64-O65-O66</f>
        <v>-0.0001576099999</v>
      </c>
      <c r="P68" s="74"/>
      <c r="Q68" s="74"/>
      <c r="R68" s="74"/>
      <c r="S68" s="74"/>
      <c r="T68" s="74"/>
      <c r="U68" s="74"/>
      <c r="V68" s="74"/>
      <c r="W68" s="74"/>
      <c r="X68" s="74"/>
      <c r="Y68" s="74"/>
      <c r="Z68" s="74"/>
    </row>
    <row r="69" ht="14.25" customHeight="1">
      <c r="A69" s="105"/>
      <c r="B69" s="81" t="s">
        <v>639</v>
      </c>
      <c r="C69" s="401" t="s">
        <v>640</v>
      </c>
      <c r="D69" s="401">
        <v>38.8174034</v>
      </c>
      <c r="E69" s="402">
        <v>20.0</v>
      </c>
      <c r="F69" s="322">
        <v>1.02</v>
      </c>
      <c r="G69" s="292"/>
      <c r="H69" s="105"/>
      <c r="I69" s="74"/>
      <c r="J69" s="105"/>
      <c r="K69" s="74"/>
      <c r="L69" s="74"/>
      <c r="M69" s="74"/>
      <c r="N69" s="135" t="s">
        <v>121</v>
      </c>
      <c r="O69" s="124">
        <f>(O68/O64)*100</f>
        <v>-0.00001328678882</v>
      </c>
      <c r="P69" s="74"/>
      <c r="Q69" s="74"/>
      <c r="R69" s="74"/>
      <c r="S69" s="74"/>
      <c r="T69" s="74"/>
      <c r="U69" s="74"/>
      <c r="V69" s="74"/>
      <c r="W69" s="74"/>
      <c r="X69" s="74"/>
      <c r="Y69" s="74"/>
      <c r="Z69" s="74"/>
    </row>
    <row r="70" ht="14.25" customHeight="1">
      <c r="A70" s="74"/>
      <c r="B70" s="81" t="s">
        <v>118</v>
      </c>
      <c r="C70" s="401" t="s">
        <v>635</v>
      </c>
      <c r="D70" s="401">
        <v>157.213547</v>
      </c>
      <c r="E70" s="402">
        <v>20.0</v>
      </c>
      <c r="F70" s="322">
        <v>1.02</v>
      </c>
      <c r="G70" s="74"/>
      <c r="H70" s="118" t="s">
        <v>280</v>
      </c>
      <c r="I70" s="119"/>
      <c r="J70" s="120"/>
      <c r="K70" s="74"/>
      <c r="L70" s="74"/>
      <c r="M70" s="74"/>
      <c r="N70" s="74"/>
      <c r="O70" s="74"/>
      <c r="P70" s="74"/>
      <c r="Q70" s="74"/>
      <c r="R70" s="74"/>
      <c r="S70" s="74"/>
      <c r="T70" s="74"/>
      <c r="U70" s="74"/>
      <c r="V70" s="74"/>
      <c r="W70" s="74"/>
      <c r="X70" s="74"/>
      <c r="Y70" s="74"/>
      <c r="Z70" s="74"/>
    </row>
    <row r="71" ht="14.25" customHeight="1">
      <c r="A71" s="74"/>
      <c r="B71" s="89"/>
      <c r="C71" s="89"/>
      <c r="D71" s="89"/>
      <c r="E71" s="74"/>
      <c r="F71" s="74"/>
      <c r="G71" s="89"/>
      <c r="H71" s="121" t="s">
        <v>102</v>
      </c>
      <c r="I71" s="121" t="s">
        <v>641</v>
      </c>
      <c r="J71" s="121" t="s">
        <v>103</v>
      </c>
      <c r="K71" s="121" t="s">
        <v>104</v>
      </c>
      <c r="L71" s="389" t="s">
        <v>240</v>
      </c>
      <c r="M71" s="390" t="s">
        <v>241</v>
      </c>
      <c r="N71" s="91"/>
      <c r="O71" s="74"/>
      <c r="P71" s="74"/>
      <c r="Q71" s="74"/>
      <c r="R71" s="74"/>
      <c r="S71" s="74"/>
      <c r="T71" s="74"/>
      <c r="U71" s="74"/>
      <c r="V71" s="74"/>
      <c r="W71" s="74"/>
      <c r="X71" s="74"/>
      <c r="Y71" s="74"/>
      <c r="Z71" s="74"/>
    </row>
    <row r="72" ht="14.25" customHeight="1">
      <c r="A72" s="74"/>
      <c r="B72" s="74"/>
      <c r="C72" s="74"/>
      <c r="D72" s="74"/>
      <c r="E72" s="74"/>
      <c r="F72" s="74"/>
      <c r="G72" s="74"/>
      <c r="H72" s="407" t="s">
        <v>642</v>
      </c>
      <c r="I72" s="401" t="s">
        <v>643</v>
      </c>
      <c r="J72" s="298">
        <v>8.414594300000001</v>
      </c>
      <c r="K72" s="408">
        <v>859.980447</v>
      </c>
      <c r="L72" s="394">
        <v>64.21834</v>
      </c>
      <c r="M72" s="395">
        <v>1.02</v>
      </c>
      <c r="N72" s="74"/>
      <c r="O72" s="74"/>
      <c r="P72" s="74"/>
      <c r="Q72" s="74"/>
      <c r="R72" s="74"/>
      <c r="S72" s="74"/>
      <c r="T72" s="74"/>
      <c r="U72" s="74"/>
      <c r="V72" s="74"/>
      <c r="W72" s="74"/>
      <c r="X72" s="74"/>
      <c r="Y72" s="74"/>
      <c r="Z72" s="74"/>
    </row>
    <row r="73" ht="14.25" customHeight="1">
      <c r="A73" s="74"/>
      <c r="B73" s="74"/>
      <c r="C73" s="74"/>
      <c r="D73" s="74"/>
      <c r="E73" s="74"/>
      <c r="F73" s="74"/>
      <c r="G73" s="74"/>
      <c r="H73" s="399"/>
      <c r="I73" s="401" t="s">
        <v>644</v>
      </c>
      <c r="J73" s="298">
        <v>10.2780698</v>
      </c>
      <c r="K73" s="27"/>
      <c r="L73" s="27"/>
      <c r="M73" s="27"/>
      <c r="N73" s="74"/>
      <c r="O73" s="74"/>
      <c r="P73" s="74"/>
      <c r="Q73" s="74"/>
      <c r="R73" s="74"/>
      <c r="S73" s="74"/>
      <c r="T73" s="74"/>
      <c r="U73" s="74"/>
      <c r="V73" s="74"/>
      <c r="W73" s="74"/>
      <c r="X73" s="74"/>
      <c r="Y73" s="74"/>
      <c r="Z73" s="74"/>
    </row>
    <row r="74" ht="14.25" customHeight="1">
      <c r="A74" s="74"/>
      <c r="B74" s="74"/>
      <c r="C74" s="74"/>
      <c r="D74" s="74"/>
      <c r="E74" s="74"/>
      <c r="F74" s="74"/>
      <c r="G74" s="74"/>
      <c r="H74" s="399"/>
      <c r="I74" s="401" t="s">
        <v>645</v>
      </c>
      <c r="J74" s="298">
        <v>7.47301513</v>
      </c>
      <c r="K74" s="27"/>
      <c r="L74" s="27"/>
      <c r="M74" s="27"/>
      <c r="N74" s="74"/>
      <c r="O74" s="74"/>
      <c r="P74" s="74"/>
      <c r="Q74" s="74"/>
      <c r="R74" s="74"/>
      <c r="S74" s="74"/>
      <c r="T74" s="74"/>
      <c r="U74" s="74"/>
      <c r="V74" s="74"/>
      <c r="W74" s="74"/>
      <c r="X74" s="74"/>
      <c r="Y74" s="74"/>
      <c r="Z74" s="74"/>
    </row>
    <row r="75" ht="14.25" customHeight="1">
      <c r="A75" s="74"/>
      <c r="B75" s="74"/>
      <c r="C75" s="74"/>
      <c r="D75" s="74"/>
      <c r="E75" s="74"/>
      <c r="F75" s="74"/>
      <c r="G75" s="74"/>
      <c r="H75" s="409"/>
      <c r="I75" s="410" t="s">
        <v>646</v>
      </c>
      <c r="J75" s="411">
        <v>73.8343207</v>
      </c>
      <c r="K75" s="412"/>
      <c r="L75" s="33"/>
      <c r="M75" s="33"/>
      <c r="N75" s="136"/>
      <c r="O75" s="74"/>
      <c r="P75" s="74"/>
      <c r="Q75" s="74"/>
      <c r="R75" s="74"/>
      <c r="S75" s="74"/>
      <c r="T75" s="74"/>
      <c r="U75" s="74"/>
      <c r="V75" s="74"/>
      <c r="W75" s="74"/>
      <c r="X75" s="74"/>
      <c r="Y75" s="74"/>
      <c r="Z75" s="74"/>
    </row>
    <row r="76" ht="15.0" customHeight="1">
      <c r="A76" s="74"/>
      <c r="B76" s="74"/>
      <c r="C76" s="74"/>
      <c r="D76" s="74"/>
      <c r="E76" s="74"/>
      <c r="F76" s="74"/>
      <c r="G76" s="74"/>
      <c r="H76" s="413" t="s">
        <v>647</v>
      </c>
      <c r="I76" s="414" t="s">
        <v>648</v>
      </c>
      <c r="J76" s="415">
        <v>3.4850458</v>
      </c>
      <c r="K76" s="416">
        <v>7.09410171</v>
      </c>
      <c r="L76" s="394">
        <v>63.053544</v>
      </c>
      <c r="M76" s="394">
        <v>7.0</v>
      </c>
      <c r="N76" s="91"/>
      <c r="O76" s="74"/>
      <c r="P76" s="74"/>
      <c r="Q76" s="74"/>
      <c r="R76" s="74"/>
      <c r="S76" s="74"/>
      <c r="T76" s="74"/>
      <c r="U76" s="74"/>
      <c r="V76" s="74"/>
      <c r="W76" s="74"/>
      <c r="X76" s="74"/>
      <c r="Y76" s="74"/>
      <c r="Z76" s="74"/>
    </row>
    <row r="77" ht="15.0" customHeight="1">
      <c r="A77" s="74"/>
      <c r="B77" s="74"/>
      <c r="C77" s="74"/>
      <c r="D77" s="74"/>
      <c r="E77" s="74"/>
      <c r="F77" s="74"/>
      <c r="G77" s="74"/>
      <c r="H77" s="399"/>
      <c r="I77" s="401" t="s">
        <v>643</v>
      </c>
      <c r="J77" s="298">
        <v>0.0351144882</v>
      </c>
      <c r="K77" s="417"/>
      <c r="L77" s="27"/>
      <c r="M77" s="27"/>
      <c r="N77" s="91"/>
      <c r="O77" s="74"/>
      <c r="P77" s="74"/>
      <c r="Q77" s="74"/>
      <c r="R77" s="74"/>
      <c r="S77" s="74"/>
      <c r="T77" s="74"/>
      <c r="U77" s="74"/>
      <c r="V77" s="74"/>
      <c r="W77" s="74"/>
      <c r="X77" s="74"/>
      <c r="Y77" s="74"/>
      <c r="Z77" s="74"/>
    </row>
    <row r="78" ht="15.0" customHeight="1">
      <c r="A78" s="74"/>
      <c r="B78" s="74"/>
      <c r="C78" s="74"/>
      <c r="D78" s="74"/>
      <c r="E78" s="74"/>
      <c r="F78" s="74"/>
      <c r="G78" s="74"/>
      <c r="H78" s="399"/>
      <c r="I78" s="401" t="s">
        <v>649</v>
      </c>
      <c r="J78" s="298">
        <v>1.30474092</v>
      </c>
      <c r="K78" s="417"/>
      <c r="L78" s="27"/>
      <c r="M78" s="27"/>
      <c r="N78" s="91"/>
      <c r="O78" s="74"/>
      <c r="P78" s="74"/>
      <c r="Q78" s="74"/>
      <c r="R78" s="74"/>
      <c r="S78" s="74"/>
      <c r="T78" s="74"/>
      <c r="U78" s="74"/>
      <c r="V78" s="74"/>
      <c r="W78" s="74"/>
      <c r="X78" s="74"/>
      <c r="Y78" s="74"/>
      <c r="Z78" s="74"/>
    </row>
    <row r="79" ht="14.25" customHeight="1">
      <c r="A79" s="74"/>
      <c r="B79" s="74"/>
      <c r="C79" s="74"/>
      <c r="D79" s="74"/>
      <c r="E79" s="74"/>
      <c r="F79" s="74"/>
      <c r="G79" s="74"/>
      <c r="H79" s="399"/>
      <c r="I79" s="401" t="s">
        <v>650</v>
      </c>
      <c r="J79" s="298">
        <v>1.53993557</v>
      </c>
      <c r="K79" s="417"/>
      <c r="L79" s="27"/>
      <c r="M79" s="27"/>
      <c r="N79" s="74"/>
      <c r="O79" s="74"/>
      <c r="P79" s="74"/>
      <c r="Q79" s="74"/>
      <c r="R79" s="74"/>
      <c r="S79" s="74"/>
      <c r="T79" s="74"/>
      <c r="U79" s="74"/>
      <c r="V79" s="74"/>
      <c r="W79" s="74"/>
      <c r="X79" s="74"/>
      <c r="Y79" s="74"/>
      <c r="Z79" s="74"/>
    </row>
    <row r="80" ht="14.25" customHeight="1">
      <c r="A80" s="74"/>
      <c r="B80" s="74"/>
      <c r="C80" s="74"/>
      <c r="D80" s="74"/>
      <c r="E80" s="74"/>
      <c r="F80" s="74"/>
      <c r="G80" s="74"/>
      <c r="H80" s="399"/>
      <c r="I80" s="401" t="s">
        <v>644</v>
      </c>
      <c r="J80" s="298">
        <v>79.9355191</v>
      </c>
      <c r="K80" s="417"/>
      <c r="L80" s="27"/>
      <c r="M80" s="27"/>
      <c r="N80" s="74"/>
      <c r="O80" s="74"/>
      <c r="P80" s="74"/>
      <c r="Q80" s="74"/>
      <c r="R80" s="74"/>
      <c r="S80" s="74"/>
      <c r="T80" s="74"/>
      <c r="U80" s="74"/>
      <c r="V80" s="74"/>
      <c r="W80" s="74"/>
      <c r="X80" s="74"/>
      <c r="Y80" s="74"/>
      <c r="Z80" s="74"/>
    </row>
    <row r="81" ht="14.25" customHeight="1">
      <c r="A81" s="74"/>
      <c r="B81" s="74"/>
      <c r="C81" s="74"/>
      <c r="D81" s="74"/>
      <c r="E81" s="74"/>
      <c r="F81" s="74"/>
      <c r="G81" s="74"/>
      <c r="H81" s="399"/>
      <c r="I81" s="401" t="s">
        <v>651</v>
      </c>
      <c r="J81" s="298">
        <v>13.3518564</v>
      </c>
      <c r="K81" s="417"/>
      <c r="L81" s="27"/>
      <c r="M81" s="27"/>
      <c r="N81" s="74"/>
      <c r="O81" s="74"/>
      <c r="P81" s="74"/>
      <c r="Q81" s="74"/>
      <c r="R81" s="74"/>
      <c r="S81" s="74"/>
      <c r="T81" s="74"/>
      <c r="U81" s="74"/>
      <c r="V81" s="74"/>
      <c r="W81" s="74"/>
      <c r="X81" s="74"/>
      <c r="Y81" s="74"/>
      <c r="Z81" s="74"/>
    </row>
    <row r="82" ht="24.0" customHeight="1">
      <c r="A82" s="74"/>
      <c r="B82" s="74"/>
      <c r="C82" s="74"/>
      <c r="D82" s="74"/>
      <c r="E82" s="74"/>
      <c r="F82" s="137"/>
      <c r="G82" s="137"/>
      <c r="H82" s="418"/>
      <c r="I82" s="419" t="s">
        <v>652</v>
      </c>
      <c r="J82" s="420">
        <v>0.346966695</v>
      </c>
      <c r="K82" s="421"/>
      <c r="L82" s="33"/>
      <c r="M82" s="33"/>
      <c r="N82" s="74"/>
      <c r="O82" s="74"/>
      <c r="P82" s="74"/>
      <c r="Q82" s="74"/>
      <c r="R82" s="74"/>
      <c r="S82" s="74"/>
      <c r="T82" s="74"/>
      <c r="U82" s="74"/>
      <c r="V82" s="74"/>
      <c r="W82" s="74"/>
      <c r="X82" s="74"/>
      <c r="Y82" s="74"/>
      <c r="Z82" s="74"/>
    </row>
    <row r="83" ht="14.25" customHeight="1">
      <c r="A83" s="74"/>
      <c r="B83" s="74"/>
      <c r="C83" s="74"/>
      <c r="D83" s="74"/>
      <c r="E83" s="74"/>
      <c r="F83" s="422"/>
      <c r="G83" s="422"/>
      <c r="H83" s="423" t="s">
        <v>653</v>
      </c>
      <c r="I83" s="424" t="s">
        <v>648</v>
      </c>
      <c r="J83" s="425">
        <v>12.8217464</v>
      </c>
      <c r="K83" s="426">
        <v>33.8010604</v>
      </c>
      <c r="L83" s="394">
        <v>40.3592534</v>
      </c>
      <c r="M83" s="394">
        <v>40.0</v>
      </c>
      <c r="N83" s="74"/>
      <c r="O83" s="74"/>
      <c r="P83" s="74"/>
      <c r="Q83" s="74"/>
      <c r="R83" s="74"/>
      <c r="S83" s="74"/>
      <c r="T83" s="74"/>
      <c r="U83" s="74"/>
      <c r="V83" s="74"/>
      <c r="W83" s="74"/>
      <c r="X83" s="74"/>
      <c r="Y83" s="74"/>
      <c r="Z83" s="74"/>
    </row>
    <row r="84" ht="14.25" customHeight="1">
      <c r="A84" s="74"/>
      <c r="B84" s="74"/>
      <c r="C84" s="74"/>
      <c r="D84" s="74"/>
      <c r="E84" s="74"/>
      <c r="F84" s="422"/>
      <c r="G84" s="422"/>
      <c r="H84" s="399"/>
      <c r="I84" s="401" t="s">
        <v>643</v>
      </c>
      <c r="J84" s="298">
        <v>0.153769572</v>
      </c>
      <c r="K84" s="27"/>
      <c r="L84" s="27"/>
      <c r="M84" s="27"/>
      <c r="N84" s="74"/>
      <c r="O84" s="74"/>
      <c r="P84" s="74"/>
      <c r="Q84" s="74"/>
      <c r="R84" s="74"/>
      <c r="S84" s="74"/>
      <c r="T84" s="74"/>
      <c r="U84" s="74"/>
      <c r="V84" s="74"/>
      <c r="W84" s="74"/>
      <c r="X84" s="74"/>
      <c r="Y84" s="74"/>
      <c r="Z84" s="74"/>
    </row>
    <row r="85" ht="14.25" customHeight="1">
      <c r="A85" s="74"/>
      <c r="B85" s="74"/>
      <c r="C85" s="74"/>
      <c r="D85" s="74"/>
      <c r="E85" s="74"/>
      <c r="F85" s="422"/>
      <c r="G85" s="422"/>
      <c r="H85" s="399"/>
      <c r="I85" s="401" t="s">
        <v>649</v>
      </c>
      <c r="J85" s="298">
        <v>13.0821833</v>
      </c>
      <c r="K85" s="27"/>
      <c r="L85" s="27"/>
      <c r="M85" s="27"/>
      <c r="N85" s="74"/>
      <c r="O85" s="74"/>
      <c r="P85" s="74"/>
      <c r="Q85" s="74"/>
      <c r="R85" s="74"/>
      <c r="S85" s="74"/>
      <c r="T85" s="74"/>
      <c r="U85" s="74"/>
      <c r="V85" s="74"/>
      <c r="W85" s="74"/>
      <c r="X85" s="74"/>
      <c r="Y85" s="74"/>
      <c r="Z85" s="74"/>
    </row>
    <row r="86" ht="14.25" customHeight="1">
      <c r="A86" s="74"/>
      <c r="B86" s="74"/>
      <c r="C86" s="74"/>
      <c r="D86" s="74"/>
      <c r="E86" s="74"/>
      <c r="F86" s="422"/>
      <c r="G86" s="422"/>
      <c r="H86" s="399"/>
      <c r="I86" s="401" t="s">
        <v>650</v>
      </c>
      <c r="J86" s="298">
        <v>10.8458424</v>
      </c>
      <c r="K86" s="27"/>
      <c r="L86" s="27"/>
      <c r="M86" s="27"/>
      <c r="N86" s="74"/>
      <c r="O86" s="74"/>
      <c r="P86" s="74"/>
      <c r="Q86" s="74"/>
      <c r="R86" s="74"/>
      <c r="S86" s="74"/>
      <c r="T86" s="74"/>
      <c r="U86" s="74"/>
      <c r="V86" s="74"/>
      <c r="W86" s="74"/>
      <c r="X86" s="74"/>
      <c r="Y86" s="74"/>
      <c r="Z86" s="74"/>
    </row>
    <row r="87" ht="14.25" customHeight="1">
      <c r="A87" s="74"/>
      <c r="B87" s="74"/>
      <c r="C87" s="74"/>
      <c r="D87" s="74"/>
      <c r="E87" s="74"/>
      <c r="F87" s="422"/>
      <c r="G87" s="422"/>
      <c r="H87" s="399"/>
      <c r="I87" s="401" t="s">
        <v>644</v>
      </c>
      <c r="J87" s="298">
        <v>60.62500240000001</v>
      </c>
      <c r="K87" s="27"/>
      <c r="L87" s="27"/>
      <c r="M87" s="27"/>
      <c r="N87" s="74"/>
      <c r="O87" s="74"/>
      <c r="P87" s="74"/>
      <c r="Q87" s="74"/>
      <c r="R87" s="74"/>
      <c r="S87" s="74"/>
      <c r="T87" s="74"/>
      <c r="U87" s="74"/>
      <c r="V87" s="74"/>
      <c r="W87" s="74"/>
      <c r="X87" s="74"/>
      <c r="Y87" s="74"/>
      <c r="Z87" s="74"/>
    </row>
    <row r="88" ht="14.25" customHeight="1">
      <c r="A88" s="74"/>
      <c r="B88" s="74"/>
      <c r="C88" s="74"/>
      <c r="D88" s="74"/>
      <c r="E88" s="74"/>
      <c r="F88" s="74"/>
      <c r="G88" s="74"/>
      <c r="H88" s="409"/>
      <c r="I88" s="410" t="s">
        <v>651</v>
      </c>
      <c r="J88" s="411">
        <v>2.47028973</v>
      </c>
      <c r="K88" s="412"/>
      <c r="L88" s="33"/>
      <c r="M88" s="33"/>
      <c r="N88" s="74"/>
      <c r="O88" s="74"/>
      <c r="P88" s="74"/>
      <c r="Q88" s="74"/>
      <c r="R88" s="74"/>
      <c r="S88" s="74"/>
      <c r="T88" s="74"/>
      <c r="U88" s="74"/>
      <c r="V88" s="74"/>
      <c r="W88" s="74"/>
      <c r="X88" s="74"/>
      <c r="Y88" s="74"/>
      <c r="Z88" s="74"/>
    </row>
    <row r="89" ht="14.25" customHeight="1">
      <c r="A89" s="74"/>
      <c r="B89" s="74"/>
      <c r="C89" s="74"/>
      <c r="D89" s="74"/>
      <c r="E89" s="74"/>
      <c r="F89" s="74"/>
      <c r="G89" s="74"/>
      <c r="H89" s="427" t="s">
        <v>654</v>
      </c>
      <c r="I89" s="428" t="s">
        <v>643</v>
      </c>
      <c r="J89" s="429">
        <v>99.9899231</v>
      </c>
      <c r="K89" s="430">
        <v>88.9703895</v>
      </c>
      <c r="L89" s="402">
        <v>40.0</v>
      </c>
      <c r="M89" s="322">
        <v>1.02</v>
      </c>
      <c r="N89" s="74"/>
      <c r="O89" s="74"/>
      <c r="P89" s="74"/>
      <c r="Q89" s="74"/>
      <c r="R89" s="74"/>
      <c r="S89" s="74"/>
      <c r="T89" s="74"/>
      <c r="U89" s="74"/>
      <c r="V89" s="74"/>
      <c r="W89" s="74"/>
      <c r="X89" s="74"/>
      <c r="Y89" s="74"/>
      <c r="Z89" s="74"/>
    </row>
    <row r="90" ht="14.25" customHeight="1">
      <c r="A90" s="74"/>
      <c r="B90" s="74"/>
      <c r="C90" s="74"/>
      <c r="D90" s="74"/>
      <c r="E90" s="74"/>
      <c r="F90" s="74"/>
      <c r="G90" s="74"/>
      <c r="H90" s="423" t="s">
        <v>655</v>
      </c>
      <c r="I90" s="424" t="s">
        <v>643</v>
      </c>
      <c r="J90" s="425">
        <v>99.5815207</v>
      </c>
      <c r="K90" s="426">
        <v>22.448779</v>
      </c>
      <c r="L90" s="394">
        <v>40.0</v>
      </c>
      <c r="M90" s="395">
        <v>1.02</v>
      </c>
      <c r="N90" s="74"/>
      <c r="O90" s="74"/>
      <c r="P90" s="74"/>
      <c r="Q90" s="74"/>
      <c r="R90" s="74"/>
      <c r="S90" s="74"/>
      <c r="T90" s="74"/>
      <c r="U90" s="74"/>
      <c r="V90" s="74"/>
      <c r="W90" s="74"/>
      <c r="X90" s="74"/>
      <c r="Y90" s="74"/>
      <c r="Z90" s="74"/>
    </row>
    <row r="91" ht="14.25" customHeight="1">
      <c r="A91" s="74"/>
      <c r="B91" s="74"/>
      <c r="C91" s="74"/>
      <c r="D91" s="74"/>
      <c r="E91" s="74"/>
      <c r="F91" s="74"/>
      <c r="G91" s="74"/>
      <c r="H91" s="418"/>
      <c r="I91" s="419" t="s">
        <v>651</v>
      </c>
      <c r="J91" s="420">
        <v>0.417714414</v>
      </c>
      <c r="K91" s="412"/>
      <c r="L91" s="412"/>
      <c r="M91" s="412"/>
      <c r="N91" s="74"/>
      <c r="O91" s="74"/>
      <c r="P91" s="74"/>
      <c r="Q91" s="74"/>
      <c r="R91" s="74"/>
      <c r="S91" s="74"/>
      <c r="T91" s="74"/>
      <c r="U91" s="74"/>
      <c r="V91" s="74"/>
      <c r="W91" s="74"/>
      <c r="X91" s="74"/>
      <c r="Y91" s="74"/>
      <c r="Z91" s="74"/>
    </row>
    <row r="92" ht="14.2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4.25" customHeight="1">
      <c r="A93" s="74"/>
      <c r="B93" s="110" t="s">
        <v>122</v>
      </c>
      <c r="C93" s="117"/>
      <c r="D93" s="117"/>
      <c r="E93" s="117"/>
      <c r="F93" s="117"/>
      <c r="G93" s="117"/>
      <c r="H93" s="117"/>
      <c r="I93" s="117"/>
      <c r="J93" s="74"/>
      <c r="K93" s="74"/>
      <c r="L93" s="74"/>
      <c r="M93" s="74"/>
      <c r="N93" s="74"/>
      <c r="O93" s="74"/>
      <c r="P93" s="74"/>
      <c r="Q93" s="74"/>
      <c r="R93" s="74"/>
      <c r="S93" s="74"/>
      <c r="T93" s="74"/>
      <c r="U93" s="74"/>
      <c r="V93" s="74"/>
      <c r="W93" s="74"/>
      <c r="X93" s="74"/>
      <c r="Y93" s="74"/>
      <c r="Z93" s="74"/>
    </row>
    <row r="94" ht="14.25" customHeight="1">
      <c r="A94" s="74"/>
      <c r="B94" s="117"/>
      <c r="C94" s="117"/>
      <c r="D94" s="117"/>
      <c r="E94" s="117"/>
      <c r="F94" s="117"/>
      <c r="G94" s="117"/>
      <c r="H94" s="117"/>
      <c r="I94" s="117"/>
      <c r="J94" s="74"/>
      <c r="K94" s="74"/>
      <c r="L94" s="74"/>
      <c r="M94" s="74"/>
      <c r="N94" s="74"/>
      <c r="O94" s="74"/>
      <c r="P94" s="74"/>
      <c r="Q94" s="74"/>
      <c r="R94" s="74"/>
      <c r="S94" s="74"/>
      <c r="T94" s="74"/>
      <c r="U94" s="74"/>
      <c r="V94" s="74"/>
      <c r="W94" s="74"/>
      <c r="X94" s="74"/>
      <c r="Y94" s="74"/>
      <c r="Z94" s="74"/>
    </row>
    <row r="95" ht="14.25" customHeight="1">
      <c r="A95" s="74"/>
      <c r="B95" s="118" t="s">
        <v>3</v>
      </c>
      <c r="C95" s="118" t="s">
        <v>4</v>
      </c>
      <c r="D95" s="118" t="s">
        <v>124</v>
      </c>
      <c r="E95" s="142" t="s">
        <v>5</v>
      </c>
      <c r="F95" s="142" t="s">
        <v>125</v>
      </c>
      <c r="G95" s="143" t="s">
        <v>126</v>
      </c>
      <c r="H95" s="143" t="s">
        <v>127</v>
      </c>
      <c r="I95" s="144" t="s">
        <v>128</v>
      </c>
      <c r="J95" s="129"/>
      <c r="K95" s="138" t="s">
        <v>123</v>
      </c>
      <c r="L95" s="139"/>
      <c r="M95" s="140"/>
      <c r="N95" s="140"/>
      <c r="O95" s="140"/>
      <c r="P95" s="140"/>
      <c r="Q95" s="141"/>
      <c r="R95" s="74"/>
      <c r="S95" s="74"/>
      <c r="T95" s="74"/>
      <c r="U95" s="74"/>
      <c r="V95" s="74"/>
      <c r="W95" s="74"/>
      <c r="X95" s="74"/>
      <c r="Y95" s="74"/>
      <c r="Z95" s="74"/>
    </row>
    <row r="96" ht="14.25" customHeight="1">
      <c r="A96" s="74"/>
      <c r="B96" s="145" t="s">
        <v>8</v>
      </c>
      <c r="C96" s="207">
        <v>117.80371839999998</v>
      </c>
      <c r="D96" s="146">
        <v>53.0</v>
      </c>
      <c r="E96" s="146">
        <v>-57.4650384</v>
      </c>
      <c r="F96" s="146">
        <v>-26.0</v>
      </c>
      <c r="G96" s="146">
        <v>60.33867999999998</v>
      </c>
      <c r="H96" s="146">
        <f t="shared" ref="H96:H99" si="1">D96+F96</f>
        <v>27</v>
      </c>
      <c r="I96" s="147"/>
      <c r="J96" s="129"/>
      <c r="K96" s="118" t="s">
        <v>3</v>
      </c>
      <c r="L96" s="114" t="s">
        <v>129</v>
      </c>
      <c r="M96" s="121" t="s">
        <v>130</v>
      </c>
      <c r="N96" s="121" t="s">
        <v>131</v>
      </c>
      <c r="O96" s="121" t="s">
        <v>132</v>
      </c>
      <c r="P96" s="121" t="s">
        <v>133</v>
      </c>
      <c r="Q96" s="114" t="s">
        <v>134</v>
      </c>
      <c r="R96" s="74"/>
      <c r="S96" s="74"/>
      <c r="T96" s="74"/>
      <c r="U96" s="74"/>
      <c r="V96" s="74"/>
      <c r="W96" s="74"/>
      <c r="X96" s="74"/>
      <c r="Y96" s="74"/>
      <c r="Z96" s="74"/>
    </row>
    <row r="97" ht="14.25" customHeight="1">
      <c r="A97" s="74"/>
      <c r="B97" s="145" t="s">
        <v>10</v>
      </c>
      <c r="C97" s="207">
        <v>65.97133144</v>
      </c>
      <c r="D97" s="146">
        <v>33.0</v>
      </c>
      <c r="E97" s="146">
        <v>-209.56301528</v>
      </c>
      <c r="F97" s="146">
        <v>-104.0</v>
      </c>
      <c r="G97" s="146">
        <v>-143.59168384</v>
      </c>
      <c r="H97" s="146">
        <f t="shared" si="1"/>
        <v>-71</v>
      </c>
      <c r="I97" s="147" t="s">
        <v>297</v>
      </c>
      <c r="J97" s="129"/>
      <c r="K97" s="148" t="s">
        <v>136</v>
      </c>
      <c r="L97" s="149" t="s">
        <v>137</v>
      </c>
      <c r="M97" s="149" t="s">
        <v>137</v>
      </c>
      <c r="N97" s="149" t="s">
        <v>137</v>
      </c>
      <c r="O97" s="149" t="s">
        <v>137</v>
      </c>
      <c r="P97" s="149" t="s">
        <v>137</v>
      </c>
      <c r="Q97" s="149" t="s">
        <v>137</v>
      </c>
      <c r="R97" s="74"/>
      <c r="S97" s="74"/>
      <c r="T97" s="74"/>
      <c r="U97" s="74"/>
      <c r="V97" s="74"/>
      <c r="W97" s="74"/>
      <c r="X97" s="74"/>
      <c r="Y97" s="74"/>
      <c r="Z97" s="74"/>
    </row>
    <row r="98" ht="14.25" customHeight="1">
      <c r="A98" s="74"/>
      <c r="B98" s="145" t="s">
        <v>11</v>
      </c>
      <c r="C98" s="207">
        <v>0.0</v>
      </c>
      <c r="D98" s="146">
        <v>0.0</v>
      </c>
      <c r="E98" s="146">
        <v>-221.42489120000002</v>
      </c>
      <c r="F98" s="146">
        <v>-118.0</v>
      </c>
      <c r="G98" s="146">
        <v>-221.42489120000002</v>
      </c>
      <c r="H98" s="146">
        <f t="shared" si="1"/>
        <v>-118</v>
      </c>
      <c r="I98" s="147" t="s">
        <v>297</v>
      </c>
      <c r="J98" s="129"/>
      <c r="K98" s="150" t="s">
        <v>8</v>
      </c>
      <c r="L98" s="149">
        <v>155.0</v>
      </c>
      <c r="M98" s="149">
        <v>155.0</v>
      </c>
      <c r="N98" s="151">
        <v>5.5</v>
      </c>
      <c r="O98" s="151">
        <v>5.5</v>
      </c>
      <c r="P98" s="149">
        <v>2096.77163841359</v>
      </c>
      <c r="Q98" s="149" t="s">
        <v>138</v>
      </c>
      <c r="R98" s="74"/>
      <c r="S98" s="74"/>
      <c r="T98" s="74"/>
      <c r="U98" s="74"/>
      <c r="V98" s="74"/>
      <c r="W98" s="74"/>
      <c r="X98" s="74"/>
      <c r="Y98" s="74"/>
      <c r="Z98" s="74"/>
    </row>
    <row r="99" ht="14.25" customHeight="1">
      <c r="A99" s="74"/>
      <c r="B99" s="145" t="s">
        <v>12</v>
      </c>
      <c r="C99" s="207">
        <v>1291.53700848</v>
      </c>
      <c r="D99" s="146">
        <v>20583.9007025</v>
      </c>
      <c r="E99" s="146">
        <v>0.0</v>
      </c>
      <c r="F99" s="146">
        <v>0.0</v>
      </c>
      <c r="G99" s="146">
        <f t="shared" ref="G99:G100" si="2">C99</f>
        <v>1291.537008</v>
      </c>
      <c r="H99" s="146">
        <f t="shared" si="1"/>
        <v>20583.9007</v>
      </c>
      <c r="I99" s="147"/>
      <c r="J99" s="129"/>
      <c r="K99" s="118" t="s">
        <v>10</v>
      </c>
      <c r="L99" s="149">
        <v>214.0</v>
      </c>
      <c r="M99" s="149">
        <v>214.0</v>
      </c>
      <c r="N99" s="149">
        <v>21.0</v>
      </c>
      <c r="O99" s="149">
        <v>21.0</v>
      </c>
      <c r="P99" s="149">
        <v>1879.6128145344</v>
      </c>
      <c r="Q99" s="149" t="s">
        <v>138</v>
      </c>
      <c r="R99" s="74"/>
      <c r="S99" s="74"/>
      <c r="T99" s="74"/>
      <c r="U99" s="74"/>
      <c r="V99" s="74"/>
      <c r="W99" s="74"/>
      <c r="X99" s="74"/>
      <c r="Y99" s="74"/>
      <c r="Z99" s="74"/>
    </row>
    <row r="100" ht="14.25" customHeight="1">
      <c r="A100" s="74"/>
      <c r="B100" s="145" t="s">
        <v>34</v>
      </c>
      <c r="C100" s="207">
        <v>197.04455912736</v>
      </c>
      <c r="D100" s="156">
        <v>6842.0</v>
      </c>
      <c r="E100" s="146">
        <v>0.0</v>
      </c>
      <c r="F100" s="146">
        <v>0.0</v>
      </c>
      <c r="G100" s="146">
        <f t="shared" si="2"/>
        <v>197.0445591</v>
      </c>
      <c r="H100" s="152">
        <f>D100</f>
        <v>6842</v>
      </c>
      <c r="I100" s="147"/>
      <c r="J100" s="129"/>
      <c r="K100" s="118" t="s">
        <v>11</v>
      </c>
      <c r="L100" s="149">
        <v>265.0</v>
      </c>
      <c r="M100" s="149">
        <v>265.0</v>
      </c>
      <c r="N100" s="149">
        <v>51.0</v>
      </c>
      <c r="O100" s="149">
        <v>51.0</v>
      </c>
      <c r="P100" s="149">
        <v>1632.4494056856</v>
      </c>
      <c r="Q100" s="149" t="s">
        <v>138</v>
      </c>
      <c r="R100" s="74"/>
      <c r="S100" s="74"/>
      <c r="T100" s="74"/>
      <c r="U100" s="74"/>
      <c r="V100" s="74"/>
      <c r="W100" s="74"/>
      <c r="X100" s="74"/>
      <c r="Y100" s="74"/>
      <c r="Z100" s="74"/>
    </row>
    <row r="101" ht="14.25" customHeight="1">
      <c r="A101" s="74"/>
      <c r="B101" s="117"/>
      <c r="C101" s="117"/>
      <c r="D101" s="117"/>
      <c r="E101" s="117"/>
      <c r="F101" s="117"/>
      <c r="G101" s="225">
        <f t="shared" ref="G101:H101" si="3">SUM(G96:G100)</f>
        <v>1183.903673</v>
      </c>
      <c r="H101" s="225">
        <f t="shared" si="3"/>
        <v>27263.9007</v>
      </c>
      <c r="I101" s="117"/>
      <c r="J101" s="74"/>
      <c r="K101" s="118" t="s">
        <v>12</v>
      </c>
      <c r="L101" s="159">
        <v>25.0</v>
      </c>
      <c r="M101" s="159">
        <v>40.0</v>
      </c>
      <c r="N101" s="160">
        <v>1.02</v>
      </c>
      <c r="O101" s="160">
        <v>1.02</v>
      </c>
      <c r="P101" s="160">
        <f>62.74243314036/(M101-L101)</f>
        <v>4.182828876</v>
      </c>
      <c r="Q101" s="159" t="s">
        <v>143</v>
      </c>
      <c r="R101" s="74"/>
      <c r="S101" s="74"/>
      <c r="T101" s="74"/>
      <c r="U101" s="74"/>
      <c r="V101" s="74"/>
      <c r="W101" s="74"/>
      <c r="X101" s="74"/>
      <c r="Y101" s="74"/>
      <c r="Z101" s="74"/>
    </row>
    <row r="102" ht="14.25" customHeight="1">
      <c r="A102" s="74"/>
      <c r="B102" s="226" t="s">
        <v>158</v>
      </c>
      <c r="C102" s="227" t="s">
        <v>159</v>
      </c>
      <c r="D102" s="227">
        <v>94.0</v>
      </c>
      <c r="E102" s="227" t="s">
        <v>156</v>
      </c>
      <c r="F102" s="227">
        <v>3.201134</v>
      </c>
      <c r="G102" s="227" t="s">
        <v>153</v>
      </c>
      <c r="H102" s="229">
        <v>8765.82</v>
      </c>
      <c r="I102" s="230"/>
      <c r="J102" s="170"/>
      <c r="K102" s="431"/>
      <c r="L102" s="432"/>
      <c r="M102" s="433"/>
      <c r="N102" s="434"/>
      <c r="O102" s="435"/>
      <c r="P102" s="435"/>
      <c r="Q102" s="432"/>
      <c r="R102" s="74"/>
      <c r="S102" s="74"/>
      <c r="T102" s="74"/>
      <c r="U102" s="74"/>
      <c r="V102" s="74"/>
      <c r="W102" s="74"/>
      <c r="X102" s="74"/>
      <c r="Y102" s="74"/>
      <c r="Z102" s="74"/>
    </row>
    <row r="103" ht="14.25" customHeight="1">
      <c r="A103" s="74"/>
      <c r="B103" s="230"/>
      <c r="C103" s="230"/>
      <c r="D103" s="230"/>
      <c r="E103" s="230"/>
      <c r="F103" s="230"/>
      <c r="G103" s="230"/>
      <c r="H103" s="230"/>
      <c r="I103" s="230"/>
      <c r="J103" s="170"/>
      <c r="K103" s="431"/>
      <c r="L103" s="432"/>
      <c r="M103" s="433"/>
      <c r="N103" s="434"/>
      <c r="O103" s="435"/>
      <c r="P103" s="435"/>
      <c r="Q103" s="432"/>
      <c r="R103" s="74"/>
      <c r="S103" s="74"/>
      <c r="T103" s="74"/>
      <c r="U103" s="74"/>
      <c r="V103" s="74"/>
      <c r="W103" s="74"/>
      <c r="X103" s="74"/>
      <c r="Y103" s="74"/>
      <c r="Z103" s="74"/>
    </row>
    <row r="104" ht="14.25" customHeight="1">
      <c r="A104" s="74"/>
      <c r="B104" s="118" t="s">
        <v>3</v>
      </c>
      <c r="C104" s="118" t="s">
        <v>4</v>
      </c>
      <c r="D104" s="118" t="s">
        <v>124</v>
      </c>
      <c r="E104" s="142" t="s">
        <v>5</v>
      </c>
      <c r="F104" s="142" t="s">
        <v>125</v>
      </c>
      <c r="G104" s="143" t="s">
        <v>126</v>
      </c>
      <c r="H104" s="143" t="s">
        <v>127</v>
      </c>
      <c r="I104" s="144" t="s">
        <v>128</v>
      </c>
      <c r="J104" s="170"/>
      <c r="K104" s="431"/>
      <c r="L104" s="432"/>
      <c r="M104" s="433"/>
      <c r="N104" s="434"/>
      <c r="O104" s="435"/>
      <c r="P104" s="435"/>
      <c r="Q104" s="432"/>
      <c r="R104" s="74"/>
      <c r="S104" s="74"/>
      <c r="T104" s="74"/>
      <c r="U104" s="74"/>
      <c r="V104" s="74"/>
      <c r="W104" s="74"/>
      <c r="X104" s="74"/>
      <c r="Y104" s="74"/>
      <c r="Z104" s="74"/>
    </row>
    <row r="105" ht="14.25" customHeight="1">
      <c r="A105" s="74"/>
      <c r="B105" s="231" t="s">
        <v>8</v>
      </c>
      <c r="C105" s="436">
        <f t="shared" ref="C105:F105" si="4">C96*$F$102</f>
        <v>377.1054883</v>
      </c>
      <c r="D105" s="232">
        <f t="shared" si="4"/>
        <v>169.660102</v>
      </c>
      <c r="E105" s="178">
        <f t="shared" si="4"/>
        <v>-183.9532882</v>
      </c>
      <c r="F105" s="232">
        <f t="shared" si="4"/>
        <v>-83.229484</v>
      </c>
      <c r="G105" s="232">
        <f t="shared" ref="G105:H105" si="5">C105+E105</f>
        <v>193.1522001</v>
      </c>
      <c r="H105" s="232">
        <f t="shared" si="5"/>
        <v>86.430618</v>
      </c>
      <c r="I105" s="233"/>
      <c r="J105" s="170"/>
      <c r="K105" s="431"/>
      <c r="L105" s="432"/>
      <c r="M105" s="433"/>
      <c r="N105" s="434"/>
      <c r="O105" s="435"/>
      <c r="P105" s="435"/>
      <c r="Q105" s="432"/>
      <c r="R105" s="74"/>
      <c r="S105" s="74"/>
      <c r="T105" s="74"/>
      <c r="U105" s="74"/>
      <c r="V105" s="74"/>
      <c r="W105" s="74"/>
      <c r="X105" s="74"/>
      <c r="Y105" s="74"/>
      <c r="Z105" s="74"/>
    </row>
    <row r="106" ht="14.25" customHeight="1">
      <c r="A106" s="74"/>
      <c r="B106" s="231" t="s">
        <v>10</v>
      </c>
      <c r="C106" s="436">
        <f t="shared" ref="C106:F106" si="6">C97*$F$102</f>
        <v>211.1830721</v>
      </c>
      <c r="D106" s="232">
        <f t="shared" si="6"/>
        <v>105.637422</v>
      </c>
      <c r="E106" s="178">
        <f t="shared" si="6"/>
        <v>-670.8392934</v>
      </c>
      <c r="F106" s="232">
        <f t="shared" si="6"/>
        <v>-332.917936</v>
      </c>
      <c r="G106" s="232">
        <f t="shared" ref="G106:H106" si="7">C106+E106</f>
        <v>-459.6562213</v>
      </c>
      <c r="H106" s="232">
        <f t="shared" si="7"/>
        <v>-227.280514</v>
      </c>
      <c r="I106" s="233" t="s">
        <v>297</v>
      </c>
      <c r="J106" s="170"/>
      <c r="K106" s="431"/>
      <c r="L106" s="432"/>
      <c r="M106" s="433"/>
      <c r="N106" s="434"/>
      <c r="O106" s="435"/>
      <c r="P106" s="435"/>
      <c r="Q106" s="432"/>
      <c r="R106" s="74"/>
      <c r="S106" s="74"/>
      <c r="T106" s="74"/>
      <c r="U106" s="74"/>
      <c r="V106" s="74"/>
      <c r="W106" s="74"/>
      <c r="X106" s="74"/>
      <c r="Y106" s="74"/>
      <c r="Z106" s="74"/>
    </row>
    <row r="107" ht="14.25" customHeight="1">
      <c r="A107" s="74"/>
      <c r="B107" s="231" t="s">
        <v>11</v>
      </c>
      <c r="C107" s="436">
        <f t="shared" ref="C107:F107" si="8">C98*$F$102</f>
        <v>0</v>
      </c>
      <c r="D107" s="232">
        <f t="shared" si="8"/>
        <v>0</v>
      </c>
      <c r="E107" s="178">
        <f t="shared" si="8"/>
        <v>-708.8107477</v>
      </c>
      <c r="F107" s="232">
        <f t="shared" si="8"/>
        <v>-377.733812</v>
      </c>
      <c r="G107" s="232">
        <f t="shared" ref="G107:H107" si="9">C107+E107</f>
        <v>-708.8107477</v>
      </c>
      <c r="H107" s="232">
        <f t="shared" si="9"/>
        <v>-377.733812</v>
      </c>
      <c r="I107" s="233" t="s">
        <v>297</v>
      </c>
      <c r="J107" s="170"/>
      <c r="K107" s="431"/>
      <c r="L107" s="432"/>
      <c r="M107" s="433"/>
      <c r="N107" s="434"/>
      <c r="O107" s="435"/>
      <c r="P107" s="435"/>
      <c r="Q107" s="432"/>
      <c r="R107" s="74"/>
      <c r="S107" s="74"/>
      <c r="T107" s="74"/>
      <c r="U107" s="74"/>
      <c r="V107" s="74"/>
      <c r="W107" s="74"/>
      <c r="X107" s="74"/>
      <c r="Y107" s="74"/>
      <c r="Z107" s="74"/>
    </row>
    <row r="108" ht="14.25" customHeight="1">
      <c r="A108" s="74"/>
      <c r="B108" s="231" t="s">
        <v>12</v>
      </c>
      <c r="C108" s="436">
        <f t="shared" ref="C108:F108" si="10">C99*$F$102</f>
        <v>4134.38303</v>
      </c>
      <c r="D108" s="232">
        <f t="shared" si="10"/>
        <v>65891.82439</v>
      </c>
      <c r="E108" s="178">
        <f t="shared" si="10"/>
        <v>0</v>
      </c>
      <c r="F108" s="232">
        <f t="shared" si="10"/>
        <v>0</v>
      </c>
      <c r="G108" s="232">
        <f t="shared" ref="G108:H108" si="11">C108+E108</f>
        <v>4134.38303</v>
      </c>
      <c r="H108" s="232">
        <f t="shared" si="11"/>
        <v>65891.82439</v>
      </c>
      <c r="I108" s="233"/>
      <c r="J108" s="170"/>
      <c r="K108" s="431"/>
      <c r="L108" s="432"/>
      <c r="M108" s="433"/>
      <c r="N108" s="434"/>
      <c r="O108" s="435"/>
      <c r="P108" s="435"/>
      <c r="Q108" s="432"/>
      <c r="R108" s="74"/>
      <c r="S108" s="74"/>
      <c r="T108" s="74"/>
      <c r="U108" s="74"/>
      <c r="V108" s="74"/>
      <c r="W108" s="74"/>
      <c r="X108" s="74"/>
      <c r="Y108" s="74"/>
      <c r="Z108" s="74"/>
    </row>
    <row r="109" ht="14.25" customHeight="1">
      <c r="A109" s="74"/>
      <c r="B109" s="231" t="s">
        <v>34</v>
      </c>
      <c r="C109" s="437">
        <f t="shared" ref="C109:F109" si="12">C100*$F$102</f>
        <v>630.7660377</v>
      </c>
      <c r="D109" s="232">
        <f t="shared" si="12"/>
        <v>21902.15883</v>
      </c>
      <c r="E109" s="232">
        <f t="shared" si="12"/>
        <v>0</v>
      </c>
      <c r="F109" s="232">
        <f t="shared" si="12"/>
        <v>0</v>
      </c>
      <c r="G109" s="232">
        <f t="shared" ref="G109:H109" si="13">C109+E109</f>
        <v>630.7660377</v>
      </c>
      <c r="H109" s="232">
        <f t="shared" si="13"/>
        <v>21902.15883</v>
      </c>
      <c r="I109" s="234" t="s">
        <v>656</v>
      </c>
      <c r="J109" s="170"/>
      <c r="K109" s="431"/>
      <c r="L109" s="432"/>
      <c r="M109" s="433"/>
      <c r="N109" s="434"/>
      <c r="O109" s="435"/>
      <c r="P109" s="435"/>
      <c r="Q109" s="432"/>
      <c r="R109" s="74"/>
      <c r="S109" s="74"/>
      <c r="T109" s="74"/>
      <c r="U109" s="74"/>
      <c r="V109" s="74"/>
      <c r="W109" s="74"/>
      <c r="X109" s="74"/>
      <c r="Y109" s="74"/>
      <c r="Z109" s="74"/>
    </row>
    <row r="110" ht="14.25" customHeight="1">
      <c r="A110" s="74"/>
      <c r="B110" s="230"/>
      <c r="C110" s="230"/>
      <c r="D110" s="230"/>
      <c r="E110" s="230"/>
      <c r="F110" s="230"/>
      <c r="G110" s="235">
        <f t="shared" ref="G110:H110" si="14">SUM(G105:G109)</f>
        <v>3789.834299</v>
      </c>
      <c r="H110" s="235">
        <f t="shared" si="14"/>
        <v>87275.39951</v>
      </c>
      <c r="I110" s="230"/>
      <c r="J110" s="170"/>
      <c r="K110" s="431"/>
      <c r="L110" s="432"/>
      <c r="M110" s="433"/>
      <c r="N110" s="434"/>
      <c r="O110" s="435"/>
      <c r="P110" s="435"/>
      <c r="Q110" s="432"/>
      <c r="R110" s="74"/>
      <c r="S110" s="74"/>
      <c r="T110" s="74"/>
      <c r="U110" s="74"/>
      <c r="V110" s="74"/>
      <c r="W110" s="74"/>
      <c r="X110" s="74"/>
      <c r="Y110" s="74"/>
      <c r="Z110" s="74"/>
    </row>
    <row r="111" ht="14.25" customHeight="1">
      <c r="A111" s="74"/>
      <c r="B111" s="438"/>
      <c r="C111" s="439">
        <f>SUM(C105:C109)</f>
        <v>5353.437628</v>
      </c>
      <c r="D111" s="440"/>
      <c r="E111" s="441">
        <f>SUM(E105:E109)</f>
        <v>-1563.603329</v>
      </c>
      <c r="F111" s="440"/>
      <c r="G111" s="440"/>
      <c r="H111" s="440"/>
      <c r="I111" s="440"/>
      <c r="J111" s="170"/>
      <c r="K111" s="431"/>
      <c r="L111" s="432"/>
      <c r="M111" s="433"/>
      <c r="N111" s="434"/>
      <c r="O111" s="435"/>
      <c r="P111" s="435"/>
      <c r="Q111" s="432"/>
      <c r="R111" s="74"/>
      <c r="S111" s="74"/>
      <c r="T111" s="74"/>
      <c r="U111" s="74"/>
      <c r="V111" s="74"/>
      <c r="W111" s="74"/>
      <c r="X111" s="74"/>
      <c r="Y111" s="74"/>
      <c r="Z111" s="74"/>
    </row>
    <row r="112" ht="14.25" customHeight="1">
      <c r="A112" s="74"/>
      <c r="B112" s="438"/>
      <c r="C112" s="308"/>
      <c r="D112" s="440"/>
      <c r="E112" s="440"/>
      <c r="F112" s="440"/>
      <c r="G112" s="440"/>
      <c r="H112" s="440"/>
      <c r="I112" s="440"/>
      <c r="J112" s="170"/>
      <c r="K112" s="431"/>
      <c r="L112" s="432"/>
      <c r="M112" s="433"/>
      <c r="N112" s="434"/>
      <c r="O112" s="435"/>
      <c r="P112" s="435"/>
      <c r="Q112" s="432"/>
      <c r="R112" s="74"/>
      <c r="S112" s="74"/>
      <c r="T112" s="74"/>
      <c r="U112" s="74"/>
      <c r="V112" s="74"/>
      <c r="W112" s="74"/>
      <c r="X112" s="74"/>
      <c r="Y112" s="74"/>
      <c r="Z112" s="74"/>
    </row>
    <row r="113" ht="14.25" customHeight="1">
      <c r="A113" s="74"/>
      <c r="B113" s="442" t="s">
        <v>14</v>
      </c>
      <c r="C113" s="308"/>
      <c r="D113" s="443">
        <f>D109*H102</f>
        <v>191990381.9</v>
      </c>
      <c r="E113" s="440"/>
      <c r="F113" s="443">
        <f>F109*H102</f>
        <v>0</v>
      </c>
      <c r="G113" s="440"/>
      <c r="H113" s="440"/>
      <c r="I113" s="440"/>
      <c r="J113" s="170"/>
      <c r="K113" s="431"/>
      <c r="L113" s="432"/>
      <c r="M113" s="433"/>
      <c r="N113" s="434"/>
      <c r="O113" s="435"/>
      <c r="P113" s="435"/>
      <c r="Q113" s="432"/>
      <c r="R113" s="74"/>
      <c r="S113" s="74"/>
      <c r="T113" s="74"/>
      <c r="U113" s="74"/>
      <c r="V113" s="74"/>
      <c r="W113" s="74"/>
      <c r="X113" s="74"/>
      <c r="Y113" s="74"/>
      <c r="Z113" s="74"/>
    </row>
    <row r="114" ht="14.25" customHeight="1">
      <c r="A114" s="74"/>
      <c r="B114" s="444"/>
      <c r="C114" s="445"/>
      <c r="D114" s="446"/>
      <c r="E114" s="446"/>
      <c r="F114" s="446"/>
      <c r="G114" s="446"/>
      <c r="H114" s="446"/>
      <c r="I114" s="446"/>
      <c r="J114" s="170"/>
      <c r="K114" s="431"/>
      <c r="L114" s="432"/>
      <c r="M114" s="433"/>
      <c r="N114" s="434"/>
      <c r="O114" s="435"/>
      <c r="P114" s="435"/>
      <c r="Q114" s="432"/>
      <c r="R114" s="74"/>
      <c r="S114" s="74"/>
      <c r="T114" s="74"/>
      <c r="U114" s="74"/>
      <c r="V114" s="74"/>
      <c r="W114" s="74"/>
      <c r="X114" s="74"/>
      <c r="Y114" s="74"/>
      <c r="Z114" s="74"/>
    </row>
    <row r="115" ht="15.0" customHeight="1">
      <c r="A115" s="74"/>
      <c r="B115" s="447" t="s">
        <v>300</v>
      </c>
      <c r="C115" s="448"/>
      <c r="D115" s="449"/>
      <c r="E115" s="449"/>
      <c r="F115" s="449"/>
      <c r="G115" s="449"/>
      <c r="H115" s="449"/>
      <c r="I115" s="449"/>
      <c r="J115" s="449"/>
      <c r="K115" s="245"/>
      <c r="L115" s="245"/>
      <c r="M115" s="450" t="s">
        <v>657</v>
      </c>
      <c r="N115" s="451"/>
      <c r="O115" s="74"/>
      <c r="P115" s="74"/>
      <c r="Q115" s="74"/>
      <c r="R115" s="74"/>
      <c r="S115" s="74"/>
      <c r="T115" s="74"/>
      <c r="U115" s="74"/>
      <c r="V115" s="74"/>
      <c r="W115" s="74"/>
      <c r="X115" s="74"/>
      <c r="Y115" s="74"/>
      <c r="Z115" s="74"/>
    </row>
    <row r="116" ht="15.0" customHeight="1">
      <c r="A116" s="74"/>
      <c r="B116" s="452" t="s">
        <v>658</v>
      </c>
      <c r="C116" s="245"/>
      <c r="D116" s="245"/>
      <c r="E116" s="245"/>
      <c r="F116" s="245"/>
      <c r="G116" s="245"/>
      <c r="H116" s="245"/>
      <c r="I116" s="318" t="s">
        <v>34</v>
      </c>
      <c r="J116" s="245"/>
      <c r="K116" s="245"/>
      <c r="L116" s="245"/>
      <c r="M116" s="245"/>
      <c r="N116" s="453"/>
      <c r="O116" s="74"/>
      <c r="P116" s="74"/>
      <c r="Q116" s="74"/>
      <c r="R116" s="74"/>
      <c r="S116" s="74"/>
      <c r="T116" s="74"/>
      <c r="U116" s="74"/>
      <c r="V116" s="74"/>
      <c r="W116" s="74"/>
      <c r="X116" s="74"/>
      <c r="Y116" s="74"/>
      <c r="Z116" s="74"/>
    </row>
    <row r="117" ht="15.0" customHeight="1">
      <c r="A117" s="74"/>
      <c r="B117" s="454" t="s">
        <v>301</v>
      </c>
      <c r="C117" s="246" t="s">
        <v>302</v>
      </c>
      <c r="D117" s="246" t="s">
        <v>303</v>
      </c>
      <c r="E117" s="246" t="s">
        <v>304</v>
      </c>
      <c r="F117" s="246" t="s">
        <v>305</v>
      </c>
      <c r="G117" s="246" t="s">
        <v>146</v>
      </c>
      <c r="H117" s="245"/>
      <c r="I117" s="246" t="s">
        <v>301</v>
      </c>
      <c r="J117" s="246" t="s">
        <v>302</v>
      </c>
      <c r="K117" s="246" t="s">
        <v>306</v>
      </c>
      <c r="L117" s="263" t="s">
        <v>307</v>
      </c>
      <c r="M117" s="263" t="s">
        <v>308</v>
      </c>
      <c r="N117" s="455" t="s">
        <v>146</v>
      </c>
      <c r="O117" s="74"/>
      <c r="P117" s="74"/>
      <c r="Q117" s="74"/>
      <c r="R117" s="74"/>
      <c r="S117" s="74"/>
      <c r="T117" s="74"/>
      <c r="U117" s="74"/>
      <c r="V117" s="74"/>
      <c r="W117" s="74"/>
      <c r="X117" s="74"/>
      <c r="Y117" s="74"/>
      <c r="Z117" s="74"/>
    </row>
    <row r="118" ht="15.0" customHeight="1">
      <c r="A118" s="74"/>
      <c r="B118" s="456" t="s">
        <v>659</v>
      </c>
      <c r="C118" s="321" t="s">
        <v>660</v>
      </c>
      <c r="D118" s="402">
        <v>35803.5333</v>
      </c>
      <c r="E118" s="402">
        <v>286.0</v>
      </c>
      <c r="F118" s="402">
        <v>128.886278</v>
      </c>
      <c r="G118" s="321" t="s">
        <v>137</v>
      </c>
      <c r="H118" s="245"/>
      <c r="I118" s="321" t="s">
        <v>661</v>
      </c>
      <c r="J118" s="321" t="s">
        <v>662</v>
      </c>
      <c r="K118" s="402">
        <v>1250.40399</v>
      </c>
      <c r="L118" s="402">
        <v>10.00323192</v>
      </c>
      <c r="M118" s="402">
        <v>36.011634912</v>
      </c>
      <c r="N118" s="457" t="s">
        <v>137</v>
      </c>
      <c r="O118" s="74"/>
      <c r="P118" s="74"/>
      <c r="Q118" s="74"/>
      <c r="R118" s="74"/>
      <c r="S118" s="74"/>
      <c r="T118" s="74"/>
      <c r="U118" s="74"/>
      <c r="V118" s="74"/>
      <c r="W118" s="74"/>
      <c r="X118" s="74"/>
      <c r="Y118" s="74"/>
      <c r="Z118" s="74"/>
    </row>
    <row r="119" ht="15.0" customHeight="1">
      <c r="A119" s="74"/>
      <c r="B119" s="456"/>
      <c r="C119" s="458"/>
      <c r="D119" s="402"/>
      <c r="E119" s="402"/>
      <c r="F119" s="402"/>
      <c r="G119" s="321"/>
      <c r="H119" s="245"/>
      <c r="I119" s="321" t="s">
        <v>663</v>
      </c>
      <c r="J119" s="321" t="s">
        <v>664</v>
      </c>
      <c r="K119" s="402">
        <v>2357.06965</v>
      </c>
      <c r="L119" s="402">
        <v>18.8565572</v>
      </c>
      <c r="M119" s="402">
        <v>67.88360592</v>
      </c>
      <c r="N119" s="457" t="s">
        <v>137</v>
      </c>
      <c r="O119" s="74"/>
      <c r="P119" s="74"/>
      <c r="Q119" s="74"/>
      <c r="R119" s="74"/>
      <c r="S119" s="74"/>
      <c r="T119" s="74"/>
      <c r="U119" s="74"/>
      <c r="V119" s="74"/>
      <c r="W119" s="74"/>
      <c r="X119" s="74"/>
      <c r="Y119" s="74"/>
      <c r="Z119" s="74"/>
    </row>
    <row r="120" ht="15.0" customHeight="1">
      <c r="A120" s="74"/>
      <c r="B120" s="459"/>
      <c r="C120" s="245"/>
      <c r="D120" s="245"/>
      <c r="E120" s="245"/>
      <c r="F120" s="245"/>
      <c r="G120" s="245"/>
      <c r="H120" s="245"/>
      <c r="I120" s="321" t="s">
        <v>665</v>
      </c>
      <c r="J120" s="321" t="s">
        <v>666</v>
      </c>
      <c r="K120" s="402">
        <v>486.284184</v>
      </c>
      <c r="L120" s="402">
        <v>3.890273472</v>
      </c>
      <c r="M120" s="402">
        <v>14.0049844992</v>
      </c>
      <c r="N120" s="457"/>
      <c r="O120" s="74"/>
      <c r="P120" s="74"/>
      <c r="Q120" s="74"/>
      <c r="R120" s="74"/>
      <c r="S120" s="74"/>
      <c r="T120" s="74"/>
      <c r="U120" s="74"/>
      <c r="V120" s="74"/>
      <c r="W120" s="74"/>
      <c r="X120" s="74"/>
      <c r="Y120" s="74"/>
      <c r="Z120" s="74"/>
    </row>
    <row r="121" ht="15.0" customHeight="1">
      <c r="A121" s="74"/>
      <c r="B121" s="452" t="s">
        <v>8</v>
      </c>
      <c r="C121" s="245"/>
      <c r="D121" s="245"/>
      <c r="E121" s="245"/>
      <c r="F121" s="245"/>
      <c r="G121" s="245"/>
      <c r="H121" s="245"/>
      <c r="I121" s="321" t="s">
        <v>667</v>
      </c>
      <c r="J121" s="321" t="s">
        <v>668</v>
      </c>
      <c r="K121" s="402">
        <v>2727.96536</v>
      </c>
      <c r="L121" s="402">
        <v>21.82372288</v>
      </c>
      <c r="M121" s="402">
        <v>78.56540236800001</v>
      </c>
      <c r="N121" s="457" t="s">
        <v>137</v>
      </c>
      <c r="O121" s="74"/>
      <c r="P121" s="74"/>
      <c r="Q121" s="74"/>
      <c r="R121" s="74"/>
      <c r="S121" s="74"/>
      <c r="T121" s="74"/>
      <c r="U121" s="74"/>
      <c r="V121" s="74"/>
      <c r="W121" s="74"/>
      <c r="X121" s="74"/>
      <c r="Y121" s="74"/>
      <c r="Z121" s="74"/>
    </row>
    <row r="122" ht="15.0" customHeight="1">
      <c r="A122" s="74"/>
      <c r="B122" s="454" t="s">
        <v>301</v>
      </c>
      <c r="C122" s="246" t="s">
        <v>302</v>
      </c>
      <c r="D122" s="246" t="s">
        <v>303</v>
      </c>
      <c r="E122" s="246" t="s">
        <v>304</v>
      </c>
      <c r="F122" s="246" t="s">
        <v>305</v>
      </c>
      <c r="G122" s="246" t="s">
        <v>146</v>
      </c>
      <c r="H122" s="245"/>
      <c r="I122" s="321" t="s">
        <v>669</v>
      </c>
      <c r="J122" s="321" t="s">
        <v>670</v>
      </c>
      <c r="K122" s="402">
        <v>20.1017857</v>
      </c>
      <c r="L122" s="460">
        <v>0.1608142856</v>
      </c>
      <c r="M122" s="460">
        <v>0.57893142816</v>
      </c>
      <c r="N122" s="457"/>
      <c r="O122" s="74"/>
      <c r="P122" s="74"/>
      <c r="Q122" s="74"/>
      <c r="R122" s="74"/>
      <c r="S122" s="74"/>
      <c r="T122" s="74"/>
      <c r="U122" s="74"/>
      <c r="V122" s="74"/>
      <c r="W122" s="74"/>
      <c r="X122" s="74"/>
      <c r="Y122" s="74"/>
      <c r="Z122" s="74"/>
    </row>
    <row r="123" ht="15.0" customHeight="1">
      <c r="A123" s="74"/>
      <c r="B123" s="461" t="s">
        <v>671</v>
      </c>
      <c r="C123" s="462" t="s">
        <v>672</v>
      </c>
      <c r="D123" s="463">
        <v>14725.4648</v>
      </c>
      <c r="E123" s="463">
        <v>118.0</v>
      </c>
      <c r="F123" s="463">
        <v>52.7299045</v>
      </c>
      <c r="G123" s="247"/>
      <c r="H123" s="245"/>
      <c r="I123" s="245"/>
      <c r="J123" s="245"/>
      <c r="K123" s="261">
        <f>SUM(K118:K122)</f>
        <v>6841.82497</v>
      </c>
      <c r="L123" s="245"/>
      <c r="M123" s="245"/>
      <c r="N123" s="453"/>
      <c r="O123" s="74"/>
      <c r="P123" s="74"/>
      <c r="Q123" s="74"/>
      <c r="R123" s="74"/>
      <c r="S123" s="74"/>
      <c r="T123" s="74"/>
      <c r="U123" s="74"/>
      <c r="V123" s="74"/>
      <c r="W123" s="74"/>
      <c r="X123" s="74"/>
      <c r="Y123" s="74"/>
      <c r="Z123" s="74"/>
    </row>
    <row r="124" ht="15.0" customHeight="1">
      <c r="A124" s="74"/>
      <c r="B124" s="464" t="s">
        <v>673</v>
      </c>
      <c r="C124" s="462" t="s">
        <v>674</v>
      </c>
      <c r="D124" s="463">
        <v>-7183.1298</v>
      </c>
      <c r="E124" s="463">
        <v>-57.0</v>
      </c>
      <c r="F124" s="463">
        <v>-25.7218195</v>
      </c>
      <c r="G124" s="247"/>
      <c r="H124" s="245"/>
      <c r="I124" s="318" t="s">
        <v>675</v>
      </c>
      <c r="J124" s="245"/>
      <c r="K124" s="245"/>
      <c r="L124" s="245"/>
      <c r="M124" s="245"/>
      <c r="N124" s="453"/>
      <c r="O124" s="74"/>
      <c r="P124" s="74"/>
      <c r="Q124" s="74"/>
      <c r="R124" s="74"/>
      <c r="S124" s="74"/>
      <c r="T124" s="74"/>
      <c r="U124" s="74"/>
      <c r="V124" s="74"/>
      <c r="W124" s="74"/>
      <c r="X124" s="74"/>
      <c r="Y124" s="74"/>
      <c r="Z124" s="74"/>
    </row>
    <row r="125" ht="15.0" customHeight="1">
      <c r="A125" s="74"/>
      <c r="B125" s="465"/>
      <c r="C125" s="247"/>
      <c r="D125" s="247"/>
      <c r="E125" s="247"/>
      <c r="F125" s="247"/>
      <c r="G125" s="247"/>
      <c r="H125" s="245"/>
      <c r="I125" s="246" t="s">
        <v>301</v>
      </c>
      <c r="J125" s="246" t="s">
        <v>302</v>
      </c>
      <c r="K125" s="246" t="s">
        <v>303</v>
      </c>
      <c r="L125" s="246" t="s">
        <v>304</v>
      </c>
      <c r="M125" s="246" t="s">
        <v>305</v>
      </c>
      <c r="N125" s="455" t="s">
        <v>146</v>
      </c>
      <c r="O125" s="74"/>
      <c r="P125" s="74"/>
      <c r="Q125" s="74"/>
      <c r="R125" s="74"/>
      <c r="S125" s="74"/>
      <c r="T125" s="74"/>
      <c r="U125" s="74"/>
      <c r="V125" s="74"/>
      <c r="W125" s="74"/>
      <c r="X125" s="74"/>
      <c r="Y125" s="74"/>
      <c r="Z125" s="74"/>
    </row>
    <row r="126" ht="15.0" customHeight="1">
      <c r="A126" s="74"/>
      <c r="B126" s="459"/>
      <c r="C126" s="245"/>
      <c r="D126" s="245"/>
      <c r="E126" s="245"/>
      <c r="F126" s="261">
        <f>SUM(F123:F124)</f>
        <v>27.008085</v>
      </c>
      <c r="G126" s="245"/>
      <c r="H126" s="245"/>
      <c r="I126" s="246"/>
      <c r="J126" s="246"/>
      <c r="K126" s="246"/>
      <c r="L126" s="246"/>
      <c r="M126" s="246"/>
      <c r="N126" s="455"/>
      <c r="O126" s="74"/>
      <c r="P126" s="74"/>
      <c r="Q126" s="74"/>
      <c r="R126" s="74"/>
      <c r="S126" s="74"/>
      <c r="T126" s="74"/>
      <c r="U126" s="74"/>
      <c r="V126" s="74"/>
      <c r="W126" s="74"/>
      <c r="X126" s="74"/>
      <c r="Y126" s="74"/>
      <c r="Z126" s="74"/>
    </row>
    <row r="127" ht="15.0" customHeight="1">
      <c r="A127" s="74"/>
      <c r="B127" s="452" t="s">
        <v>10</v>
      </c>
      <c r="C127" s="245"/>
      <c r="D127" s="245"/>
      <c r="E127" s="245"/>
      <c r="F127" s="245"/>
      <c r="G127" s="245"/>
      <c r="H127" s="245"/>
      <c r="I127" s="462" t="s">
        <v>676</v>
      </c>
      <c r="J127" s="462" t="s">
        <v>677</v>
      </c>
      <c r="K127" s="247" t="s">
        <v>137</v>
      </c>
      <c r="L127" s="463">
        <f>((N98*60*60)*(M127*1000*1000))/(10^9)</f>
        <v>633.272112</v>
      </c>
      <c r="M127" s="463">
        <v>31.98344</v>
      </c>
      <c r="N127" s="457" t="s">
        <v>137</v>
      </c>
      <c r="O127" s="74"/>
      <c r="P127" s="74"/>
      <c r="Q127" s="74"/>
      <c r="R127" s="74"/>
      <c r="S127" s="74"/>
      <c r="T127" s="74"/>
      <c r="U127" s="74"/>
      <c r="V127" s="74"/>
      <c r="W127" s="74"/>
      <c r="X127" s="74"/>
      <c r="Y127" s="74"/>
      <c r="Z127" s="74"/>
    </row>
    <row r="128" ht="15.0" customHeight="1">
      <c r="A128" s="74"/>
      <c r="B128" s="454" t="s">
        <v>301</v>
      </c>
      <c r="C128" s="246" t="s">
        <v>302</v>
      </c>
      <c r="D128" s="246" t="s">
        <v>303</v>
      </c>
      <c r="E128" s="246" t="s">
        <v>304</v>
      </c>
      <c r="F128" s="246" t="s">
        <v>305</v>
      </c>
      <c r="G128" s="246" t="s">
        <v>146</v>
      </c>
      <c r="H128" s="245"/>
      <c r="I128" s="247" t="s">
        <v>137</v>
      </c>
      <c r="J128" s="247" t="s">
        <v>137</v>
      </c>
      <c r="K128" s="247" t="s">
        <v>137</v>
      </c>
      <c r="L128" s="247" t="s">
        <v>137</v>
      </c>
      <c r="M128" s="247" t="s">
        <v>137</v>
      </c>
      <c r="N128" s="457" t="s">
        <v>137</v>
      </c>
      <c r="O128" s="74"/>
      <c r="P128" s="74"/>
      <c r="Q128" s="74"/>
      <c r="R128" s="74"/>
      <c r="S128" s="74"/>
      <c r="T128" s="74"/>
      <c r="U128" s="74"/>
      <c r="V128" s="74"/>
      <c r="W128" s="74"/>
      <c r="X128" s="74"/>
      <c r="Y128" s="74"/>
      <c r="Z128" s="74"/>
    </row>
    <row r="129" ht="15.0" customHeight="1">
      <c r="A129" s="74"/>
      <c r="B129" s="466" t="s">
        <v>678</v>
      </c>
      <c r="C129" s="344"/>
      <c r="D129" s="467">
        <v>8246.41643</v>
      </c>
      <c r="E129" s="467">
        <v>65.97133144</v>
      </c>
      <c r="F129" s="467">
        <v>33.1141971</v>
      </c>
      <c r="G129" s="467"/>
      <c r="H129" s="245"/>
      <c r="I129" s="247" t="s">
        <v>137</v>
      </c>
      <c r="J129" s="247" t="s">
        <v>137</v>
      </c>
      <c r="K129" s="247" t="s">
        <v>137</v>
      </c>
      <c r="L129" s="247" t="s">
        <v>137</v>
      </c>
      <c r="M129" s="247" t="s">
        <v>137</v>
      </c>
      <c r="N129" s="457" t="s">
        <v>137</v>
      </c>
      <c r="O129" s="74"/>
      <c r="P129" s="74"/>
      <c r="Q129" s="74"/>
      <c r="R129" s="74"/>
      <c r="S129" s="74"/>
      <c r="T129" s="74"/>
      <c r="U129" s="74"/>
      <c r="V129" s="74"/>
      <c r="W129" s="74"/>
      <c r="X129" s="74"/>
      <c r="Y129" s="74"/>
      <c r="Z129" s="74"/>
    </row>
    <row r="130" ht="15.0" customHeight="1">
      <c r="A130" s="74"/>
      <c r="B130" s="466" t="s">
        <v>679</v>
      </c>
      <c r="C130" s="344"/>
      <c r="D130" s="467">
        <v>-5907.81471</v>
      </c>
      <c r="E130" s="467">
        <v>-47.262517679999995</v>
      </c>
      <c r="F130" s="467">
        <v>-23.72334</v>
      </c>
      <c r="G130" s="467"/>
      <c r="H130" s="245"/>
      <c r="I130" s="245"/>
      <c r="J130" s="245"/>
      <c r="K130" s="245"/>
      <c r="L130" s="245"/>
      <c r="M130" s="245"/>
      <c r="N130" s="453"/>
      <c r="O130" s="74"/>
      <c r="P130" s="74"/>
      <c r="Q130" s="74"/>
      <c r="R130" s="74"/>
      <c r="S130" s="74"/>
      <c r="T130" s="74"/>
      <c r="U130" s="74"/>
      <c r="V130" s="74"/>
      <c r="W130" s="74"/>
      <c r="X130" s="74"/>
      <c r="Y130" s="74"/>
      <c r="Z130" s="74"/>
    </row>
    <row r="131" ht="15.0" customHeight="1">
      <c r="A131" s="74"/>
      <c r="B131" s="466" t="s">
        <v>680</v>
      </c>
      <c r="C131" s="344"/>
      <c r="D131" s="467">
        <v>-20287.5622</v>
      </c>
      <c r="E131" s="467">
        <v>-162.3004976</v>
      </c>
      <c r="F131" s="467">
        <v>-80.16652</v>
      </c>
      <c r="G131" s="467"/>
      <c r="H131" s="245"/>
      <c r="I131" s="318" t="s">
        <v>12</v>
      </c>
      <c r="J131" s="245"/>
      <c r="K131" s="245"/>
      <c r="L131" s="245"/>
      <c r="M131" s="245"/>
      <c r="N131" s="453"/>
      <c r="O131" s="74"/>
      <c r="P131" s="74"/>
      <c r="Q131" s="74"/>
      <c r="R131" s="74"/>
      <c r="S131" s="74"/>
      <c r="T131" s="74"/>
      <c r="U131" s="74"/>
      <c r="V131" s="74"/>
      <c r="W131" s="74"/>
      <c r="X131" s="74"/>
      <c r="Y131" s="74"/>
      <c r="Z131" s="74"/>
    </row>
    <row r="132" ht="15.0" customHeight="1">
      <c r="A132" s="74"/>
      <c r="B132" s="459"/>
      <c r="C132" s="245"/>
      <c r="D132" s="245"/>
      <c r="E132" s="245"/>
      <c r="F132" s="261">
        <f>SUM(F129:F131)</f>
        <v>-70.7756629</v>
      </c>
      <c r="G132" s="245"/>
      <c r="H132" s="245"/>
      <c r="I132" s="246" t="s">
        <v>301</v>
      </c>
      <c r="J132" s="246" t="s">
        <v>302</v>
      </c>
      <c r="K132" s="246" t="s">
        <v>303</v>
      </c>
      <c r="L132" s="246" t="s">
        <v>304</v>
      </c>
      <c r="M132" s="246" t="s">
        <v>305</v>
      </c>
      <c r="N132" s="455" t="s">
        <v>146</v>
      </c>
      <c r="O132" s="74"/>
      <c r="P132" s="74"/>
      <c r="Q132" s="74"/>
      <c r="R132" s="74"/>
      <c r="S132" s="74"/>
      <c r="T132" s="74"/>
      <c r="U132" s="74"/>
      <c r="V132" s="74"/>
      <c r="W132" s="74"/>
      <c r="X132" s="74"/>
      <c r="Y132" s="74"/>
      <c r="Z132" s="74"/>
    </row>
    <row r="133" ht="15.0" customHeight="1">
      <c r="A133" s="74"/>
      <c r="B133" s="452" t="s">
        <v>11</v>
      </c>
      <c r="C133" s="245"/>
      <c r="D133" s="245"/>
      <c r="E133" s="245"/>
      <c r="F133" s="245"/>
      <c r="G133" s="245"/>
      <c r="H133" s="245"/>
      <c r="I133" s="321" t="s">
        <v>661</v>
      </c>
      <c r="J133" s="468" t="s">
        <v>681</v>
      </c>
      <c r="K133" s="402">
        <v>3134.5999</v>
      </c>
      <c r="L133" s="402">
        <v>25.0767992</v>
      </c>
      <c r="M133" s="402">
        <v>399.661572</v>
      </c>
      <c r="N133" s="457" t="s">
        <v>137</v>
      </c>
      <c r="O133" s="74"/>
      <c r="P133" s="74"/>
      <c r="Q133" s="74"/>
      <c r="R133" s="74"/>
      <c r="S133" s="74"/>
      <c r="T133" s="74"/>
      <c r="U133" s="74"/>
      <c r="V133" s="74"/>
      <c r="W133" s="74"/>
      <c r="X133" s="74"/>
      <c r="Y133" s="74"/>
      <c r="Z133" s="74"/>
    </row>
    <row r="134" ht="15.0" customHeight="1">
      <c r="A134" s="74"/>
      <c r="B134" s="454" t="s">
        <v>301</v>
      </c>
      <c r="C134" s="246" t="s">
        <v>302</v>
      </c>
      <c r="D134" s="246" t="s">
        <v>303</v>
      </c>
      <c r="E134" s="246" t="s">
        <v>304</v>
      </c>
      <c r="F134" s="246" t="s">
        <v>305</v>
      </c>
      <c r="G134" s="246" t="s">
        <v>146</v>
      </c>
      <c r="H134" s="245"/>
      <c r="I134" s="321" t="s">
        <v>663</v>
      </c>
      <c r="J134" s="468" t="s">
        <v>664</v>
      </c>
      <c r="K134" s="402">
        <v>4621.45443</v>
      </c>
      <c r="L134" s="402">
        <v>36.97163544</v>
      </c>
      <c r="M134" s="402">
        <v>589.235566</v>
      </c>
      <c r="N134" s="469" t="s">
        <v>137</v>
      </c>
      <c r="O134" s="74"/>
      <c r="P134" s="74"/>
      <c r="Q134" s="74"/>
      <c r="R134" s="74"/>
      <c r="S134" s="74"/>
      <c r="T134" s="74"/>
      <c r="U134" s="74"/>
      <c r="V134" s="74"/>
      <c r="W134" s="74"/>
      <c r="X134" s="74"/>
      <c r="Y134" s="74"/>
      <c r="Z134" s="74"/>
    </row>
    <row r="135" ht="15.0" customHeight="1">
      <c r="A135" s="74"/>
      <c r="B135" s="461" t="s">
        <v>682</v>
      </c>
      <c r="C135" s="462" t="s">
        <v>683</v>
      </c>
      <c r="D135" s="470">
        <f>-27678.1114</f>
        <v>-27678.1114</v>
      </c>
      <c r="E135" s="463" t="str">
        <f>D135*'[5]Inputs and assumptions'!$E$13/1000000</f>
        <v>#REF!</v>
      </c>
      <c r="F135" s="463">
        <v>-118.254172</v>
      </c>
      <c r="G135" s="247" t="s">
        <v>137</v>
      </c>
      <c r="H135" s="245"/>
      <c r="I135" s="321" t="s">
        <v>665</v>
      </c>
      <c r="J135" s="468" t="s">
        <v>666</v>
      </c>
      <c r="K135" s="402">
        <v>1475.47261</v>
      </c>
      <c r="L135" s="402">
        <v>11.80378088</v>
      </c>
      <c r="M135" s="402">
        <v>188.122797</v>
      </c>
      <c r="N135" s="469"/>
      <c r="O135" s="74"/>
      <c r="P135" s="74"/>
      <c r="Q135" s="74"/>
      <c r="R135" s="74"/>
      <c r="S135" s="74"/>
      <c r="T135" s="74"/>
      <c r="U135" s="74"/>
      <c r="V135" s="74"/>
      <c r="W135" s="74"/>
      <c r="X135" s="74"/>
      <c r="Y135" s="74"/>
      <c r="Z135" s="74"/>
    </row>
    <row r="136" ht="15.0" customHeight="1">
      <c r="A136" s="74"/>
      <c r="B136" s="465" t="s">
        <v>137</v>
      </c>
      <c r="C136" s="247" t="s">
        <v>137</v>
      </c>
      <c r="D136" s="247" t="s">
        <v>137</v>
      </c>
      <c r="E136" s="247" t="s">
        <v>137</v>
      </c>
      <c r="F136" s="247" t="s">
        <v>137</v>
      </c>
      <c r="G136" s="247" t="s">
        <v>137</v>
      </c>
      <c r="H136" s="245"/>
      <c r="I136" s="321" t="s">
        <v>684</v>
      </c>
      <c r="J136" s="468" t="s">
        <v>685</v>
      </c>
      <c r="K136" s="402">
        <v>39542.8139</v>
      </c>
      <c r="L136" s="402">
        <v>316.3425112</v>
      </c>
      <c r="M136" s="402">
        <v>5041.70984</v>
      </c>
      <c r="N136" s="457" t="s">
        <v>137</v>
      </c>
      <c r="O136" s="74"/>
      <c r="P136" s="74"/>
      <c r="Q136" s="74"/>
      <c r="R136" s="74"/>
      <c r="S136" s="74"/>
      <c r="T136" s="74"/>
      <c r="U136" s="74"/>
      <c r="V136" s="74"/>
      <c r="W136" s="74"/>
      <c r="X136" s="74"/>
      <c r="Y136" s="74"/>
      <c r="Z136" s="74"/>
    </row>
    <row r="137" ht="15.0" customHeight="1">
      <c r="A137" s="74"/>
      <c r="B137" s="459"/>
      <c r="C137" s="245"/>
      <c r="D137" s="245"/>
      <c r="E137" s="245"/>
      <c r="F137" s="245"/>
      <c r="G137" s="245"/>
      <c r="H137" s="245"/>
      <c r="I137" s="321" t="s">
        <v>686</v>
      </c>
      <c r="J137" s="468" t="s">
        <v>687</v>
      </c>
      <c r="K137" s="402">
        <v>45965.6397</v>
      </c>
      <c r="L137" s="402">
        <v>367.7251176</v>
      </c>
      <c r="M137" s="402">
        <v>5860.62031</v>
      </c>
      <c r="N137" s="457" t="s">
        <v>137</v>
      </c>
      <c r="O137" s="74"/>
      <c r="P137" s="74"/>
      <c r="Q137" s="74"/>
      <c r="R137" s="74"/>
      <c r="S137" s="74"/>
      <c r="T137" s="74"/>
      <c r="U137" s="74"/>
      <c r="V137" s="74"/>
      <c r="W137" s="74"/>
      <c r="X137" s="74"/>
      <c r="Y137" s="74"/>
      <c r="Z137" s="74"/>
    </row>
    <row r="138" ht="15.0" customHeight="1">
      <c r="A138" s="74"/>
      <c r="B138" s="452" t="s">
        <v>688</v>
      </c>
      <c r="C138" s="245"/>
      <c r="D138" s="245"/>
      <c r="E138" s="245"/>
      <c r="F138" s="245"/>
      <c r="G138" s="245"/>
      <c r="H138" s="245"/>
      <c r="I138" s="321" t="s">
        <v>689</v>
      </c>
      <c r="J138" s="468" t="s">
        <v>690</v>
      </c>
      <c r="K138" s="402">
        <v>1094.97787</v>
      </c>
      <c r="L138" s="402">
        <v>8.759822959999997</v>
      </c>
      <c r="M138" s="402">
        <v>139.609709</v>
      </c>
      <c r="N138" s="457" t="s">
        <v>137</v>
      </c>
      <c r="O138" s="74"/>
      <c r="P138" s="74"/>
      <c r="Q138" s="74"/>
      <c r="R138" s="74"/>
      <c r="S138" s="74"/>
      <c r="T138" s="74"/>
      <c r="U138" s="74"/>
      <c r="V138" s="74"/>
      <c r="W138" s="74"/>
      <c r="X138" s="74"/>
      <c r="Y138" s="74"/>
      <c r="Z138" s="74"/>
    </row>
    <row r="139" ht="15.0" customHeight="1">
      <c r="A139" s="74"/>
      <c r="B139" s="454" t="s">
        <v>301</v>
      </c>
      <c r="C139" s="246" t="s">
        <v>302</v>
      </c>
      <c r="D139" s="246" t="s">
        <v>303</v>
      </c>
      <c r="E139" s="246" t="s">
        <v>304</v>
      </c>
      <c r="F139" s="246" t="s">
        <v>305</v>
      </c>
      <c r="G139" s="246" t="s">
        <v>146</v>
      </c>
      <c r="H139" s="245"/>
      <c r="I139" s="321" t="s">
        <v>691</v>
      </c>
      <c r="J139" s="468" t="s">
        <v>692</v>
      </c>
      <c r="K139" s="402">
        <v>713.14815</v>
      </c>
      <c r="L139" s="402">
        <v>5.7051852</v>
      </c>
      <c r="M139" s="402">
        <v>90.9264085</v>
      </c>
      <c r="N139" s="469"/>
      <c r="O139" s="74"/>
      <c r="P139" s="74"/>
      <c r="Q139" s="74"/>
      <c r="R139" s="74"/>
      <c r="S139" s="74"/>
      <c r="T139" s="74"/>
      <c r="U139" s="74"/>
      <c r="V139" s="74"/>
      <c r="W139" s="74"/>
      <c r="X139" s="74"/>
      <c r="Y139" s="74"/>
      <c r="Z139" s="74"/>
    </row>
    <row r="140" ht="15.0" customHeight="1">
      <c r="A140" s="74"/>
      <c r="B140" s="461" t="s">
        <v>671</v>
      </c>
      <c r="C140" s="462" t="s">
        <v>672</v>
      </c>
      <c r="D140" s="462">
        <v>4633.5898</v>
      </c>
      <c r="E140" s="462">
        <v>37.0</v>
      </c>
      <c r="F140" s="462">
        <v>26.1214603</v>
      </c>
      <c r="G140" s="247" t="s">
        <v>137</v>
      </c>
      <c r="H140" s="245"/>
      <c r="I140" s="321" t="s">
        <v>693</v>
      </c>
      <c r="J140" s="468" t="s">
        <v>694</v>
      </c>
      <c r="K140" s="402">
        <v>38921.3955</v>
      </c>
      <c r="L140" s="402">
        <v>311.371164</v>
      </c>
      <c r="M140" s="402">
        <v>4962.47898</v>
      </c>
      <c r="N140" s="457" t="s">
        <v>137</v>
      </c>
      <c r="O140" s="74"/>
      <c r="P140" s="74"/>
      <c r="Q140" s="74"/>
      <c r="R140" s="74"/>
      <c r="S140" s="74"/>
      <c r="T140" s="74"/>
      <c r="U140" s="74"/>
      <c r="V140" s="74"/>
      <c r="W140" s="74"/>
      <c r="X140" s="74"/>
      <c r="Y140" s="74"/>
      <c r="Z140" s="74"/>
    </row>
    <row r="141" ht="15.0" customHeight="1">
      <c r="A141" s="74"/>
      <c r="B141" s="471"/>
      <c r="C141" s="472"/>
      <c r="D141" s="472"/>
      <c r="E141" s="472"/>
      <c r="F141" s="472"/>
      <c r="G141" s="472"/>
      <c r="H141" s="473"/>
      <c r="I141" s="474" t="s">
        <v>659</v>
      </c>
      <c r="J141" s="475" t="s">
        <v>660</v>
      </c>
      <c r="K141" s="476">
        <v>-25972.822</v>
      </c>
      <c r="L141" s="476">
        <v>207.780992</v>
      </c>
      <c r="M141" s="476">
        <v>3311.53552</v>
      </c>
      <c r="N141" s="477" t="s">
        <v>137</v>
      </c>
      <c r="O141" s="74"/>
      <c r="P141" s="74"/>
      <c r="Q141" s="74"/>
      <c r="R141" s="74"/>
      <c r="S141" s="74"/>
      <c r="T141" s="74"/>
      <c r="U141" s="74"/>
      <c r="V141" s="74"/>
      <c r="W141" s="74"/>
      <c r="X141" s="74"/>
      <c r="Y141" s="74"/>
      <c r="Z141" s="74"/>
    </row>
    <row r="142" ht="14.25" customHeight="1">
      <c r="A142" s="74"/>
      <c r="B142" s="245"/>
      <c r="C142" s="245"/>
      <c r="D142" s="245"/>
      <c r="E142" s="245"/>
      <c r="F142" s="245"/>
      <c r="G142" s="245"/>
      <c r="H142" s="245"/>
      <c r="I142" s="245"/>
      <c r="J142" s="245"/>
      <c r="K142" s="245"/>
      <c r="L142" s="245"/>
      <c r="M142" s="261">
        <f>SUM(M133:M141)</f>
        <v>20583.9007</v>
      </c>
      <c r="N142" s="245"/>
      <c r="O142" s="74"/>
      <c r="P142" s="74"/>
      <c r="Q142" s="74"/>
      <c r="R142" s="74"/>
      <c r="S142" s="74"/>
      <c r="T142" s="74"/>
      <c r="U142" s="74"/>
      <c r="V142" s="74"/>
      <c r="W142" s="74"/>
      <c r="X142" s="74"/>
      <c r="Y142" s="74"/>
      <c r="Z142" s="74"/>
    </row>
    <row r="143" ht="14.25" customHeight="1">
      <c r="A143" s="74"/>
      <c r="B143" s="117"/>
      <c r="C143" s="117"/>
      <c r="D143" s="117"/>
      <c r="E143" s="117"/>
      <c r="F143" s="117"/>
      <c r="G143" s="117"/>
      <c r="H143" s="117"/>
      <c r="I143" s="117"/>
      <c r="J143" s="74"/>
      <c r="K143" s="74"/>
      <c r="L143" s="74"/>
      <c r="M143" s="478">
        <f>SUM(M97:M101)</f>
        <v>674</v>
      </c>
      <c r="N143" s="74"/>
      <c r="O143" s="74"/>
      <c r="P143" s="74"/>
      <c r="Q143" s="74"/>
      <c r="R143" s="74"/>
      <c r="S143" s="74"/>
      <c r="T143" s="74"/>
      <c r="U143" s="74"/>
      <c r="V143" s="74"/>
      <c r="W143" s="74"/>
      <c r="X143" s="74"/>
      <c r="Y143" s="74"/>
      <c r="Z143" s="74"/>
    </row>
    <row r="144" ht="14.25" customHeight="1">
      <c r="A144" s="74"/>
      <c r="B144" s="117"/>
      <c r="C144" s="117"/>
      <c r="D144" s="117"/>
      <c r="E144" s="117"/>
      <c r="F144" s="117"/>
      <c r="G144" s="117"/>
      <c r="H144" s="117"/>
      <c r="I144" s="117"/>
      <c r="J144" s="74"/>
      <c r="K144" s="74"/>
      <c r="L144" s="74"/>
      <c r="M144" s="74"/>
      <c r="N144" s="74"/>
      <c r="O144" s="74"/>
      <c r="P144" s="74"/>
      <c r="Q144" s="74"/>
      <c r="R144" s="74"/>
      <c r="S144" s="74"/>
      <c r="T144" s="74"/>
      <c r="U144" s="74"/>
      <c r="V144" s="74"/>
      <c r="W144" s="74"/>
      <c r="X144" s="74"/>
      <c r="Y144" s="74"/>
      <c r="Z144" s="74"/>
    </row>
    <row r="145" ht="14.25" customHeight="1">
      <c r="A145" s="74"/>
      <c r="B145" s="117"/>
      <c r="C145" s="117"/>
      <c r="D145" s="117"/>
      <c r="E145" s="117"/>
      <c r="F145" s="117"/>
      <c r="G145" s="117"/>
      <c r="H145" s="117"/>
      <c r="I145" s="117"/>
      <c r="J145" s="74"/>
      <c r="K145" s="74"/>
      <c r="L145" s="74"/>
      <c r="M145" s="74"/>
      <c r="N145" s="74"/>
      <c r="O145" s="74"/>
      <c r="P145" s="74"/>
      <c r="Q145" s="74"/>
      <c r="R145" s="74"/>
      <c r="S145" s="74"/>
      <c r="T145" s="74"/>
      <c r="U145" s="74"/>
      <c r="V145" s="74"/>
      <c r="W145" s="74"/>
      <c r="X145" s="74"/>
      <c r="Y145" s="74"/>
      <c r="Z145" s="74"/>
    </row>
    <row r="146" ht="14.25" customHeight="1">
      <c r="A146" s="74"/>
      <c r="B146" s="110" t="s">
        <v>163</v>
      </c>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4.25" customHeight="1">
      <c r="A147" s="74"/>
      <c r="B147" s="188" t="s">
        <v>695</v>
      </c>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4.25" customHeight="1">
      <c r="A148" s="74"/>
      <c r="B148" s="188" t="s">
        <v>165</v>
      </c>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4.25" customHeight="1">
      <c r="A149" s="74"/>
      <c r="B149" s="188" t="s">
        <v>166</v>
      </c>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267" t="s">
        <v>167</v>
      </c>
      <c r="C154" s="376" t="s">
        <v>168</v>
      </c>
      <c r="D154" s="377"/>
      <c r="E154" s="32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271" t="s">
        <v>696</v>
      </c>
      <c r="C155" s="367" t="s">
        <v>697</v>
      </c>
      <c r="D155" s="93"/>
      <c r="E155" s="9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273" t="s">
        <v>698</v>
      </c>
      <c r="C156" s="274" t="s">
        <v>699</v>
      </c>
      <c r="E156" s="29"/>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273" t="s">
        <v>700</v>
      </c>
      <c r="C157" s="274" t="s">
        <v>701</v>
      </c>
      <c r="E157" s="29"/>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273" t="s">
        <v>702</v>
      </c>
      <c r="C158" s="368" t="s">
        <v>703</v>
      </c>
      <c r="E158" s="29"/>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273" t="s">
        <v>704</v>
      </c>
      <c r="C159" s="274" t="s">
        <v>705</v>
      </c>
      <c r="E159" s="29"/>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479" t="s">
        <v>706</v>
      </c>
      <c r="C160" s="277" t="s">
        <v>707</v>
      </c>
      <c r="D160" s="95"/>
      <c r="E160" s="38"/>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row r="1001" ht="14.25" customHeight="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row>
    <row r="1002" ht="14.25" customHeight="1">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c r="Y1002" s="74"/>
      <c r="Z1002" s="74"/>
    </row>
    <row r="1003" ht="14.25" customHeight="1">
      <c r="A1003" s="74"/>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c r="Y1003" s="74"/>
      <c r="Z1003" s="74"/>
    </row>
    <row r="1004" ht="14.25" customHeight="1">
      <c r="A1004" s="74"/>
      <c r="B1004" s="74"/>
      <c r="C1004" s="74"/>
      <c r="D1004" s="74"/>
      <c r="E1004" s="74"/>
      <c r="F1004" s="74"/>
      <c r="G1004" s="74"/>
      <c r="H1004" s="74"/>
      <c r="I1004" s="74"/>
      <c r="J1004" s="74"/>
      <c r="K1004" s="74"/>
      <c r="L1004" s="74"/>
      <c r="M1004" s="74"/>
      <c r="N1004" s="74"/>
      <c r="O1004" s="74"/>
      <c r="P1004" s="74"/>
      <c r="Q1004" s="74"/>
      <c r="R1004" s="74"/>
      <c r="S1004" s="74"/>
      <c r="T1004" s="74"/>
      <c r="U1004" s="74"/>
      <c r="V1004" s="74"/>
      <c r="W1004" s="74"/>
      <c r="X1004" s="74"/>
      <c r="Y1004" s="74"/>
      <c r="Z1004" s="74"/>
    </row>
    <row r="1005" ht="14.25" customHeight="1">
      <c r="A1005" s="74"/>
      <c r="B1005" s="74"/>
      <c r="C1005" s="74"/>
      <c r="D1005" s="74"/>
      <c r="E1005" s="74"/>
      <c r="F1005" s="74"/>
      <c r="G1005" s="74"/>
      <c r="H1005" s="74"/>
      <c r="I1005" s="74"/>
      <c r="J1005" s="74"/>
      <c r="K1005" s="74"/>
      <c r="L1005" s="74"/>
      <c r="M1005" s="74"/>
      <c r="N1005" s="74"/>
      <c r="O1005" s="74"/>
      <c r="P1005" s="74"/>
      <c r="Q1005" s="74"/>
      <c r="R1005" s="74"/>
      <c r="S1005" s="74"/>
      <c r="T1005" s="74"/>
      <c r="U1005" s="74"/>
      <c r="V1005" s="74"/>
      <c r="W1005" s="74"/>
      <c r="X1005" s="74"/>
      <c r="Y1005" s="74"/>
      <c r="Z1005" s="74"/>
    </row>
    <row r="1006" ht="14.25" customHeight="1">
      <c r="A1006" s="74"/>
      <c r="B1006" s="74"/>
      <c r="C1006" s="74"/>
      <c r="D1006" s="74"/>
      <c r="E1006" s="74"/>
      <c r="F1006" s="74"/>
      <c r="G1006" s="74"/>
      <c r="H1006" s="74"/>
      <c r="I1006" s="74"/>
      <c r="J1006" s="74"/>
      <c r="K1006" s="74"/>
      <c r="L1006" s="74"/>
      <c r="M1006" s="74"/>
      <c r="N1006" s="74"/>
      <c r="O1006" s="74"/>
      <c r="P1006" s="74"/>
      <c r="Q1006" s="74"/>
      <c r="R1006" s="74"/>
      <c r="S1006" s="74"/>
      <c r="T1006" s="74"/>
      <c r="U1006" s="74"/>
      <c r="V1006" s="74"/>
      <c r="W1006" s="74"/>
      <c r="X1006" s="74"/>
      <c r="Y1006" s="74"/>
      <c r="Z1006" s="74"/>
    </row>
    <row r="1007" ht="14.25" customHeight="1">
      <c r="A1007" s="74"/>
      <c r="B1007" s="74"/>
      <c r="C1007" s="74"/>
      <c r="D1007" s="74"/>
      <c r="E1007" s="74"/>
      <c r="F1007" s="74"/>
      <c r="G1007" s="74"/>
      <c r="H1007" s="74"/>
      <c r="I1007" s="74"/>
      <c r="J1007" s="74"/>
      <c r="K1007" s="74"/>
      <c r="L1007" s="74"/>
      <c r="M1007" s="74"/>
      <c r="N1007" s="74"/>
      <c r="O1007" s="74"/>
      <c r="P1007" s="74"/>
      <c r="Q1007" s="74"/>
      <c r="R1007" s="74"/>
      <c r="S1007" s="74"/>
      <c r="T1007" s="74"/>
      <c r="U1007" s="74"/>
      <c r="V1007" s="74"/>
      <c r="W1007" s="74"/>
      <c r="X1007" s="74"/>
      <c r="Y1007" s="74"/>
      <c r="Z1007" s="74"/>
    </row>
    <row r="1008" ht="14.25" customHeight="1">
      <c r="A1008" s="74"/>
      <c r="B1008" s="74"/>
      <c r="C1008" s="74"/>
      <c r="D1008" s="74"/>
      <c r="E1008" s="74"/>
      <c r="F1008" s="74"/>
      <c r="G1008" s="74"/>
      <c r="H1008" s="74"/>
      <c r="I1008" s="74"/>
      <c r="J1008" s="74"/>
      <c r="K1008" s="74"/>
      <c r="L1008" s="74"/>
      <c r="M1008" s="74"/>
      <c r="N1008" s="74"/>
      <c r="O1008" s="74"/>
      <c r="P1008" s="74"/>
      <c r="Q1008" s="74"/>
      <c r="R1008" s="74"/>
      <c r="S1008" s="74"/>
      <c r="T1008" s="74"/>
      <c r="U1008" s="74"/>
      <c r="V1008" s="74"/>
      <c r="W1008" s="74"/>
      <c r="X1008" s="74"/>
      <c r="Y1008" s="74"/>
      <c r="Z1008" s="74"/>
    </row>
    <row r="1009" ht="14.25" customHeight="1">
      <c r="A1009" s="74"/>
      <c r="B1009" s="74"/>
      <c r="C1009" s="74"/>
      <c r="D1009" s="74"/>
      <c r="E1009" s="74"/>
      <c r="F1009" s="74"/>
      <c r="G1009" s="74"/>
      <c r="H1009" s="74"/>
      <c r="I1009" s="74"/>
      <c r="J1009" s="74"/>
      <c r="K1009" s="74"/>
      <c r="L1009" s="74"/>
      <c r="M1009" s="74"/>
      <c r="N1009" s="74"/>
      <c r="O1009" s="74"/>
      <c r="P1009" s="74"/>
      <c r="Q1009" s="74"/>
      <c r="R1009" s="74"/>
      <c r="S1009" s="74"/>
      <c r="T1009" s="74"/>
      <c r="U1009" s="74"/>
      <c r="V1009" s="74"/>
      <c r="W1009" s="74"/>
      <c r="X1009" s="74"/>
      <c r="Y1009" s="74"/>
      <c r="Z1009" s="74"/>
    </row>
    <row r="1010" ht="14.25" customHeight="1">
      <c r="A1010" s="74"/>
      <c r="B1010" s="74"/>
      <c r="C1010" s="74"/>
      <c r="D1010" s="74"/>
      <c r="E1010" s="74"/>
      <c r="F1010" s="74"/>
      <c r="G1010" s="74"/>
      <c r="H1010" s="74"/>
      <c r="I1010" s="74"/>
      <c r="J1010" s="74"/>
      <c r="K1010" s="74"/>
      <c r="L1010" s="74"/>
      <c r="M1010" s="74"/>
      <c r="N1010" s="74"/>
      <c r="O1010" s="74"/>
      <c r="P1010" s="74"/>
      <c r="Q1010" s="74"/>
      <c r="R1010" s="74"/>
      <c r="S1010" s="74"/>
      <c r="T1010" s="74"/>
      <c r="U1010" s="74"/>
      <c r="V1010" s="74"/>
      <c r="W1010" s="74"/>
      <c r="X1010" s="74"/>
      <c r="Y1010" s="74"/>
      <c r="Z1010" s="74"/>
    </row>
    <row r="1011" ht="14.25" customHeight="1">
      <c r="A1011" s="74"/>
      <c r="B1011" s="74"/>
      <c r="C1011" s="74"/>
      <c r="D1011" s="74"/>
      <c r="E1011" s="74"/>
      <c r="F1011" s="74"/>
      <c r="G1011" s="74"/>
      <c r="H1011" s="74"/>
      <c r="I1011" s="74"/>
      <c r="J1011" s="74"/>
      <c r="K1011" s="74"/>
      <c r="L1011" s="74"/>
      <c r="M1011" s="74"/>
      <c r="N1011" s="74"/>
      <c r="O1011" s="74"/>
      <c r="P1011" s="74"/>
      <c r="Q1011" s="74"/>
      <c r="R1011" s="74"/>
      <c r="S1011" s="74"/>
      <c r="T1011" s="74"/>
      <c r="U1011" s="74"/>
      <c r="V1011" s="74"/>
      <c r="W1011" s="74"/>
      <c r="X1011" s="74"/>
      <c r="Y1011" s="74"/>
      <c r="Z1011" s="74"/>
    </row>
    <row r="1012" ht="14.25" customHeight="1">
      <c r="A1012" s="74"/>
      <c r="B1012" s="74"/>
      <c r="C1012" s="74"/>
      <c r="D1012" s="74"/>
      <c r="E1012" s="74"/>
      <c r="F1012" s="74"/>
      <c r="G1012" s="74"/>
      <c r="H1012" s="74"/>
      <c r="I1012" s="74"/>
      <c r="J1012" s="74"/>
      <c r="K1012" s="74"/>
      <c r="L1012" s="74"/>
      <c r="M1012" s="74"/>
      <c r="N1012" s="74"/>
      <c r="O1012" s="74"/>
      <c r="P1012" s="74"/>
      <c r="Q1012" s="74"/>
      <c r="R1012" s="74"/>
      <c r="S1012" s="74"/>
      <c r="T1012" s="74"/>
      <c r="U1012" s="74"/>
      <c r="V1012" s="74"/>
      <c r="W1012" s="74"/>
      <c r="X1012" s="74"/>
      <c r="Y1012" s="74"/>
      <c r="Z1012" s="74"/>
    </row>
    <row r="1013" ht="14.25" customHeight="1">
      <c r="A1013" s="74"/>
      <c r="B1013" s="74"/>
      <c r="C1013" s="74"/>
      <c r="D1013" s="74"/>
      <c r="E1013" s="74"/>
      <c r="F1013" s="74"/>
      <c r="G1013" s="74"/>
      <c r="H1013" s="74"/>
      <c r="I1013" s="74"/>
      <c r="J1013" s="74"/>
      <c r="K1013" s="74"/>
      <c r="L1013" s="74"/>
      <c r="M1013" s="74"/>
      <c r="N1013" s="74"/>
      <c r="O1013" s="74"/>
      <c r="P1013" s="74"/>
      <c r="Q1013" s="74"/>
      <c r="R1013" s="74"/>
      <c r="S1013" s="74"/>
      <c r="T1013" s="74"/>
      <c r="U1013" s="74"/>
      <c r="V1013" s="74"/>
      <c r="W1013" s="74"/>
      <c r="X1013" s="74"/>
      <c r="Y1013" s="74"/>
      <c r="Z1013" s="74"/>
    </row>
  </sheetData>
  <mergeCells count="42">
    <mergeCell ref="B3:O3"/>
    <mergeCell ref="B4:O4"/>
    <mergeCell ref="B6:C6"/>
    <mergeCell ref="E6:O7"/>
    <mergeCell ref="B7:C7"/>
    <mergeCell ref="B10:O14"/>
    <mergeCell ref="B19:O23"/>
    <mergeCell ref="K72:K75"/>
    <mergeCell ref="K76:K82"/>
    <mergeCell ref="L76:L82"/>
    <mergeCell ref="M76:M82"/>
    <mergeCell ref="J64:J66"/>
    <mergeCell ref="K64:K66"/>
    <mergeCell ref="L64:L66"/>
    <mergeCell ref="H72:H75"/>
    <mergeCell ref="L72:L75"/>
    <mergeCell ref="M72:M75"/>
    <mergeCell ref="H76:H82"/>
    <mergeCell ref="L90:L91"/>
    <mergeCell ref="K95:L95"/>
    <mergeCell ref="M115:N115"/>
    <mergeCell ref="H83:H88"/>
    <mergeCell ref="K83:K88"/>
    <mergeCell ref="L83:L88"/>
    <mergeCell ref="M83:M88"/>
    <mergeCell ref="H90:H91"/>
    <mergeCell ref="K90:K91"/>
    <mergeCell ref="M90:M91"/>
    <mergeCell ref="C154:E154"/>
    <mergeCell ref="C155:E155"/>
    <mergeCell ref="C156:E156"/>
    <mergeCell ref="C157:E157"/>
    <mergeCell ref="C158:E158"/>
    <mergeCell ref="C159:E159"/>
    <mergeCell ref="C160:E160"/>
    <mergeCell ref="C62:D62"/>
    <mergeCell ref="B64:B65"/>
    <mergeCell ref="C64:C65"/>
    <mergeCell ref="D64:D65"/>
    <mergeCell ref="E64:E65"/>
    <mergeCell ref="F64:F65"/>
    <mergeCell ref="H64:H66"/>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16" width="21.29"/>
    <col customWidth="1" min="17"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708</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79" t="s">
        <v>85</v>
      </c>
      <c r="C6" s="80"/>
      <c r="D6" s="81" t="s">
        <v>709</v>
      </c>
      <c r="E6" s="82"/>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t="s">
        <v>88</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97" t="s">
        <v>710</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14.25"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97" t="s">
        <v>711</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14.25"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74"/>
      <c r="L36" s="100" t="s">
        <v>93</v>
      </c>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74"/>
      <c r="L37" s="101" t="s">
        <v>94</v>
      </c>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74"/>
      <c r="L38" s="101" t="s">
        <v>95</v>
      </c>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74"/>
      <c r="L39" s="101" t="s">
        <v>96</v>
      </c>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t="s">
        <v>630</v>
      </c>
      <c r="H58" s="74"/>
      <c r="I58" s="74"/>
      <c r="J58" s="74"/>
      <c r="K58" s="74"/>
      <c r="L58" s="74"/>
      <c r="M58" s="74"/>
      <c r="N58" s="74"/>
      <c r="O58" s="74"/>
      <c r="P58" s="74"/>
      <c r="Q58" s="74"/>
      <c r="R58" s="74"/>
      <c r="S58" s="74"/>
      <c r="T58" s="74"/>
      <c r="U58" s="74"/>
      <c r="V58" s="74"/>
      <c r="W58" s="74"/>
      <c r="X58" s="74"/>
      <c r="Y58" s="74"/>
      <c r="Z58" s="74"/>
    </row>
    <row r="59" ht="14.25" customHeight="1">
      <c r="A59" s="74"/>
      <c r="B59" s="110" t="s">
        <v>98</v>
      </c>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111"/>
      <c r="D61" s="111"/>
      <c r="E61" s="112"/>
      <c r="F61" s="74"/>
      <c r="G61" s="74"/>
      <c r="H61" s="91"/>
      <c r="I61" s="113"/>
      <c r="J61" s="74"/>
      <c r="K61" s="74"/>
      <c r="L61" s="74"/>
      <c r="M61" s="74"/>
      <c r="N61" s="74"/>
      <c r="O61" s="109"/>
      <c r="P61" s="74"/>
      <c r="Q61" s="74"/>
      <c r="R61" s="74"/>
      <c r="S61" s="74"/>
      <c r="T61" s="74"/>
      <c r="U61" s="74"/>
      <c r="V61" s="74"/>
      <c r="W61" s="74"/>
      <c r="X61" s="74"/>
      <c r="Y61" s="74"/>
      <c r="Z61" s="74"/>
    </row>
    <row r="62" ht="14.25" customHeight="1">
      <c r="A62" s="74"/>
      <c r="B62" s="114" t="s">
        <v>99</v>
      </c>
      <c r="C62" s="203"/>
      <c r="D62" s="80"/>
      <c r="E62" s="74"/>
      <c r="F62" s="74"/>
      <c r="G62" s="74"/>
      <c r="H62" s="118" t="s">
        <v>100</v>
      </c>
      <c r="I62" s="119"/>
      <c r="J62" s="120"/>
      <c r="K62" s="74"/>
      <c r="L62" s="74"/>
      <c r="M62" s="74"/>
      <c r="N62" s="118" t="s">
        <v>101</v>
      </c>
      <c r="O62" s="118"/>
      <c r="P62" s="74"/>
      <c r="Q62" s="74"/>
      <c r="R62" s="74"/>
      <c r="S62" s="74"/>
      <c r="T62" s="74"/>
      <c r="U62" s="74"/>
      <c r="V62" s="74"/>
      <c r="W62" s="74"/>
      <c r="X62" s="74"/>
      <c r="Y62" s="74"/>
      <c r="Z62" s="74"/>
    </row>
    <row r="63" ht="14.25" customHeight="1">
      <c r="A63" s="74"/>
      <c r="B63" s="121" t="s">
        <v>102</v>
      </c>
      <c r="C63" s="121" t="s">
        <v>103</v>
      </c>
      <c r="D63" s="121" t="s">
        <v>104</v>
      </c>
      <c r="E63" s="204" t="s">
        <v>240</v>
      </c>
      <c r="F63" s="204" t="s">
        <v>241</v>
      </c>
      <c r="G63" s="74"/>
      <c r="H63" s="121" t="s">
        <v>102</v>
      </c>
      <c r="I63" s="121" t="s">
        <v>103</v>
      </c>
      <c r="J63" s="121" t="s">
        <v>104</v>
      </c>
      <c r="K63" s="389" t="s">
        <v>240</v>
      </c>
      <c r="L63" s="390" t="s">
        <v>241</v>
      </c>
      <c r="M63" s="74"/>
      <c r="N63" s="118" t="s">
        <v>105</v>
      </c>
      <c r="O63" s="122"/>
      <c r="P63" s="74"/>
      <c r="Q63" s="74"/>
      <c r="R63" s="74"/>
      <c r="S63" s="74"/>
      <c r="T63" s="74"/>
      <c r="U63" s="74"/>
      <c r="V63" s="74"/>
      <c r="W63" s="74"/>
      <c r="X63" s="74"/>
      <c r="Y63" s="74"/>
      <c r="Z63" s="74"/>
    </row>
    <row r="64" ht="15.0" customHeight="1">
      <c r="A64" s="74"/>
      <c r="B64" s="407" t="s">
        <v>712</v>
      </c>
      <c r="C64" s="81" t="s">
        <v>713</v>
      </c>
      <c r="D64" s="480">
        <v>93.7167772</v>
      </c>
      <c r="E64" s="394">
        <v>64.21834</v>
      </c>
      <c r="F64" s="481">
        <v>1.02</v>
      </c>
      <c r="G64" s="74"/>
      <c r="H64" s="396" t="s">
        <v>714</v>
      </c>
      <c r="I64" s="392" t="s">
        <v>715</v>
      </c>
      <c r="J64" s="482">
        <v>67.3</v>
      </c>
      <c r="K64" s="483">
        <v>40.0</v>
      </c>
      <c r="L64" s="484">
        <v>10.0</v>
      </c>
      <c r="M64" s="74"/>
      <c r="N64" s="110" t="s">
        <v>110</v>
      </c>
      <c r="O64" s="125">
        <f>SUM(D64:D70)</f>
        <v>93.7167772</v>
      </c>
      <c r="P64" s="74"/>
      <c r="Q64" s="74"/>
      <c r="R64" s="74"/>
      <c r="S64" s="74"/>
      <c r="T64" s="74"/>
      <c r="U64" s="74"/>
      <c r="V64" s="74"/>
      <c r="W64" s="74"/>
      <c r="X64" s="74"/>
      <c r="Y64" s="74"/>
      <c r="Z64" s="74"/>
    </row>
    <row r="65" ht="14.25" customHeight="1">
      <c r="A65" s="74"/>
      <c r="B65" s="399"/>
      <c r="C65" s="81" t="s">
        <v>716</v>
      </c>
      <c r="D65" s="27"/>
      <c r="E65" s="27"/>
      <c r="F65" s="27"/>
      <c r="G65" s="74"/>
      <c r="H65" s="399"/>
      <c r="I65" s="27"/>
      <c r="J65" s="27"/>
      <c r="K65" s="28"/>
      <c r="M65" s="74"/>
      <c r="N65" s="110" t="s">
        <v>114</v>
      </c>
      <c r="O65" s="125">
        <f>J64+J67</f>
        <v>67.3</v>
      </c>
      <c r="P65" s="74"/>
      <c r="Q65" s="74"/>
      <c r="R65" s="74"/>
      <c r="S65" s="74"/>
      <c r="T65" s="74"/>
      <c r="U65" s="74"/>
      <c r="V65" s="74"/>
      <c r="W65" s="74"/>
      <c r="X65" s="74"/>
      <c r="Y65" s="74"/>
      <c r="Z65" s="74"/>
    </row>
    <row r="66" ht="14.25" customHeight="1">
      <c r="A66" s="74"/>
      <c r="B66" s="403"/>
      <c r="C66" s="81" t="s">
        <v>717</v>
      </c>
      <c r="D66" s="33"/>
      <c r="E66" s="33"/>
      <c r="F66" s="33"/>
      <c r="G66" s="74"/>
      <c r="H66" s="403"/>
      <c r="I66" s="33"/>
      <c r="J66" s="33"/>
      <c r="K66" s="28"/>
      <c r="M66" s="74"/>
      <c r="N66" s="110" t="s">
        <v>117</v>
      </c>
      <c r="O66" s="125">
        <f>SUM(I72:I78)</f>
        <v>0</v>
      </c>
      <c r="P66" s="74"/>
      <c r="Q66" s="74"/>
      <c r="R66" s="74"/>
      <c r="S66" s="74"/>
      <c r="T66" s="74"/>
      <c r="U66" s="74"/>
      <c r="V66" s="74"/>
      <c r="W66" s="74"/>
      <c r="X66" s="74"/>
      <c r="Y66" s="74"/>
      <c r="Z66" s="74"/>
    </row>
    <row r="67" ht="14.25" customHeight="1">
      <c r="A67" s="74"/>
      <c r="B67" s="74"/>
      <c r="C67" s="478"/>
      <c r="D67" s="478"/>
      <c r="E67" s="74"/>
      <c r="F67" s="74"/>
      <c r="G67" s="74"/>
      <c r="H67" s="387"/>
      <c r="I67" s="485"/>
      <c r="J67" s="485"/>
      <c r="K67" s="74"/>
      <c r="L67" s="74"/>
      <c r="M67" s="74"/>
      <c r="N67" s="74"/>
      <c r="O67" s="74"/>
      <c r="P67" s="74"/>
      <c r="Q67" s="74"/>
      <c r="R67" s="74"/>
      <c r="S67" s="74"/>
      <c r="T67" s="74"/>
      <c r="U67" s="74"/>
      <c r="V67" s="74"/>
      <c r="W67" s="74"/>
      <c r="X67" s="74"/>
      <c r="Y67" s="74"/>
      <c r="Z67" s="74"/>
    </row>
    <row r="68" ht="14.25" customHeight="1">
      <c r="A68" s="105"/>
      <c r="B68" s="74"/>
      <c r="C68" s="478"/>
      <c r="D68" s="478"/>
      <c r="E68" s="292"/>
      <c r="F68" s="74"/>
      <c r="G68" s="74"/>
      <c r="H68" s="105"/>
      <c r="I68" s="105"/>
      <c r="J68" s="108"/>
      <c r="K68" s="293"/>
      <c r="L68" s="74"/>
      <c r="M68" s="74"/>
      <c r="N68" s="110" t="s">
        <v>101</v>
      </c>
      <c r="O68" s="125">
        <f>O64-O65-O66</f>
        <v>26.4167772</v>
      </c>
      <c r="P68" s="74"/>
      <c r="Q68" s="74"/>
      <c r="R68" s="74"/>
      <c r="S68" s="74"/>
      <c r="T68" s="74"/>
      <c r="U68" s="74"/>
      <c r="V68" s="74"/>
      <c r="W68" s="74"/>
      <c r="X68" s="74"/>
      <c r="Y68" s="74"/>
      <c r="Z68" s="74"/>
    </row>
    <row r="69" ht="14.25" customHeight="1">
      <c r="A69" s="105"/>
      <c r="B69" s="74"/>
      <c r="C69" s="478"/>
      <c r="D69" s="478"/>
      <c r="E69" s="292"/>
      <c r="F69" s="74"/>
      <c r="G69" s="74"/>
      <c r="H69" s="105"/>
      <c r="I69" s="74"/>
      <c r="J69" s="105"/>
      <c r="K69" s="74"/>
      <c r="L69" s="74"/>
      <c r="M69" s="74"/>
      <c r="N69" s="135" t="s">
        <v>121</v>
      </c>
      <c r="O69" s="124">
        <f>(O68/O64)*100</f>
        <v>28.1878848</v>
      </c>
      <c r="P69" s="74"/>
      <c r="Q69" s="74"/>
      <c r="R69" s="74"/>
      <c r="S69" s="74"/>
      <c r="T69" s="74"/>
      <c r="U69" s="74"/>
      <c r="V69" s="74"/>
      <c r="W69" s="74"/>
      <c r="X69" s="74"/>
      <c r="Y69" s="74"/>
      <c r="Z69" s="74"/>
    </row>
    <row r="70" ht="14.25" customHeight="1">
      <c r="A70" s="74"/>
      <c r="B70" s="74"/>
      <c r="C70" s="478"/>
      <c r="D70" s="478"/>
      <c r="E70" s="74"/>
      <c r="F70" s="74"/>
      <c r="G70" s="74"/>
      <c r="H70" s="118" t="s">
        <v>280</v>
      </c>
      <c r="I70" s="119"/>
      <c r="J70" s="120"/>
      <c r="K70" s="74"/>
      <c r="L70" s="74"/>
      <c r="M70" s="74"/>
      <c r="N70" s="104"/>
      <c r="O70" s="105"/>
      <c r="P70" s="74"/>
      <c r="Q70" s="74"/>
      <c r="R70" s="74"/>
      <c r="S70" s="74"/>
      <c r="T70" s="74"/>
      <c r="U70" s="74"/>
      <c r="V70" s="74"/>
      <c r="W70" s="74"/>
      <c r="X70" s="74"/>
      <c r="Y70" s="74"/>
      <c r="Z70" s="74"/>
    </row>
    <row r="71" ht="14.25" customHeight="1">
      <c r="A71" s="74"/>
      <c r="B71" s="89"/>
      <c r="C71" s="89"/>
      <c r="D71" s="89"/>
      <c r="E71" s="89"/>
      <c r="F71" s="74"/>
      <c r="G71" s="74"/>
      <c r="H71" s="121" t="s">
        <v>102</v>
      </c>
      <c r="I71" s="121" t="s">
        <v>641</v>
      </c>
      <c r="J71" s="121" t="s">
        <v>103</v>
      </c>
      <c r="K71" s="121" t="s">
        <v>104</v>
      </c>
      <c r="L71" s="389" t="s">
        <v>240</v>
      </c>
      <c r="M71" s="390" t="s">
        <v>241</v>
      </c>
      <c r="N71" s="74"/>
      <c r="O71" s="74"/>
      <c r="P71" s="74"/>
      <c r="Q71" s="74"/>
      <c r="R71" s="74"/>
      <c r="S71" s="74"/>
      <c r="T71" s="74"/>
      <c r="U71" s="74"/>
      <c r="V71" s="74"/>
      <c r="W71" s="74"/>
      <c r="X71" s="74"/>
      <c r="Y71" s="74"/>
      <c r="Z71" s="74"/>
    </row>
    <row r="72" ht="14.25" customHeight="1">
      <c r="A72" s="74"/>
      <c r="B72" s="74"/>
      <c r="C72" s="74"/>
      <c r="D72" s="74"/>
      <c r="E72" s="74"/>
      <c r="F72" s="74"/>
      <c r="G72" s="74"/>
      <c r="H72" s="391" t="s">
        <v>451</v>
      </c>
      <c r="I72" s="81" t="s">
        <v>643</v>
      </c>
      <c r="J72" s="298">
        <v>0.198336145</v>
      </c>
      <c r="K72" s="486">
        <v>0.13281943</v>
      </c>
      <c r="L72" s="394">
        <v>137.119572</v>
      </c>
      <c r="M72" s="481">
        <v>10.0</v>
      </c>
      <c r="N72" s="74"/>
      <c r="O72" s="74"/>
      <c r="P72" s="74"/>
      <c r="Q72" s="74"/>
      <c r="R72" s="74"/>
      <c r="S72" s="74"/>
      <c r="T72" s="74"/>
      <c r="U72" s="74"/>
      <c r="V72" s="74"/>
      <c r="W72" s="74"/>
      <c r="X72" s="74"/>
      <c r="Y72" s="74"/>
      <c r="Z72" s="74"/>
    </row>
    <row r="73" ht="14.25" customHeight="1">
      <c r="A73" s="74"/>
      <c r="B73" s="74"/>
      <c r="C73" s="74"/>
      <c r="D73" s="74"/>
      <c r="E73" s="74"/>
      <c r="F73" s="74"/>
      <c r="G73" s="74"/>
      <c r="H73" s="27"/>
      <c r="I73" s="81" t="s">
        <v>651</v>
      </c>
      <c r="J73" s="298">
        <v>90.0081852</v>
      </c>
      <c r="K73" s="27"/>
      <c r="L73" s="27"/>
      <c r="M73" s="27"/>
      <c r="N73" s="74"/>
      <c r="O73" s="74"/>
      <c r="P73" s="74"/>
      <c r="Q73" s="74"/>
      <c r="R73" s="74"/>
      <c r="S73" s="74"/>
      <c r="T73" s="74"/>
      <c r="U73" s="74"/>
      <c r="V73" s="74"/>
      <c r="W73" s="74"/>
      <c r="X73" s="74"/>
      <c r="Y73" s="74"/>
      <c r="Z73" s="74"/>
    </row>
    <row r="74" ht="14.25" customHeight="1">
      <c r="A74" s="74"/>
      <c r="B74" s="74"/>
      <c r="C74" s="74"/>
      <c r="D74" s="74"/>
      <c r="E74" s="74"/>
      <c r="F74" s="74"/>
      <c r="G74" s="74"/>
      <c r="H74" s="27"/>
      <c r="I74" s="81" t="s">
        <v>718</v>
      </c>
      <c r="J74" s="298">
        <v>9.2864319</v>
      </c>
      <c r="K74" s="27"/>
      <c r="L74" s="27"/>
      <c r="M74" s="27"/>
      <c r="N74" s="74"/>
      <c r="O74" s="74"/>
      <c r="P74" s="74"/>
      <c r="Q74" s="74"/>
      <c r="R74" s="74"/>
      <c r="S74" s="74"/>
      <c r="T74" s="74"/>
      <c r="U74" s="74"/>
      <c r="V74" s="74"/>
      <c r="W74" s="74"/>
      <c r="X74" s="74"/>
      <c r="Y74" s="74"/>
      <c r="Z74" s="74"/>
    </row>
    <row r="75" ht="14.25" customHeight="1">
      <c r="A75" s="74"/>
      <c r="B75" s="74"/>
      <c r="C75" s="74"/>
      <c r="D75" s="74"/>
      <c r="E75" s="74"/>
      <c r="F75" s="74"/>
      <c r="G75" s="74"/>
      <c r="H75" s="33"/>
      <c r="I75" s="81" t="s">
        <v>42</v>
      </c>
      <c r="J75" s="298">
        <v>0.50667706</v>
      </c>
      <c r="K75" s="33"/>
      <c r="L75" s="33"/>
      <c r="M75" s="33"/>
      <c r="N75" s="74"/>
      <c r="O75" s="74"/>
      <c r="P75" s="74"/>
      <c r="Q75" s="74"/>
      <c r="R75" s="74"/>
      <c r="S75" s="74"/>
      <c r="T75" s="74"/>
      <c r="U75" s="74"/>
      <c r="V75" s="74"/>
      <c r="W75" s="74"/>
      <c r="X75" s="74"/>
      <c r="Y75" s="74"/>
      <c r="Z75" s="74"/>
    </row>
    <row r="76" ht="15.0" customHeight="1">
      <c r="A76" s="74"/>
      <c r="B76" s="74"/>
      <c r="C76" s="74"/>
      <c r="D76" s="74"/>
      <c r="E76" s="74"/>
      <c r="F76" s="74"/>
      <c r="G76" s="74"/>
      <c r="H76" s="487" t="s">
        <v>719</v>
      </c>
      <c r="I76" s="81" t="s">
        <v>643</v>
      </c>
      <c r="J76" s="298">
        <v>99.9417261</v>
      </c>
      <c r="K76" s="486">
        <v>26.3318558</v>
      </c>
      <c r="L76" s="394">
        <v>40.0</v>
      </c>
      <c r="M76" s="481">
        <v>1.0</v>
      </c>
      <c r="N76" s="74"/>
      <c r="O76" s="74"/>
      <c r="P76" s="74"/>
      <c r="Q76" s="74"/>
      <c r="R76" s="74"/>
      <c r="S76" s="74"/>
      <c r="T76" s="74"/>
      <c r="U76" s="74"/>
      <c r="V76" s="74"/>
      <c r="W76" s="74"/>
      <c r="X76" s="74"/>
      <c r="Y76" s="74"/>
      <c r="Z76" s="74"/>
    </row>
    <row r="77" ht="15.0" customHeight="1">
      <c r="A77" s="74"/>
      <c r="B77" s="74"/>
      <c r="C77" s="74"/>
      <c r="D77" s="74"/>
      <c r="E77" s="74"/>
      <c r="F77" s="74"/>
      <c r="G77" s="74"/>
      <c r="H77" s="27"/>
      <c r="I77" s="81" t="s">
        <v>651</v>
      </c>
      <c r="J77" s="298">
        <v>0.0454463396</v>
      </c>
      <c r="K77" s="27"/>
      <c r="L77" s="27"/>
      <c r="M77" s="27"/>
      <c r="N77" s="74"/>
      <c r="O77" s="74"/>
      <c r="P77" s="74"/>
      <c r="Q77" s="74"/>
      <c r="R77" s="74"/>
      <c r="S77" s="74"/>
      <c r="T77" s="74"/>
      <c r="U77" s="74"/>
      <c r="V77" s="74"/>
      <c r="W77" s="74"/>
      <c r="X77" s="74"/>
      <c r="Y77" s="74"/>
      <c r="Z77" s="74"/>
    </row>
    <row r="78" ht="15.0" customHeight="1">
      <c r="A78" s="74"/>
      <c r="B78" s="74"/>
      <c r="C78" s="74"/>
      <c r="D78" s="74"/>
      <c r="E78" s="74"/>
      <c r="F78" s="74"/>
      <c r="G78" s="74"/>
      <c r="H78" s="33"/>
      <c r="I78" s="81" t="s">
        <v>718</v>
      </c>
      <c r="J78" s="298">
        <v>0.0127863751</v>
      </c>
      <c r="K78" s="33"/>
      <c r="L78" s="412"/>
      <c r="M78" s="412"/>
      <c r="N78" s="74"/>
      <c r="O78" s="74"/>
      <c r="P78" s="74"/>
      <c r="Q78" s="74"/>
      <c r="R78" s="74"/>
      <c r="S78" s="74"/>
      <c r="T78" s="74"/>
      <c r="U78" s="74"/>
      <c r="V78" s="74"/>
      <c r="W78" s="74"/>
      <c r="X78" s="74"/>
      <c r="Y78" s="74"/>
      <c r="Z78" s="74"/>
    </row>
    <row r="79" ht="14.25" customHeight="1">
      <c r="A79" s="74"/>
      <c r="B79" s="74"/>
      <c r="C79" s="74"/>
      <c r="D79" s="74"/>
      <c r="E79" s="74"/>
      <c r="F79" s="74"/>
      <c r="G79" s="488"/>
      <c r="H79" s="489"/>
      <c r="I79" s="478"/>
      <c r="J79" s="74"/>
      <c r="K79" s="74"/>
      <c r="L79" s="74"/>
      <c r="M79" s="74"/>
      <c r="N79" s="74"/>
      <c r="O79" s="74"/>
      <c r="P79" s="74"/>
      <c r="Q79" s="74"/>
      <c r="R79" s="74"/>
      <c r="S79" s="74"/>
      <c r="T79" s="74"/>
      <c r="U79" s="74"/>
      <c r="V79" s="74"/>
      <c r="W79" s="74"/>
      <c r="X79" s="74"/>
      <c r="Y79" s="74"/>
      <c r="Z79" s="74"/>
    </row>
    <row r="80" ht="14.25" customHeight="1">
      <c r="A80" s="74"/>
      <c r="B80" s="74"/>
      <c r="C80" s="74"/>
      <c r="D80" s="74"/>
      <c r="E80" s="74"/>
      <c r="F80" s="74"/>
      <c r="G80" s="422"/>
      <c r="H80" s="422"/>
      <c r="I80" s="478"/>
      <c r="J80" s="74"/>
      <c r="K80" s="74"/>
      <c r="L80" s="74"/>
      <c r="M80" s="74"/>
      <c r="N80" s="74"/>
      <c r="O80" s="74"/>
      <c r="P80" s="74"/>
      <c r="Q80" s="74"/>
      <c r="R80" s="74"/>
      <c r="S80" s="74"/>
      <c r="T80" s="74"/>
      <c r="U80" s="74"/>
      <c r="V80" s="74"/>
      <c r="W80" s="74"/>
      <c r="X80" s="74"/>
      <c r="Y80" s="74"/>
      <c r="Z80" s="74"/>
    </row>
    <row r="81" ht="14.25" customHeight="1">
      <c r="A81" s="74"/>
      <c r="B81" s="74"/>
      <c r="C81" s="74"/>
      <c r="D81" s="74"/>
      <c r="E81" s="74"/>
      <c r="F81" s="74"/>
      <c r="G81" s="422"/>
      <c r="H81" s="422"/>
      <c r="I81" s="478"/>
      <c r="J81" s="74"/>
      <c r="K81" s="74"/>
      <c r="L81" s="74"/>
      <c r="M81" s="74"/>
      <c r="N81" s="74"/>
      <c r="O81" s="74"/>
      <c r="P81" s="74"/>
      <c r="Q81" s="74"/>
      <c r="R81" s="74"/>
      <c r="S81" s="74"/>
      <c r="T81" s="74"/>
      <c r="U81" s="74"/>
      <c r="V81" s="74"/>
      <c r="W81" s="74"/>
      <c r="X81" s="74"/>
      <c r="Y81" s="74"/>
      <c r="Z81" s="74"/>
    </row>
    <row r="82" ht="14.25" customHeight="1">
      <c r="A82" s="74"/>
      <c r="B82" s="74"/>
      <c r="C82" s="74"/>
      <c r="D82" s="74"/>
      <c r="E82" s="74"/>
      <c r="F82" s="74"/>
      <c r="G82" s="478"/>
      <c r="H82" s="161"/>
      <c r="I82" s="478"/>
      <c r="J82" s="74"/>
      <c r="K82" s="74"/>
      <c r="L82" s="74"/>
      <c r="M82" s="74"/>
      <c r="N82" s="74"/>
      <c r="O82" s="74"/>
      <c r="P82" s="74"/>
      <c r="Q82" s="74"/>
      <c r="R82" s="74"/>
      <c r="S82" s="74"/>
      <c r="T82" s="74"/>
      <c r="U82" s="74"/>
      <c r="V82" s="74"/>
      <c r="W82" s="74"/>
      <c r="X82" s="74"/>
      <c r="Y82" s="74"/>
      <c r="Z82" s="74"/>
    </row>
    <row r="83" ht="14.2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4.25" customHeight="1">
      <c r="A84" s="74"/>
      <c r="B84" s="110" t="s">
        <v>122</v>
      </c>
      <c r="C84" s="117"/>
      <c r="D84" s="117"/>
      <c r="E84" s="117"/>
      <c r="F84" s="117"/>
      <c r="G84" s="117"/>
      <c r="H84" s="117"/>
      <c r="I84" s="117"/>
      <c r="J84" s="74"/>
      <c r="K84" s="74"/>
      <c r="L84" s="74"/>
      <c r="M84" s="74"/>
      <c r="N84" s="74"/>
      <c r="O84" s="74"/>
      <c r="P84" s="74"/>
      <c r="Q84" s="74"/>
      <c r="R84" s="74"/>
      <c r="S84" s="74"/>
      <c r="T84" s="74"/>
      <c r="U84" s="74"/>
      <c r="V84" s="74"/>
      <c r="W84" s="74"/>
      <c r="X84" s="74"/>
      <c r="Y84" s="74"/>
      <c r="Z84" s="74"/>
    </row>
    <row r="85" ht="14.25" customHeight="1">
      <c r="A85" s="74"/>
      <c r="B85" s="117"/>
      <c r="C85" s="117"/>
      <c r="D85" s="117"/>
      <c r="E85" s="117"/>
      <c r="F85" s="117"/>
      <c r="G85" s="117"/>
      <c r="H85" s="117"/>
      <c r="I85" s="117"/>
      <c r="J85" s="74"/>
      <c r="K85" s="74"/>
      <c r="L85" s="74"/>
      <c r="M85" s="74"/>
      <c r="N85" s="74"/>
      <c r="O85" s="74"/>
      <c r="P85" s="74"/>
      <c r="Q85" s="74"/>
      <c r="R85" s="74"/>
      <c r="S85" s="74"/>
      <c r="T85" s="74"/>
      <c r="U85" s="74"/>
      <c r="V85" s="74"/>
      <c r="W85" s="74"/>
      <c r="X85" s="74"/>
      <c r="Y85" s="74"/>
      <c r="Z85" s="74"/>
    </row>
    <row r="86" ht="14.25" customHeight="1">
      <c r="A86" s="74"/>
      <c r="B86" s="118" t="s">
        <v>3</v>
      </c>
      <c r="C86" s="118" t="s">
        <v>4</v>
      </c>
      <c r="D86" s="118" t="s">
        <v>124</v>
      </c>
      <c r="E86" s="142" t="s">
        <v>5</v>
      </c>
      <c r="F86" s="142" t="s">
        <v>125</v>
      </c>
      <c r="G86" s="143" t="s">
        <v>126</v>
      </c>
      <c r="H86" s="143" t="s">
        <v>127</v>
      </c>
      <c r="I86" s="144" t="s">
        <v>128</v>
      </c>
      <c r="J86" s="129"/>
      <c r="K86" s="138" t="s">
        <v>123</v>
      </c>
      <c r="L86" s="139"/>
      <c r="M86" s="140"/>
      <c r="N86" s="140"/>
      <c r="O86" s="140"/>
      <c r="P86" s="140"/>
      <c r="Q86" s="141"/>
      <c r="R86" s="74"/>
      <c r="S86" s="74"/>
      <c r="T86" s="74"/>
      <c r="U86" s="74"/>
      <c r="V86" s="74"/>
      <c r="W86" s="74"/>
      <c r="X86" s="74"/>
      <c r="Y86" s="74"/>
      <c r="Z86" s="74"/>
    </row>
    <row r="87" ht="14.25" customHeight="1">
      <c r="A87" s="74"/>
      <c r="B87" s="81" t="s">
        <v>20</v>
      </c>
      <c r="C87" s="298">
        <v>0.0</v>
      </c>
      <c r="D87" s="490">
        <v>0.0</v>
      </c>
      <c r="E87" s="490">
        <v>-25.02772752</v>
      </c>
      <c r="F87" s="490">
        <v>-11.3154656</v>
      </c>
      <c r="G87" s="490">
        <f t="shared" ref="G87:H87" si="1">C87+E87</f>
        <v>-25.02772752</v>
      </c>
      <c r="H87" s="490">
        <f t="shared" si="1"/>
        <v>-11.3154656</v>
      </c>
      <c r="I87" s="286" t="s">
        <v>297</v>
      </c>
      <c r="J87" s="129"/>
      <c r="K87" s="118" t="s">
        <v>3</v>
      </c>
      <c r="L87" s="114" t="s">
        <v>129</v>
      </c>
      <c r="M87" s="121" t="s">
        <v>130</v>
      </c>
      <c r="N87" s="121" t="s">
        <v>131</v>
      </c>
      <c r="O87" s="121" t="s">
        <v>132</v>
      </c>
      <c r="P87" s="121" t="s">
        <v>133</v>
      </c>
      <c r="Q87" s="114" t="s">
        <v>134</v>
      </c>
      <c r="R87" s="74"/>
      <c r="S87" s="74"/>
      <c r="T87" s="74"/>
      <c r="U87" s="74"/>
      <c r="V87" s="74"/>
      <c r="W87" s="74"/>
      <c r="X87" s="74"/>
      <c r="Y87" s="74"/>
      <c r="Z87" s="74"/>
    </row>
    <row r="88" ht="14.25" customHeight="1">
      <c r="A88" s="74"/>
      <c r="B88" s="145" t="s">
        <v>8</v>
      </c>
      <c r="C88" s="210">
        <v>0.0</v>
      </c>
      <c r="D88" s="490">
        <v>0.0</v>
      </c>
      <c r="E88" s="491">
        <v>-30.750974399999997</v>
      </c>
      <c r="F88" s="152">
        <v>-13.7643868</v>
      </c>
      <c r="G88" s="490">
        <f t="shared" ref="G88:H88" si="2">C88+E88</f>
        <v>-30.7509744</v>
      </c>
      <c r="H88" s="490">
        <f t="shared" si="2"/>
        <v>-13.7643868</v>
      </c>
      <c r="I88" s="286" t="s">
        <v>297</v>
      </c>
      <c r="J88" s="129"/>
      <c r="K88" s="148" t="s">
        <v>136</v>
      </c>
      <c r="L88" s="149" t="s">
        <v>137</v>
      </c>
      <c r="M88" s="149" t="s">
        <v>137</v>
      </c>
      <c r="N88" s="149" t="s">
        <v>137</v>
      </c>
      <c r="O88" s="149" t="s">
        <v>137</v>
      </c>
      <c r="P88" s="149" t="s">
        <v>137</v>
      </c>
      <c r="Q88" s="149" t="s">
        <v>137</v>
      </c>
      <c r="R88" s="74"/>
      <c r="S88" s="74"/>
      <c r="T88" s="74"/>
      <c r="U88" s="74"/>
      <c r="V88" s="74"/>
      <c r="W88" s="74"/>
      <c r="X88" s="74"/>
      <c r="Y88" s="74"/>
      <c r="Z88" s="74"/>
    </row>
    <row r="89" ht="14.25" customHeight="1">
      <c r="A89" s="74"/>
      <c r="B89" s="145" t="s">
        <v>10</v>
      </c>
      <c r="C89" s="210">
        <v>213.95742312000002</v>
      </c>
      <c r="D89" s="490">
        <v>107.3955628</v>
      </c>
      <c r="E89" s="491">
        <v>0.0</v>
      </c>
      <c r="F89" s="152">
        <v>0.0</v>
      </c>
      <c r="G89" s="490">
        <f t="shared" ref="G89:H89" si="3">C89+E89</f>
        <v>213.9574231</v>
      </c>
      <c r="H89" s="490">
        <f t="shared" si="3"/>
        <v>107.3955628</v>
      </c>
      <c r="I89" s="147"/>
      <c r="J89" s="129"/>
      <c r="K89" s="150" t="s">
        <v>8</v>
      </c>
      <c r="L89" s="149">
        <v>155.0</v>
      </c>
      <c r="M89" s="149">
        <v>155.0</v>
      </c>
      <c r="N89" s="151">
        <v>5.5</v>
      </c>
      <c r="O89" s="151">
        <v>5.5</v>
      </c>
      <c r="P89" s="149">
        <v>2096.77163841359</v>
      </c>
      <c r="Q89" s="149" t="s">
        <v>138</v>
      </c>
      <c r="R89" s="74"/>
      <c r="S89" s="74"/>
      <c r="T89" s="74"/>
      <c r="U89" s="74"/>
      <c r="V89" s="74"/>
      <c r="W89" s="74"/>
      <c r="X89" s="74"/>
      <c r="Y89" s="74"/>
      <c r="Z89" s="74"/>
    </row>
    <row r="90" ht="14.25" customHeight="1">
      <c r="A90" s="74"/>
      <c r="B90" s="145" t="s">
        <v>11</v>
      </c>
      <c r="C90" s="210">
        <v>0.0</v>
      </c>
      <c r="D90" s="490">
        <v>0.0</v>
      </c>
      <c r="E90" s="152">
        <v>0.0</v>
      </c>
      <c r="F90" s="152">
        <v>0.0</v>
      </c>
      <c r="G90" s="490">
        <f t="shared" ref="G90:H90" si="4">C90+E90</f>
        <v>0</v>
      </c>
      <c r="H90" s="490">
        <f t="shared" si="4"/>
        <v>0</v>
      </c>
      <c r="I90" s="147"/>
      <c r="J90" s="129"/>
      <c r="K90" s="118" t="s">
        <v>10</v>
      </c>
      <c r="L90" s="149">
        <v>214.0</v>
      </c>
      <c r="M90" s="149">
        <v>214.0</v>
      </c>
      <c r="N90" s="149">
        <v>21.0</v>
      </c>
      <c r="O90" s="149">
        <v>21.0</v>
      </c>
      <c r="P90" s="149">
        <v>1879.6128145344</v>
      </c>
      <c r="Q90" s="149" t="s">
        <v>138</v>
      </c>
      <c r="R90" s="74"/>
      <c r="S90" s="74"/>
      <c r="T90" s="74"/>
      <c r="U90" s="74"/>
      <c r="V90" s="74"/>
      <c r="W90" s="74"/>
      <c r="X90" s="74"/>
      <c r="Y90" s="74"/>
      <c r="Z90" s="74"/>
    </row>
    <row r="91" ht="14.25" customHeight="1">
      <c r="A91" s="74"/>
      <c r="B91" s="145" t="s">
        <v>12</v>
      </c>
      <c r="C91" s="210">
        <v>316.9554240952</v>
      </c>
      <c r="D91" s="490">
        <v>5051.4781492</v>
      </c>
      <c r="E91" s="152">
        <v>0.0</v>
      </c>
      <c r="F91" s="152">
        <v>0.0</v>
      </c>
      <c r="G91" s="490">
        <f t="shared" ref="G91:H91" si="5">C91+E91</f>
        <v>316.9554241</v>
      </c>
      <c r="H91" s="490">
        <f t="shared" si="5"/>
        <v>5051.478149</v>
      </c>
      <c r="I91" s="147"/>
      <c r="J91" s="129"/>
      <c r="K91" s="118" t="s">
        <v>11</v>
      </c>
      <c r="L91" s="149">
        <v>265.0</v>
      </c>
      <c r="M91" s="149">
        <v>265.0</v>
      </c>
      <c r="N91" s="149">
        <v>51.0</v>
      </c>
      <c r="O91" s="149">
        <v>51.0</v>
      </c>
      <c r="P91" s="149">
        <v>1632.4494056856</v>
      </c>
      <c r="Q91" s="149" t="s">
        <v>138</v>
      </c>
      <c r="R91" s="74"/>
      <c r="S91" s="74"/>
      <c r="T91" s="74"/>
      <c r="U91" s="74"/>
      <c r="V91" s="74"/>
      <c r="W91" s="74"/>
      <c r="X91" s="74"/>
      <c r="Y91" s="74"/>
      <c r="Z91" s="74"/>
    </row>
    <row r="92" ht="14.25" customHeight="1">
      <c r="A92" s="74"/>
      <c r="B92" s="145" t="s">
        <v>34</v>
      </c>
      <c r="C92" s="210">
        <v>30.682346976</v>
      </c>
      <c r="D92" s="492">
        <v>1065.36</v>
      </c>
      <c r="E92" s="152">
        <v>0.0</v>
      </c>
      <c r="F92" s="152">
        <v>0.0</v>
      </c>
      <c r="G92" s="490">
        <f>C92+E92</f>
        <v>30.68234698</v>
      </c>
      <c r="H92" s="492">
        <v>1065.36</v>
      </c>
      <c r="I92" s="223" t="s">
        <v>656</v>
      </c>
      <c r="J92" s="74"/>
      <c r="K92" s="118" t="s">
        <v>12</v>
      </c>
      <c r="L92" s="159">
        <v>25.0</v>
      </c>
      <c r="M92" s="159">
        <v>40.0</v>
      </c>
      <c r="N92" s="160">
        <v>1.02</v>
      </c>
      <c r="O92" s="160">
        <v>1.02</v>
      </c>
      <c r="P92" s="160">
        <f>62.74243314036/(M92-L92)</f>
        <v>4.182828876</v>
      </c>
      <c r="Q92" s="159" t="s">
        <v>143</v>
      </c>
      <c r="R92" s="74"/>
      <c r="S92" s="74"/>
      <c r="T92" s="74"/>
      <c r="U92" s="74"/>
      <c r="V92" s="74"/>
      <c r="W92" s="74"/>
      <c r="X92" s="74"/>
      <c r="Y92" s="74"/>
      <c r="Z92" s="74"/>
    </row>
    <row r="93" ht="14.25" customHeight="1">
      <c r="A93" s="74"/>
      <c r="B93" s="446"/>
      <c r="C93" s="446"/>
      <c r="D93" s="446"/>
      <c r="E93" s="446"/>
      <c r="F93" s="446"/>
      <c r="G93" s="446"/>
      <c r="H93" s="446"/>
      <c r="I93" s="446"/>
      <c r="J93" s="170"/>
      <c r="K93" s="170"/>
      <c r="L93" s="170"/>
      <c r="M93" s="170"/>
      <c r="N93" s="170"/>
      <c r="O93" s="74"/>
      <c r="P93" s="74"/>
      <c r="Q93" s="74"/>
      <c r="R93" s="74"/>
      <c r="S93" s="74"/>
      <c r="T93" s="74"/>
      <c r="U93" s="74"/>
      <c r="V93" s="74"/>
      <c r="W93" s="74"/>
      <c r="X93" s="74"/>
      <c r="Y93" s="74"/>
      <c r="Z93" s="74"/>
    </row>
    <row r="94">
      <c r="A94" s="446"/>
      <c r="B94" s="226" t="s">
        <v>158</v>
      </c>
      <c r="C94" s="227" t="s">
        <v>159</v>
      </c>
      <c r="D94" s="493">
        <v>67.3</v>
      </c>
      <c r="E94" s="227" t="s">
        <v>156</v>
      </c>
      <c r="F94" s="494">
        <v>2.080238</v>
      </c>
      <c r="G94" s="227" t="s">
        <v>153</v>
      </c>
      <c r="H94" s="229">
        <v>8765.82</v>
      </c>
      <c r="I94" s="230"/>
      <c r="J94" s="446"/>
      <c r="K94" s="446"/>
      <c r="L94" s="446"/>
      <c r="M94" s="170"/>
      <c r="N94" s="170"/>
      <c r="O94" s="446"/>
      <c r="P94" s="446"/>
      <c r="Q94" s="446"/>
      <c r="R94" s="446"/>
      <c r="S94" s="446"/>
      <c r="T94" s="446"/>
      <c r="U94" s="446"/>
      <c r="V94" s="446"/>
      <c r="W94" s="446"/>
      <c r="X94" s="446"/>
      <c r="Y94" s="446"/>
      <c r="Z94" s="446"/>
    </row>
    <row r="95" ht="14.25" customHeight="1">
      <c r="A95" s="74"/>
      <c r="B95" s="230"/>
      <c r="C95" s="230"/>
      <c r="D95" s="230"/>
      <c r="E95" s="230"/>
      <c r="F95" s="230"/>
      <c r="G95" s="230"/>
      <c r="H95" s="230"/>
      <c r="I95" s="230"/>
      <c r="J95" s="170"/>
      <c r="K95" s="170"/>
      <c r="L95" s="170"/>
      <c r="M95" s="170"/>
      <c r="N95" s="170"/>
      <c r="O95" s="74"/>
      <c r="P95" s="74"/>
      <c r="Q95" s="74"/>
      <c r="R95" s="74"/>
      <c r="S95" s="74"/>
      <c r="T95" s="74"/>
      <c r="U95" s="74"/>
      <c r="V95" s="74"/>
      <c r="W95" s="74"/>
      <c r="X95" s="74"/>
      <c r="Y95" s="74"/>
      <c r="Z95" s="74"/>
    </row>
    <row r="96" ht="14.25" customHeight="1">
      <c r="A96" s="74"/>
      <c r="B96" s="118" t="s">
        <v>3</v>
      </c>
      <c r="C96" s="118" t="s">
        <v>4</v>
      </c>
      <c r="D96" s="118" t="s">
        <v>124</v>
      </c>
      <c r="E96" s="142" t="s">
        <v>5</v>
      </c>
      <c r="F96" s="142" t="s">
        <v>125</v>
      </c>
      <c r="G96" s="143" t="s">
        <v>126</v>
      </c>
      <c r="H96" s="143" t="s">
        <v>127</v>
      </c>
      <c r="I96" s="144" t="s">
        <v>128</v>
      </c>
      <c r="J96" s="170"/>
      <c r="K96" s="170"/>
      <c r="L96" s="170"/>
      <c r="M96" s="170"/>
      <c r="N96" s="170"/>
      <c r="O96" s="74"/>
      <c r="P96" s="74"/>
      <c r="Q96" s="74"/>
      <c r="R96" s="74"/>
      <c r="S96" s="74"/>
      <c r="T96" s="74"/>
      <c r="U96" s="74"/>
      <c r="V96" s="74"/>
      <c r="W96" s="74"/>
      <c r="X96" s="74"/>
      <c r="Y96" s="74"/>
      <c r="Z96" s="74"/>
    </row>
    <row r="97" ht="14.25" customHeight="1">
      <c r="A97" s="74"/>
      <c r="B97" s="302" t="s">
        <v>20</v>
      </c>
      <c r="C97" s="305">
        <f t="shared" ref="C97:F97" si="6">C87*$F$94</f>
        <v>0</v>
      </c>
      <c r="D97" s="495">
        <f t="shared" si="6"/>
        <v>0</v>
      </c>
      <c r="E97" s="496">
        <f t="shared" si="6"/>
        <v>-52.06362984</v>
      </c>
      <c r="F97" s="495">
        <f t="shared" si="6"/>
        <v>-23.53886153</v>
      </c>
      <c r="G97" s="495">
        <f t="shared" ref="G97:H97" si="7">C97+E97</f>
        <v>-52.06362984</v>
      </c>
      <c r="H97" s="495">
        <f t="shared" si="7"/>
        <v>-23.53886153</v>
      </c>
      <c r="I97" s="497" t="s">
        <v>297</v>
      </c>
      <c r="J97" s="170"/>
      <c r="K97" s="170"/>
      <c r="L97" s="170"/>
      <c r="M97" s="170"/>
      <c r="N97" s="170"/>
      <c r="O97" s="74"/>
      <c r="P97" s="74"/>
      <c r="Q97" s="74"/>
      <c r="R97" s="74"/>
      <c r="S97" s="74"/>
      <c r="T97" s="74"/>
      <c r="U97" s="74"/>
      <c r="V97" s="74"/>
      <c r="W97" s="74"/>
      <c r="X97" s="74"/>
      <c r="Y97" s="74"/>
      <c r="Z97" s="74"/>
    </row>
    <row r="98" ht="14.25" customHeight="1">
      <c r="A98" s="74"/>
      <c r="B98" s="231" t="s">
        <v>8</v>
      </c>
      <c r="C98" s="305">
        <f t="shared" ref="C98:F98" si="8">C88*$F$94</f>
        <v>0</v>
      </c>
      <c r="D98" s="495">
        <f t="shared" si="8"/>
        <v>0</v>
      </c>
      <c r="E98" s="496">
        <f t="shared" si="8"/>
        <v>-63.96934548</v>
      </c>
      <c r="F98" s="495">
        <f t="shared" si="8"/>
        <v>-28.63320047</v>
      </c>
      <c r="G98" s="495">
        <f t="shared" ref="G98:H98" si="9">C98+E98</f>
        <v>-63.96934548</v>
      </c>
      <c r="H98" s="495">
        <f t="shared" si="9"/>
        <v>-28.63320047</v>
      </c>
      <c r="I98" s="497" t="s">
        <v>297</v>
      </c>
      <c r="J98" s="170"/>
      <c r="K98" s="170"/>
      <c r="L98" s="170"/>
      <c r="M98" s="170"/>
      <c r="N98" s="170"/>
      <c r="O98" s="74"/>
      <c r="P98" s="74"/>
      <c r="Q98" s="74"/>
      <c r="R98" s="74"/>
      <c r="S98" s="74"/>
      <c r="T98" s="74"/>
      <c r="U98" s="74"/>
      <c r="V98" s="74"/>
      <c r="W98" s="74"/>
      <c r="X98" s="74"/>
      <c r="Y98" s="74"/>
      <c r="Z98" s="74"/>
    </row>
    <row r="99" ht="14.25" customHeight="1">
      <c r="A99" s="74"/>
      <c r="B99" s="231" t="s">
        <v>10</v>
      </c>
      <c r="C99" s="305">
        <f t="shared" ref="C99:F99" si="10">C89*$F$94</f>
        <v>445.082362</v>
      </c>
      <c r="D99" s="495">
        <f t="shared" si="10"/>
        <v>223.4083308</v>
      </c>
      <c r="E99" s="496">
        <f t="shared" si="10"/>
        <v>0</v>
      </c>
      <c r="F99" s="495">
        <f t="shared" si="10"/>
        <v>0</v>
      </c>
      <c r="G99" s="495">
        <f t="shared" ref="G99:H99" si="11">C99+E99</f>
        <v>445.082362</v>
      </c>
      <c r="H99" s="495">
        <f t="shared" si="11"/>
        <v>223.4083308</v>
      </c>
      <c r="I99" s="233"/>
      <c r="J99" s="170"/>
      <c r="K99" s="170"/>
      <c r="L99" s="170"/>
      <c r="M99" s="170"/>
      <c r="N99" s="170"/>
      <c r="O99" s="74"/>
      <c r="P99" s="74"/>
      <c r="Q99" s="74"/>
      <c r="R99" s="74"/>
      <c r="S99" s="74"/>
      <c r="T99" s="74"/>
      <c r="U99" s="74"/>
      <c r="V99" s="74"/>
      <c r="W99" s="74"/>
      <c r="X99" s="74"/>
      <c r="Y99" s="74"/>
      <c r="Z99" s="74"/>
    </row>
    <row r="100" ht="14.25" customHeight="1">
      <c r="A100" s="74"/>
      <c r="B100" s="231" t="s">
        <v>11</v>
      </c>
      <c r="C100" s="305">
        <f t="shared" ref="C100:F100" si="12">C90*$F$94</f>
        <v>0</v>
      </c>
      <c r="D100" s="495">
        <f t="shared" si="12"/>
        <v>0</v>
      </c>
      <c r="E100" s="496">
        <f t="shared" si="12"/>
        <v>0</v>
      </c>
      <c r="F100" s="495">
        <f t="shared" si="12"/>
        <v>0</v>
      </c>
      <c r="G100" s="495">
        <f t="shared" ref="G100:H100" si="13">C100+E100</f>
        <v>0</v>
      </c>
      <c r="H100" s="495">
        <f t="shared" si="13"/>
        <v>0</v>
      </c>
      <c r="I100" s="233"/>
      <c r="J100" s="170"/>
      <c r="K100" s="170"/>
      <c r="L100" s="170"/>
      <c r="M100" s="170"/>
      <c r="N100" s="170"/>
      <c r="O100" s="74"/>
      <c r="P100" s="74"/>
      <c r="Q100" s="74"/>
      <c r="R100" s="74"/>
      <c r="S100" s="74"/>
      <c r="T100" s="74"/>
      <c r="U100" s="74"/>
      <c r="V100" s="74"/>
      <c r="W100" s="74"/>
      <c r="X100" s="74"/>
      <c r="Y100" s="74"/>
      <c r="Z100" s="74"/>
    </row>
    <row r="101" ht="14.25" customHeight="1">
      <c r="A101" s="74"/>
      <c r="B101" s="231" t="s">
        <v>12</v>
      </c>
      <c r="C101" s="305">
        <f t="shared" ref="C101:F101" si="14">C91*$F$94</f>
        <v>659.3427175</v>
      </c>
      <c r="D101" s="495">
        <f t="shared" si="14"/>
        <v>10508.2768</v>
      </c>
      <c r="E101" s="496">
        <f t="shared" si="14"/>
        <v>0</v>
      </c>
      <c r="F101" s="495">
        <f t="shared" si="14"/>
        <v>0</v>
      </c>
      <c r="G101" s="495">
        <f t="shared" ref="G101:H101" si="15">C101+E101</f>
        <v>659.3427175</v>
      </c>
      <c r="H101" s="495">
        <f t="shared" si="15"/>
        <v>10508.2768</v>
      </c>
      <c r="I101" s="233"/>
      <c r="J101" s="170"/>
      <c r="K101" s="170"/>
      <c r="L101" s="170"/>
      <c r="M101" s="170"/>
      <c r="N101" s="170"/>
      <c r="O101" s="74"/>
      <c r="P101" s="74"/>
      <c r="Q101" s="74"/>
      <c r="R101" s="74"/>
      <c r="S101" s="74"/>
      <c r="T101" s="74"/>
      <c r="U101" s="74"/>
      <c r="V101" s="74"/>
      <c r="W101" s="74"/>
      <c r="X101" s="74"/>
      <c r="Y101" s="74"/>
      <c r="Z101" s="74"/>
    </row>
    <row r="102" ht="14.25" customHeight="1">
      <c r="A102" s="74"/>
      <c r="B102" s="231" t="s">
        <v>34</v>
      </c>
      <c r="C102" s="304">
        <f t="shared" ref="C102:F102" si="16">C92*$F$94</f>
        <v>63.82658411</v>
      </c>
      <c r="D102" s="495">
        <f t="shared" si="16"/>
        <v>2216.202356</v>
      </c>
      <c r="E102" s="495">
        <f t="shared" si="16"/>
        <v>0</v>
      </c>
      <c r="F102" s="495">
        <f t="shared" si="16"/>
        <v>0</v>
      </c>
      <c r="G102" s="495">
        <f t="shared" ref="G102:H102" si="17">C102+E102</f>
        <v>63.82658411</v>
      </c>
      <c r="H102" s="495">
        <f t="shared" si="17"/>
        <v>2216.202356</v>
      </c>
      <c r="I102" s="234" t="s">
        <v>656</v>
      </c>
      <c r="J102" s="170"/>
      <c r="K102" s="170"/>
      <c r="L102" s="170"/>
      <c r="M102" s="170"/>
      <c r="N102" s="170"/>
      <c r="O102" s="74"/>
      <c r="P102" s="74"/>
      <c r="Q102" s="74"/>
      <c r="R102" s="74"/>
      <c r="S102" s="74"/>
      <c r="T102" s="74"/>
      <c r="U102" s="74"/>
      <c r="V102" s="74"/>
      <c r="W102" s="74"/>
      <c r="X102" s="74"/>
      <c r="Y102" s="74"/>
      <c r="Z102" s="74"/>
    </row>
    <row r="103" ht="14.25" customHeight="1">
      <c r="A103" s="74"/>
      <c r="B103" s="174"/>
      <c r="C103" s="174"/>
      <c r="D103" s="174"/>
      <c r="E103" s="174"/>
      <c r="F103" s="174"/>
      <c r="G103" s="174"/>
      <c r="H103" s="174"/>
      <c r="I103" s="174"/>
      <c r="J103" s="170"/>
      <c r="K103" s="170"/>
      <c r="L103" s="170"/>
      <c r="M103" s="170"/>
      <c r="N103" s="170"/>
      <c r="O103" s="74"/>
      <c r="P103" s="74"/>
      <c r="Q103" s="74"/>
      <c r="R103" s="74"/>
      <c r="S103" s="74"/>
      <c r="T103" s="74"/>
      <c r="U103" s="74"/>
      <c r="V103" s="74"/>
      <c r="W103" s="74"/>
      <c r="X103" s="74"/>
      <c r="Y103" s="74"/>
      <c r="Z103" s="74"/>
    </row>
    <row r="104" ht="14.25" customHeight="1">
      <c r="A104" s="74"/>
      <c r="B104" s="174"/>
      <c r="C104" s="236">
        <f>SUM(C98:C102)</f>
        <v>1168.251664</v>
      </c>
      <c r="D104" s="174"/>
      <c r="E104" s="236">
        <f>SUM(E97:E102)</f>
        <v>-116.0329753</v>
      </c>
      <c r="F104" s="174"/>
      <c r="G104" s="174"/>
      <c r="H104" s="174"/>
      <c r="I104" s="174"/>
      <c r="J104" s="170"/>
      <c r="K104" s="170"/>
      <c r="L104" s="170"/>
      <c r="M104" s="170"/>
      <c r="N104" s="170"/>
      <c r="O104" s="74"/>
      <c r="P104" s="74"/>
      <c r="Q104" s="74"/>
      <c r="R104" s="74"/>
      <c r="S104" s="74"/>
      <c r="T104" s="74"/>
      <c r="U104" s="74"/>
      <c r="V104" s="74"/>
      <c r="W104" s="74"/>
      <c r="X104" s="74"/>
      <c r="Y104" s="74"/>
      <c r="Z104" s="74"/>
    </row>
    <row r="105" ht="14.25" customHeight="1">
      <c r="A105" s="74"/>
      <c r="B105" s="174"/>
      <c r="C105" s="174"/>
      <c r="D105" s="174"/>
      <c r="E105" s="174"/>
      <c r="F105" s="174"/>
      <c r="G105" s="174"/>
      <c r="H105" s="174"/>
      <c r="I105" s="174"/>
      <c r="J105" s="170"/>
      <c r="K105" s="170"/>
      <c r="L105" s="170"/>
      <c r="M105" s="170"/>
      <c r="N105" s="170"/>
      <c r="O105" s="74"/>
      <c r="P105" s="74"/>
      <c r="Q105" s="74"/>
      <c r="R105" s="74"/>
      <c r="S105" s="74"/>
      <c r="T105" s="74"/>
      <c r="U105" s="74"/>
      <c r="V105" s="74"/>
      <c r="W105" s="74"/>
      <c r="X105" s="74"/>
      <c r="Y105" s="74"/>
      <c r="Z105" s="74"/>
    </row>
    <row r="106" ht="14.25" customHeight="1">
      <c r="A106" s="74"/>
      <c r="B106" s="173" t="s">
        <v>14</v>
      </c>
      <c r="C106" s="174"/>
      <c r="D106" s="185">
        <f>D102*H94</f>
        <v>19426830.93</v>
      </c>
      <c r="E106" s="174"/>
      <c r="F106" s="185">
        <f>F102*H94</f>
        <v>0</v>
      </c>
      <c r="G106" s="174"/>
      <c r="H106" s="174"/>
      <c r="I106" s="174"/>
      <c r="J106" s="74"/>
      <c r="K106" s="170"/>
      <c r="L106" s="170"/>
      <c r="M106" s="170"/>
      <c r="N106" s="170"/>
      <c r="O106" s="74"/>
      <c r="P106" s="74"/>
      <c r="Q106" s="74"/>
      <c r="R106" s="74"/>
      <c r="S106" s="74"/>
      <c r="T106" s="74"/>
      <c r="U106" s="74"/>
      <c r="V106" s="74"/>
      <c r="W106" s="74"/>
      <c r="X106" s="74"/>
      <c r="Y106" s="74"/>
      <c r="Z106" s="74"/>
    </row>
    <row r="107" ht="14.25" customHeight="1">
      <c r="A107" s="74"/>
      <c r="B107" s="74"/>
      <c r="C107" s="74"/>
      <c r="D107" s="74"/>
      <c r="E107" s="74"/>
      <c r="F107" s="74"/>
      <c r="G107" s="74"/>
      <c r="H107" s="74"/>
      <c r="I107" s="74"/>
      <c r="J107" s="74"/>
      <c r="K107" s="170"/>
      <c r="L107" s="170"/>
      <c r="M107" s="170"/>
      <c r="N107" s="170"/>
      <c r="O107" s="74"/>
      <c r="P107" s="74"/>
      <c r="Q107" s="74"/>
      <c r="R107" s="74"/>
      <c r="S107" s="74"/>
      <c r="T107" s="74"/>
      <c r="U107" s="74"/>
      <c r="V107" s="74"/>
      <c r="W107" s="74"/>
      <c r="X107" s="74"/>
      <c r="Y107" s="74"/>
      <c r="Z107" s="74"/>
    </row>
    <row r="108" ht="15.0" customHeight="1">
      <c r="A108" s="74"/>
      <c r="B108" s="447" t="s">
        <v>300</v>
      </c>
      <c r="C108" s="448"/>
      <c r="D108" s="449"/>
      <c r="E108" s="449"/>
      <c r="F108" s="449"/>
      <c r="G108" s="449"/>
      <c r="H108" s="449"/>
      <c r="I108" s="449"/>
      <c r="J108" s="449"/>
      <c r="K108" s="449"/>
      <c r="L108" s="449"/>
      <c r="M108" s="498" t="s">
        <v>720</v>
      </c>
      <c r="N108" s="499"/>
      <c r="O108" s="74"/>
      <c r="P108" s="74"/>
      <c r="Q108" s="74"/>
      <c r="R108" s="74"/>
      <c r="S108" s="74"/>
      <c r="T108" s="74"/>
      <c r="U108" s="74"/>
      <c r="V108" s="74"/>
      <c r="W108" s="74"/>
      <c r="X108" s="74"/>
      <c r="Y108" s="74"/>
      <c r="Z108" s="74"/>
    </row>
    <row r="109" ht="15.0" customHeight="1">
      <c r="A109" s="74"/>
      <c r="B109" s="452" t="s">
        <v>658</v>
      </c>
      <c r="C109" s="245"/>
      <c r="D109" s="245"/>
      <c r="E109" s="245"/>
      <c r="F109" s="245"/>
      <c r="G109" s="245"/>
      <c r="H109" s="245"/>
      <c r="I109" s="318" t="s">
        <v>34</v>
      </c>
      <c r="J109" s="245"/>
      <c r="K109" s="245"/>
      <c r="L109" s="245"/>
      <c r="M109" s="245"/>
      <c r="N109" s="453"/>
      <c r="O109" s="74"/>
      <c r="P109" s="74"/>
      <c r="Q109" s="74"/>
      <c r="R109" s="74"/>
      <c r="S109" s="74"/>
      <c r="T109" s="74"/>
      <c r="U109" s="74"/>
      <c r="V109" s="74"/>
      <c r="W109" s="74"/>
      <c r="X109" s="74"/>
      <c r="Y109" s="74"/>
      <c r="Z109" s="74"/>
    </row>
    <row r="110" ht="15.0" customHeight="1">
      <c r="A110" s="74"/>
      <c r="B110" s="454" t="s">
        <v>301</v>
      </c>
      <c r="C110" s="246" t="s">
        <v>302</v>
      </c>
      <c r="D110" s="246" t="s">
        <v>303</v>
      </c>
      <c r="E110" s="246" t="s">
        <v>304</v>
      </c>
      <c r="F110" s="246" t="s">
        <v>305</v>
      </c>
      <c r="G110" s="246" t="s">
        <v>146</v>
      </c>
      <c r="H110" s="245"/>
      <c r="I110" s="246" t="s">
        <v>301</v>
      </c>
      <c r="J110" s="246" t="s">
        <v>302</v>
      </c>
      <c r="K110" s="246" t="s">
        <v>306</v>
      </c>
      <c r="L110" s="263" t="s">
        <v>307</v>
      </c>
      <c r="M110" s="263" t="s">
        <v>308</v>
      </c>
      <c r="N110" s="455" t="s">
        <v>146</v>
      </c>
      <c r="O110" s="74"/>
      <c r="P110" s="74"/>
      <c r="Q110" s="74"/>
      <c r="R110" s="74"/>
      <c r="S110" s="74"/>
      <c r="T110" s="74"/>
      <c r="U110" s="74"/>
      <c r="V110" s="74"/>
      <c r="W110" s="74"/>
      <c r="X110" s="74"/>
      <c r="Y110" s="74"/>
      <c r="Z110" s="74"/>
    </row>
    <row r="111" ht="15.0" customHeight="1">
      <c r="A111" s="74"/>
      <c r="B111" s="456" t="s">
        <v>659</v>
      </c>
      <c r="C111" s="321" t="s">
        <v>660</v>
      </c>
      <c r="D111" s="402">
        <v>-3128.46594</v>
      </c>
      <c r="E111" s="402">
        <v>-25.0</v>
      </c>
      <c r="F111" s="402">
        <v>-11.3154656</v>
      </c>
      <c r="G111" s="321" t="s">
        <v>137</v>
      </c>
      <c r="H111" s="245"/>
      <c r="I111" s="321" t="s">
        <v>721</v>
      </c>
      <c r="J111" s="321" t="s">
        <v>722</v>
      </c>
      <c r="K111" s="402">
        <v>1065.35927</v>
      </c>
      <c r="L111" s="402">
        <v>8.52287416</v>
      </c>
      <c r="M111" s="402">
        <v>30.682346976</v>
      </c>
      <c r="N111" s="457" t="s">
        <v>137</v>
      </c>
      <c r="O111" s="74"/>
      <c r="P111" s="74"/>
      <c r="Q111" s="74"/>
      <c r="R111" s="74"/>
      <c r="S111" s="74"/>
      <c r="T111" s="74"/>
      <c r="U111" s="74"/>
      <c r="V111" s="74"/>
      <c r="W111" s="74"/>
      <c r="X111" s="74"/>
      <c r="Y111" s="74"/>
      <c r="Z111" s="74"/>
    </row>
    <row r="112" ht="15.0" customHeight="1">
      <c r="A112" s="74"/>
      <c r="B112" s="456"/>
      <c r="C112" s="458"/>
      <c r="D112" s="402"/>
      <c r="E112" s="402"/>
      <c r="F112" s="402"/>
      <c r="G112" s="321"/>
      <c r="H112" s="245"/>
      <c r="I112" s="344"/>
      <c r="J112" s="344"/>
      <c r="K112" s="467"/>
      <c r="L112" s="500"/>
      <c r="M112" s="500"/>
      <c r="N112" s="457"/>
      <c r="O112" s="74"/>
      <c r="P112" s="74"/>
      <c r="Q112" s="74"/>
      <c r="R112" s="74"/>
      <c r="S112" s="74"/>
      <c r="T112" s="74"/>
      <c r="U112" s="74"/>
      <c r="V112" s="74"/>
      <c r="W112" s="74"/>
      <c r="X112" s="74"/>
      <c r="Y112" s="74"/>
      <c r="Z112" s="74"/>
    </row>
    <row r="113" ht="15.0" customHeight="1">
      <c r="A113" s="74"/>
      <c r="B113" s="459"/>
      <c r="C113" s="245"/>
      <c r="D113" s="245"/>
      <c r="E113" s="245"/>
      <c r="F113" s="245"/>
      <c r="G113" s="245"/>
      <c r="H113" s="245"/>
      <c r="I113" s="344"/>
      <c r="J113" s="344"/>
      <c r="K113" s="467"/>
      <c r="L113" s="500"/>
      <c r="M113" s="500"/>
      <c r="N113" s="457"/>
      <c r="O113" s="74"/>
      <c r="P113" s="74"/>
      <c r="Q113" s="74"/>
      <c r="R113" s="74"/>
      <c r="S113" s="74"/>
      <c r="T113" s="74"/>
      <c r="U113" s="74"/>
      <c r="V113" s="74"/>
      <c r="W113" s="74"/>
      <c r="X113" s="74"/>
      <c r="Y113" s="74"/>
      <c r="Z113" s="74"/>
    </row>
    <row r="114" ht="15.0" customHeight="1">
      <c r="A114" s="74"/>
      <c r="B114" s="452" t="s">
        <v>8</v>
      </c>
      <c r="C114" s="245"/>
      <c r="D114" s="245"/>
      <c r="E114" s="245"/>
      <c r="F114" s="245"/>
      <c r="G114" s="245"/>
      <c r="H114" s="245"/>
      <c r="I114" s="344"/>
      <c r="J114" s="344"/>
      <c r="K114" s="467"/>
      <c r="L114" s="500"/>
      <c r="M114" s="500"/>
      <c r="N114" s="457"/>
      <c r="O114" s="74"/>
      <c r="P114" s="74"/>
      <c r="Q114" s="74"/>
      <c r="R114" s="74"/>
      <c r="S114" s="74"/>
      <c r="T114" s="74"/>
      <c r="U114" s="74"/>
      <c r="V114" s="74"/>
      <c r="W114" s="74"/>
      <c r="X114" s="74"/>
      <c r="Y114" s="74"/>
      <c r="Z114" s="74"/>
    </row>
    <row r="115" ht="15.0" customHeight="1">
      <c r="A115" s="74"/>
      <c r="B115" s="454" t="s">
        <v>301</v>
      </c>
      <c r="C115" s="246" t="s">
        <v>302</v>
      </c>
      <c r="D115" s="246" t="s">
        <v>303</v>
      </c>
      <c r="E115" s="246" t="s">
        <v>304</v>
      </c>
      <c r="F115" s="246" t="s">
        <v>305</v>
      </c>
      <c r="G115" s="246" t="s">
        <v>146</v>
      </c>
      <c r="H115" s="245"/>
      <c r="I115" s="245"/>
      <c r="J115" s="245"/>
      <c r="K115" s="261"/>
      <c r="L115" s="261"/>
      <c r="M115" s="261"/>
      <c r="N115" s="453"/>
      <c r="O115" s="74"/>
      <c r="P115" s="74"/>
      <c r="Q115" s="74"/>
      <c r="R115" s="74"/>
      <c r="S115" s="74"/>
      <c r="T115" s="74"/>
      <c r="U115" s="74"/>
      <c r="V115" s="74"/>
      <c r="W115" s="74"/>
      <c r="X115" s="74"/>
      <c r="Y115" s="74"/>
      <c r="Z115" s="74"/>
    </row>
    <row r="116" ht="15.0" customHeight="1">
      <c r="A116" s="74"/>
      <c r="B116" s="466" t="s">
        <v>723</v>
      </c>
      <c r="C116" s="344" t="s">
        <v>724</v>
      </c>
      <c r="D116" s="467">
        <v>-3843.8718</v>
      </c>
      <c r="E116" s="467">
        <v>-31.0</v>
      </c>
      <c r="F116" s="467">
        <v>-13.7643868</v>
      </c>
      <c r="G116" s="467"/>
      <c r="H116" s="245"/>
      <c r="I116" s="318" t="s">
        <v>675</v>
      </c>
      <c r="J116" s="245"/>
      <c r="K116" s="261"/>
      <c r="L116" s="261"/>
      <c r="M116" s="261"/>
      <c r="N116" s="453"/>
      <c r="O116" s="74"/>
      <c r="P116" s="74"/>
      <c r="Q116" s="74"/>
      <c r="R116" s="74"/>
      <c r="S116" s="74"/>
      <c r="T116" s="74"/>
      <c r="U116" s="74"/>
      <c r="V116" s="74"/>
      <c r="W116" s="74"/>
      <c r="X116" s="74"/>
      <c r="Y116" s="74"/>
      <c r="Z116" s="74"/>
    </row>
    <row r="117" ht="15.0" customHeight="1">
      <c r="A117" s="74"/>
      <c r="B117" s="465" t="s">
        <v>137</v>
      </c>
      <c r="C117" s="247" t="s">
        <v>137</v>
      </c>
      <c r="D117" s="247" t="s">
        <v>137</v>
      </c>
      <c r="E117" s="247" t="s">
        <v>137</v>
      </c>
      <c r="F117" s="247" t="s">
        <v>137</v>
      </c>
      <c r="G117" s="247" t="s">
        <v>137</v>
      </c>
      <c r="H117" s="245"/>
      <c r="I117" s="246" t="s">
        <v>301</v>
      </c>
      <c r="J117" s="246" t="s">
        <v>302</v>
      </c>
      <c r="K117" s="501" t="s">
        <v>303</v>
      </c>
      <c r="L117" s="501" t="s">
        <v>304</v>
      </c>
      <c r="M117" s="501" t="s">
        <v>305</v>
      </c>
      <c r="N117" s="455" t="s">
        <v>146</v>
      </c>
      <c r="O117" s="74"/>
      <c r="P117" s="74"/>
      <c r="Q117" s="74"/>
      <c r="R117" s="74"/>
      <c r="S117" s="74"/>
      <c r="T117" s="74"/>
      <c r="U117" s="74"/>
      <c r="V117" s="74"/>
      <c r="W117" s="74"/>
      <c r="X117" s="74"/>
      <c r="Y117" s="74"/>
      <c r="Z117" s="74"/>
    </row>
    <row r="118" ht="15.0" customHeight="1">
      <c r="A118" s="74"/>
      <c r="B118" s="459"/>
      <c r="C118" s="245"/>
      <c r="D118" s="245"/>
      <c r="E118" s="245"/>
      <c r="F118" s="245"/>
      <c r="G118" s="245"/>
      <c r="H118" s="245"/>
      <c r="I118" s="247" t="s">
        <v>137</v>
      </c>
      <c r="J118" s="247" t="s">
        <v>137</v>
      </c>
      <c r="K118" s="247" t="s">
        <v>137</v>
      </c>
      <c r="L118" s="247" t="s">
        <v>137</v>
      </c>
      <c r="M118" s="247" t="s">
        <v>137</v>
      </c>
      <c r="N118" s="457" t="s">
        <v>137</v>
      </c>
      <c r="O118" s="74"/>
      <c r="P118" s="74"/>
      <c r="Q118" s="74"/>
      <c r="R118" s="74"/>
      <c r="S118" s="74"/>
      <c r="T118" s="74"/>
      <c r="U118" s="74"/>
      <c r="V118" s="74"/>
      <c r="W118" s="74"/>
      <c r="X118" s="74"/>
      <c r="Y118" s="74"/>
      <c r="Z118" s="74"/>
    </row>
    <row r="119" ht="15.0" customHeight="1">
      <c r="A119" s="74"/>
      <c r="B119" s="452" t="s">
        <v>10</v>
      </c>
      <c r="C119" s="245"/>
      <c r="D119" s="245"/>
      <c r="E119" s="245"/>
      <c r="F119" s="245"/>
      <c r="G119" s="245"/>
      <c r="H119" s="245"/>
      <c r="I119" s="247" t="s">
        <v>137</v>
      </c>
      <c r="J119" s="247" t="s">
        <v>137</v>
      </c>
      <c r="K119" s="247" t="s">
        <v>137</v>
      </c>
      <c r="L119" s="247" t="s">
        <v>137</v>
      </c>
      <c r="M119" s="247" t="s">
        <v>137</v>
      </c>
      <c r="N119" s="457" t="s">
        <v>137</v>
      </c>
      <c r="O119" s="74"/>
      <c r="P119" s="74"/>
      <c r="Q119" s="74"/>
      <c r="R119" s="74"/>
      <c r="S119" s="74"/>
      <c r="T119" s="74"/>
      <c r="U119" s="74"/>
      <c r="V119" s="74"/>
      <c r="W119" s="74"/>
      <c r="X119" s="74"/>
      <c r="Y119" s="74"/>
      <c r="Z119" s="74"/>
    </row>
    <row r="120" ht="15.0" customHeight="1">
      <c r="A120" s="74"/>
      <c r="B120" s="454" t="s">
        <v>301</v>
      </c>
      <c r="C120" s="246" t="s">
        <v>302</v>
      </c>
      <c r="D120" s="246" t="s">
        <v>303</v>
      </c>
      <c r="E120" s="246" t="s">
        <v>304</v>
      </c>
      <c r="F120" s="246" t="s">
        <v>305</v>
      </c>
      <c r="G120" s="246" t="s">
        <v>146</v>
      </c>
      <c r="H120" s="245"/>
      <c r="I120" s="247" t="s">
        <v>137</v>
      </c>
      <c r="J120" s="247" t="s">
        <v>137</v>
      </c>
      <c r="K120" s="247" t="s">
        <v>137</v>
      </c>
      <c r="L120" s="247" t="s">
        <v>137</v>
      </c>
      <c r="M120" s="247" t="s">
        <v>137</v>
      </c>
      <c r="N120" s="457" t="s">
        <v>137</v>
      </c>
      <c r="O120" s="74"/>
      <c r="P120" s="74"/>
      <c r="Q120" s="74"/>
      <c r="R120" s="74"/>
      <c r="S120" s="74"/>
      <c r="T120" s="74"/>
      <c r="U120" s="74"/>
      <c r="V120" s="74"/>
      <c r="W120" s="74"/>
      <c r="X120" s="74"/>
      <c r="Y120" s="74"/>
      <c r="Z120" s="74"/>
    </row>
    <row r="121" ht="15.0" customHeight="1">
      <c r="A121" s="74"/>
      <c r="B121" s="466" t="s">
        <v>725</v>
      </c>
      <c r="C121" s="344" t="s">
        <v>726</v>
      </c>
      <c r="D121" s="247">
        <v>3718.23789</v>
      </c>
      <c r="E121" s="247" t="str">
        <f t="shared" ref="E121:E122" si="18">D121*'[7]Inputs and assumptions'!$E$13/1000000</f>
        <v>#REF!</v>
      </c>
      <c r="F121" s="247">
        <v>14.9309052</v>
      </c>
      <c r="G121" s="247" t="s">
        <v>137</v>
      </c>
      <c r="H121" s="245"/>
      <c r="I121" s="245"/>
      <c r="J121" s="245"/>
      <c r="K121" s="261"/>
      <c r="L121" s="261"/>
      <c r="M121" s="261"/>
      <c r="N121" s="453"/>
      <c r="O121" s="74"/>
      <c r="P121" s="74"/>
      <c r="Q121" s="74"/>
      <c r="R121" s="74"/>
      <c r="S121" s="74"/>
      <c r="T121" s="74"/>
      <c r="U121" s="74"/>
      <c r="V121" s="74"/>
      <c r="W121" s="74"/>
      <c r="X121" s="74"/>
      <c r="Y121" s="74"/>
      <c r="Z121" s="74"/>
    </row>
    <row r="122" ht="15.0" customHeight="1">
      <c r="A122" s="74"/>
      <c r="B122" s="466" t="s">
        <v>727</v>
      </c>
      <c r="C122" s="344" t="s">
        <v>660</v>
      </c>
      <c r="D122" s="247">
        <v>23026.44</v>
      </c>
      <c r="E122" s="247" t="str">
        <f t="shared" si="18"/>
        <v>#REF!</v>
      </c>
      <c r="F122" s="247">
        <v>92.4646576</v>
      </c>
      <c r="G122" s="250" t="s">
        <v>137</v>
      </c>
      <c r="H122" s="245"/>
      <c r="I122" s="318" t="s">
        <v>12</v>
      </c>
      <c r="J122" s="245"/>
      <c r="K122" s="261"/>
      <c r="L122" s="261"/>
      <c r="M122" s="261"/>
      <c r="N122" s="453"/>
      <c r="O122" s="74"/>
      <c r="P122" s="74"/>
      <c r="Q122" s="74"/>
      <c r="R122" s="74"/>
      <c r="S122" s="74"/>
      <c r="T122" s="74"/>
      <c r="U122" s="74"/>
      <c r="V122" s="74"/>
      <c r="W122" s="74"/>
      <c r="X122" s="74"/>
      <c r="Y122" s="74"/>
      <c r="Z122" s="74"/>
    </row>
    <row r="123" ht="15.0" customHeight="1">
      <c r="A123" s="74"/>
      <c r="B123" s="502" t="s">
        <v>137</v>
      </c>
      <c r="C123" s="248" t="s">
        <v>137</v>
      </c>
      <c r="D123" s="250" t="s">
        <v>137</v>
      </c>
      <c r="E123" s="250" t="s">
        <v>137</v>
      </c>
      <c r="F123" s="250" t="s">
        <v>137</v>
      </c>
      <c r="G123" s="250" t="s">
        <v>137</v>
      </c>
      <c r="H123" s="245"/>
      <c r="I123" s="246" t="s">
        <v>301</v>
      </c>
      <c r="J123" s="246" t="s">
        <v>302</v>
      </c>
      <c r="K123" s="501" t="s">
        <v>303</v>
      </c>
      <c r="L123" s="501" t="s">
        <v>304</v>
      </c>
      <c r="M123" s="501" t="s">
        <v>305</v>
      </c>
      <c r="N123" s="455" t="s">
        <v>146</v>
      </c>
      <c r="O123" s="74"/>
      <c r="P123" s="74"/>
      <c r="Q123" s="74"/>
      <c r="R123" s="74"/>
      <c r="S123" s="74"/>
      <c r="T123" s="74"/>
      <c r="U123" s="74"/>
      <c r="V123" s="74"/>
      <c r="W123" s="74"/>
      <c r="X123" s="74"/>
      <c r="Y123" s="74"/>
      <c r="Z123" s="74"/>
    </row>
    <row r="124" ht="15.0" customHeight="1">
      <c r="A124" s="74"/>
      <c r="B124" s="459"/>
      <c r="C124" s="245"/>
      <c r="D124" s="245"/>
      <c r="E124" s="245"/>
      <c r="F124" s="261">
        <f>SUM(F121:F122)</f>
        <v>107.3955628</v>
      </c>
      <c r="G124" s="245"/>
      <c r="H124" s="245"/>
      <c r="I124" s="321" t="s">
        <v>721</v>
      </c>
      <c r="J124" s="321" t="s">
        <v>722</v>
      </c>
      <c r="K124" s="402">
        <v>715.630688</v>
      </c>
      <c r="L124" s="402">
        <v>5.725045504</v>
      </c>
      <c r="M124" s="402">
        <v>91.2429322</v>
      </c>
      <c r="N124" s="457"/>
      <c r="O124" s="74"/>
      <c r="P124" s="74"/>
      <c r="Q124" s="74"/>
      <c r="R124" s="74"/>
      <c r="S124" s="74"/>
      <c r="T124" s="74"/>
      <c r="U124" s="74"/>
      <c r="V124" s="74"/>
      <c r="W124" s="74"/>
      <c r="X124" s="74"/>
      <c r="Y124" s="74"/>
      <c r="Z124" s="74"/>
    </row>
    <row r="125" ht="15.0" customHeight="1">
      <c r="A125" s="74"/>
      <c r="B125" s="452" t="s">
        <v>11</v>
      </c>
      <c r="C125" s="245"/>
      <c r="D125" s="245"/>
      <c r="E125" s="245"/>
      <c r="F125" s="245"/>
      <c r="G125" s="245"/>
      <c r="H125" s="245"/>
      <c r="I125" s="321" t="s">
        <v>728</v>
      </c>
      <c r="J125" s="321" t="s">
        <v>729</v>
      </c>
      <c r="K125" s="402">
        <v>2088.51778</v>
      </c>
      <c r="L125" s="402">
        <v>16.70814224</v>
      </c>
      <c r="M125" s="402">
        <v>266.286074</v>
      </c>
      <c r="N125" s="457"/>
      <c r="O125" s="74"/>
      <c r="P125" s="74"/>
      <c r="Q125" s="74"/>
      <c r="R125" s="74"/>
      <c r="S125" s="74"/>
      <c r="T125" s="74"/>
      <c r="U125" s="74"/>
      <c r="V125" s="74"/>
      <c r="W125" s="74"/>
      <c r="X125" s="74"/>
      <c r="Y125" s="74"/>
      <c r="Z125" s="74"/>
    </row>
    <row r="126" ht="15.0" customHeight="1">
      <c r="A126" s="74"/>
      <c r="B126" s="454" t="s">
        <v>301</v>
      </c>
      <c r="C126" s="246" t="s">
        <v>302</v>
      </c>
      <c r="D126" s="246" t="s">
        <v>303</v>
      </c>
      <c r="E126" s="246" t="s">
        <v>304</v>
      </c>
      <c r="F126" s="246" t="s">
        <v>305</v>
      </c>
      <c r="G126" s="246" t="s">
        <v>146</v>
      </c>
      <c r="H126" s="245"/>
      <c r="I126" s="321" t="s">
        <v>730</v>
      </c>
      <c r="J126" s="321" t="s">
        <v>731</v>
      </c>
      <c r="K126" s="402">
        <v>98.7729439</v>
      </c>
      <c r="L126" s="460">
        <v>0.7901835512</v>
      </c>
      <c r="M126" s="402">
        <v>12.593553</v>
      </c>
      <c r="N126" s="457"/>
      <c r="O126" s="74"/>
      <c r="P126" s="74"/>
      <c r="Q126" s="74"/>
      <c r="R126" s="74"/>
      <c r="S126" s="74"/>
      <c r="T126" s="74"/>
      <c r="U126" s="74"/>
      <c r="V126" s="74"/>
      <c r="W126" s="74"/>
      <c r="X126" s="74"/>
      <c r="Y126" s="74"/>
      <c r="Z126" s="74"/>
    </row>
    <row r="127" ht="15.0" customHeight="1">
      <c r="A127" s="74"/>
      <c r="B127" s="502" t="s">
        <v>137</v>
      </c>
      <c r="C127" s="248" t="s">
        <v>137</v>
      </c>
      <c r="D127" s="247" t="s">
        <v>137</v>
      </c>
      <c r="E127" s="247" t="s">
        <v>137</v>
      </c>
      <c r="F127" s="247" t="s">
        <v>137</v>
      </c>
      <c r="G127" s="247" t="s">
        <v>137</v>
      </c>
      <c r="H127" s="245"/>
      <c r="I127" s="321" t="s">
        <v>725</v>
      </c>
      <c r="J127" s="321" t="s">
        <v>726</v>
      </c>
      <c r="K127" s="402">
        <v>15523.6396</v>
      </c>
      <c r="L127" s="402">
        <v>124.1891168</v>
      </c>
      <c r="M127" s="402">
        <v>1979.26447</v>
      </c>
      <c r="N127" s="457"/>
      <c r="O127" s="74"/>
      <c r="P127" s="74"/>
      <c r="Q127" s="74"/>
      <c r="R127" s="74"/>
      <c r="S127" s="74"/>
      <c r="T127" s="74"/>
      <c r="U127" s="74"/>
      <c r="V127" s="74"/>
      <c r="W127" s="74"/>
      <c r="X127" s="74"/>
      <c r="Y127" s="74"/>
      <c r="Z127" s="74"/>
    </row>
    <row r="128" ht="15.0" customHeight="1">
      <c r="A128" s="74"/>
      <c r="B128" s="465" t="s">
        <v>137</v>
      </c>
      <c r="C128" s="247" t="s">
        <v>137</v>
      </c>
      <c r="D128" s="247" t="s">
        <v>137</v>
      </c>
      <c r="E128" s="247" t="s">
        <v>137</v>
      </c>
      <c r="F128" s="247" t="s">
        <v>137</v>
      </c>
      <c r="G128" s="247" t="s">
        <v>137</v>
      </c>
      <c r="H128" s="245"/>
      <c r="I128" s="321" t="s">
        <v>727</v>
      </c>
      <c r="J128" s="321" t="s">
        <v>660</v>
      </c>
      <c r="K128" s="402">
        <v>21192.867</v>
      </c>
      <c r="L128" s="402">
        <v>169.542936</v>
      </c>
      <c r="M128" s="402">
        <v>2702.09112</v>
      </c>
      <c r="N128" s="457"/>
      <c r="O128" s="74"/>
      <c r="P128" s="74"/>
      <c r="Q128" s="74"/>
      <c r="R128" s="74"/>
      <c r="S128" s="74"/>
      <c r="T128" s="74"/>
      <c r="U128" s="74"/>
      <c r="V128" s="74"/>
      <c r="W128" s="74"/>
      <c r="X128" s="74"/>
      <c r="Y128" s="74"/>
      <c r="Z128" s="74"/>
    </row>
    <row r="129" ht="15.0" customHeight="1">
      <c r="A129" s="74"/>
      <c r="B129" s="459"/>
      <c r="C129" s="245"/>
      <c r="D129" s="245"/>
      <c r="E129" s="245"/>
      <c r="F129" s="245"/>
      <c r="G129" s="245"/>
      <c r="H129" s="245"/>
      <c r="I129" s="344"/>
      <c r="J129" s="468"/>
      <c r="K129" s="467"/>
      <c r="L129" s="467"/>
      <c r="M129" s="467"/>
      <c r="N129" s="457"/>
      <c r="O129" s="74"/>
      <c r="P129" s="74"/>
      <c r="Q129" s="74"/>
      <c r="R129" s="74"/>
      <c r="S129" s="74"/>
      <c r="T129" s="74"/>
      <c r="U129" s="74"/>
      <c r="V129" s="74"/>
      <c r="W129" s="74"/>
      <c r="X129" s="74"/>
      <c r="Y129" s="74"/>
      <c r="Z129" s="74"/>
    </row>
    <row r="130" ht="15.0" customHeight="1">
      <c r="A130" s="74"/>
      <c r="B130" s="452" t="s">
        <v>688</v>
      </c>
      <c r="C130" s="245"/>
      <c r="D130" s="245"/>
      <c r="E130" s="245"/>
      <c r="F130" s="245"/>
      <c r="G130" s="245"/>
      <c r="H130" s="245"/>
      <c r="I130" s="344"/>
      <c r="J130" s="468"/>
      <c r="K130" s="467"/>
      <c r="L130" s="467"/>
      <c r="M130" s="467"/>
      <c r="N130" s="457"/>
      <c r="O130" s="74"/>
      <c r="P130" s="74"/>
      <c r="Q130" s="74"/>
      <c r="R130" s="74"/>
      <c r="S130" s="74"/>
      <c r="T130" s="74"/>
      <c r="U130" s="74"/>
      <c r="V130" s="74"/>
      <c r="W130" s="74"/>
      <c r="X130" s="74"/>
      <c r="Y130" s="74"/>
      <c r="Z130" s="74"/>
    </row>
    <row r="131" ht="15.0" customHeight="1">
      <c r="A131" s="74"/>
      <c r="B131" s="454" t="s">
        <v>301</v>
      </c>
      <c r="C131" s="246" t="s">
        <v>302</v>
      </c>
      <c r="D131" s="246" t="s">
        <v>303</v>
      </c>
      <c r="E131" s="246" t="s">
        <v>304</v>
      </c>
      <c r="F131" s="246" t="s">
        <v>305</v>
      </c>
      <c r="G131" s="246" t="s">
        <v>146</v>
      </c>
      <c r="H131" s="245"/>
      <c r="I131" s="245"/>
      <c r="J131" s="245"/>
      <c r="K131" s="245"/>
      <c r="L131" s="245"/>
      <c r="M131" s="261">
        <f>SUM(M124:M129)</f>
        <v>5051.478149</v>
      </c>
      <c r="N131" s="453"/>
      <c r="O131" s="74"/>
      <c r="P131" s="74"/>
      <c r="Q131" s="74"/>
      <c r="R131" s="74"/>
      <c r="S131" s="74"/>
      <c r="T131" s="74"/>
      <c r="U131" s="74"/>
      <c r="V131" s="74"/>
      <c r="W131" s="74"/>
      <c r="X131" s="74"/>
      <c r="Y131" s="74"/>
      <c r="Z131" s="74"/>
    </row>
    <row r="132" ht="15.0" customHeight="1">
      <c r="A132" s="74"/>
      <c r="B132" s="465" t="s">
        <v>137</v>
      </c>
      <c r="C132" s="247" t="s">
        <v>137</v>
      </c>
      <c r="D132" s="247" t="s">
        <v>137</v>
      </c>
      <c r="E132" s="247" t="s">
        <v>137</v>
      </c>
      <c r="F132" s="247" t="s">
        <v>137</v>
      </c>
      <c r="G132" s="247" t="s">
        <v>137</v>
      </c>
      <c r="H132" s="245"/>
      <c r="I132" s="245"/>
      <c r="J132" s="245"/>
      <c r="K132" s="245"/>
      <c r="L132" s="245"/>
      <c r="M132" s="245"/>
      <c r="N132" s="453"/>
      <c r="O132" s="74"/>
      <c r="P132" s="74"/>
      <c r="Q132" s="74"/>
      <c r="R132" s="74"/>
      <c r="S132" s="74"/>
      <c r="T132" s="74"/>
      <c r="U132" s="74"/>
      <c r="V132" s="74"/>
      <c r="W132" s="74"/>
      <c r="X132" s="74"/>
      <c r="Y132" s="74"/>
      <c r="Z132" s="74"/>
    </row>
    <row r="133" ht="15.0" customHeight="1">
      <c r="A133" s="74"/>
      <c r="B133" s="465" t="s">
        <v>137</v>
      </c>
      <c r="C133" s="247" t="s">
        <v>137</v>
      </c>
      <c r="D133" s="247" t="s">
        <v>137</v>
      </c>
      <c r="E133" s="247" t="s">
        <v>137</v>
      </c>
      <c r="F133" s="247" t="s">
        <v>137</v>
      </c>
      <c r="G133" s="247" t="s">
        <v>137</v>
      </c>
      <c r="H133" s="245"/>
      <c r="I133" s="245"/>
      <c r="J133" s="245"/>
      <c r="K133" s="245"/>
      <c r="L133" s="245"/>
      <c r="M133" s="245"/>
      <c r="N133" s="453"/>
      <c r="O133" s="74"/>
      <c r="P133" s="74"/>
      <c r="Q133" s="74"/>
      <c r="R133" s="74"/>
      <c r="S133" s="74"/>
      <c r="T133" s="74"/>
      <c r="U133" s="74"/>
      <c r="V133" s="74"/>
      <c r="W133" s="74"/>
      <c r="X133" s="74"/>
      <c r="Y133" s="74"/>
      <c r="Z133" s="74"/>
    </row>
    <row r="134" ht="15.0" customHeight="1">
      <c r="A134" s="74"/>
      <c r="B134" s="471" t="s">
        <v>137</v>
      </c>
      <c r="C134" s="472" t="s">
        <v>137</v>
      </c>
      <c r="D134" s="472" t="s">
        <v>137</v>
      </c>
      <c r="E134" s="472" t="s">
        <v>137</v>
      </c>
      <c r="F134" s="472" t="s">
        <v>137</v>
      </c>
      <c r="G134" s="472" t="s">
        <v>137</v>
      </c>
      <c r="H134" s="473"/>
      <c r="I134" s="473"/>
      <c r="J134" s="473"/>
      <c r="K134" s="473"/>
      <c r="L134" s="473"/>
      <c r="M134" s="473"/>
      <c r="N134" s="503"/>
      <c r="O134" s="74"/>
      <c r="P134" s="74"/>
      <c r="Q134" s="74"/>
      <c r="R134" s="74"/>
      <c r="S134" s="74"/>
      <c r="T134" s="74"/>
      <c r="U134" s="74"/>
      <c r="V134" s="74"/>
      <c r="W134" s="74"/>
      <c r="X134" s="74"/>
      <c r="Y134" s="74"/>
      <c r="Z134" s="74"/>
    </row>
    <row r="135" ht="14.25" customHeight="1">
      <c r="A135" s="74"/>
      <c r="B135" s="117"/>
      <c r="C135" s="117"/>
      <c r="D135" s="117"/>
      <c r="E135" s="117"/>
      <c r="F135" s="117"/>
      <c r="G135" s="117"/>
      <c r="H135" s="117"/>
      <c r="I135" s="117"/>
      <c r="J135" s="74"/>
      <c r="K135" s="74"/>
      <c r="L135" s="74"/>
      <c r="M135" s="74"/>
      <c r="N135" s="74"/>
      <c r="O135" s="74"/>
      <c r="P135" s="74"/>
      <c r="Q135" s="74"/>
      <c r="R135" s="74"/>
      <c r="S135" s="74"/>
      <c r="T135" s="74"/>
      <c r="U135" s="74"/>
      <c r="V135" s="74"/>
      <c r="W135" s="74"/>
      <c r="X135" s="74"/>
      <c r="Y135" s="74"/>
      <c r="Z135" s="74"/>
    </row>
    <row r="136" ht="14.25" customHeight="1">
      <c r="A136" s="74"/>
      <c r="B136" s="117"/>
      <c r="C136" s="117"/>
      <c r="D136" s="117"/>
      <c r="E136" s="117"/>
      <c r="F136" s="117"/>
      <c r="G136" s="117"/>
      <c r="H136" s="117"/>
      <c r="I136" s="117"/>
      <c r="J136" s="74"/>
      <c r="K136" s="74"/>
      <c r="L136" s="74"/>
      <c r="M136" s="74"/>
      <c r="N136" s="74"/>
      <c r="O136" s="74"/>
      <c r="P136" s="74"/>
      <c r="Q136" s="74"/>
      <c r="R136" s="74"/>
      <c r="S136" s="74"/>
      <c r="T136" s="74"/>
      <c r="U136" s="74"/>
      <c r="V136" s="74"/>
      <c r="W136" s="74"/>
      <c r="X136" s="74"/>
      <c r="Y136" s="74"/>
      <c r="Z136" s="74"/>
    </row>
    <row r="137" ht="14.25" customHeight="1">
      <c r="A137" s="74"/>
      <c r="B137" s="110" t="s">
        <v>163</v>
      </c>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4.25" customHeight="1">
      <c r="A138" s="74"/>
      <c r="B138" s="188" t="s">
        <v>732</v>
      </c>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4.25" customHeight="1">
      <c r="A139" s="74"/>
      <c r="B139" s="188" t="s">
        <v>165</v>
      </c>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4.25" customHeight="1">
      <c r="A140" s="74"/>
      <c r="B140" s="188" t="s">
        <v>166</v>
      </c>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4.25" customHeight="1">
      <c r="A145" s="74"/>
      <c r="B145" s="267" t="s">
        <v>167</v>
      </c>
      <c r="C145" s="376" t="s">
        <v>168</v>
      </c>
      <c r="D145" s="377"/>
      <c r="E145" s="324"/>
      <c r="F145" s="74"/>
      <c r="G145" s="74"/>
      <c r="H145" s="74"/>
      <c r="I145" s="74"/>
      <c r="J145" s="74"/>
      <c r="K145" s="74"/>
      <c r="L145" s="74"/>
      <c r="M145" s="74"/>
      <c r="N145" s="74"/>
      <c r="O145" s="74"/>
      <c r="P145" s="74"/>
      <c r="Q145" s="74"/>
      <c r="R145" s="74"/>
      <c r="S145" s="74"/>
      <c r="T145" s="74"/>
      <c r="U145" s="74"/>
      <c r="V145" s="74"/>
      <c r="W145" s="74"/>
      <c r="X145" s="74"/>
      <c r="Y145" s="74"/>
      <c r="Z145" s="74"/>
    </row>
    <row r="146" ht="14.25" customHeight="1">
      <c r="A146" s="74"/>
      <c r="B146" s="271" t="s">
        <v>696</v>
      </c>
      <c r="C146" s="367" t="s">
        <v>733</v>
      </c>
      <c r="D146" s="93"/>
      <c r="E146" s="94"/>
      <c r="F146" s="74"/>
      <c r="G146" s="74"/>
      <c r="H146" s="74"/>
      <c r="I146" s="74"/>
      <c r="J146" s="74"/>
      <c r="K146" s="74"/>
      <c r="L146" s="74"/>
      <c r="M146" s="74"/>
      <c r="N146" s="74"/>
      <c r="O146" s="74"/>
      <c r="P146" s="74"/>
      <c r="Q146" s="74"/>
      <c r="R146" s="74"/>
      <c r="S146" s="74"/>
      <c r="T146" s="74"/>
      <c r="U146" s="74"/>
      <c r="V146" s="74"/>
      <c r="W146" s="74"/>
      <c r="X146" s="74"/>
      <c r="Y146" s="74"/>
      <c r="Z146" s="74"/>
    </row>
    <row r="147" ht="14.25" customHeight="1">
      <c r="A147" s="74"/>
      <c r="B147" s="273" t="s">
        <v>698</v>
      </c>
      <c r="C147" s="274" t="s">
        <v>734</v>
      </c>
      <c r="E147" s="29"/>
      <c r="F147" s="74"/>
      <c r="G147" s="74"/>
      <c r="H147" s="74"/>
      <c r="I147" s="74"/>
      <c r="J147" s="74"/>
      <c r="K147" s="74"/>
      <c r="L147" s="74"/>
      <c r="M147" s="74"/>
      <c r="N147" s="74"/>
      <c r="O147" s="74"/>
      <c r="P147" s="74"/>
      <c r="Q147" s="74"/>
      <c r="R147" s="74"/>
      <c r="S147" s="74"/>
      <c r="T147" s="74"/>
      <c r="U147" s="74"/>
      <c r="V147" s="74"/>
      <c r="W147" s="74"/>
      <c r="X147" s="74"/>
      <c r="Y147" s="74"/>
      <c r="Z147" s="74"/>
    </row>
    <row r="148" ht="14.25" customHeight="1">
      <c r="A148" s="74"/>
      <c r="B148" s="479" t="s">
        <v>700</v>
      </c>
      <c r="C148" s="277" t="s">
        <v>735</v>
      </c>
      <c r="D148" s="95"/>
      <c r="E148" s="38"/>
      <c r="F148" s="74"/>
      <c r="G148" s="74"/>
      <c r="H148" s="74"/>
      <c r="I148" s="74"/>
      <c r="J148" s="74"/>
      <c r="K148" s="74"/>
      <c r="L148" s="74"/>
      <c r="M148" s="74"/>
      <c r="N148" s="74"/>
      <c r="O148" s="74"/>
      <c r="P148" s="74"/>
      <c r="Q148" s="74"/>
      <c r="R148" s="74"/>
      <c r="S148" s="74"/>
      <c r="T148" s="74"/>
      <c r="U148" s="74"/>
      <c r="V148" s="74"/>
      <c r="W148" s="74"/>
      <c r="X148" s="74"/>
      <c r="Y148" s="74"/>
      <c r="Z148" s="74"/>
    </row>
    <row r="149" ht="14.25" customHeight="1">
      <c r="A149" s="74"/>
      <c r="B149" s="387"/>
      <c r="C149" s="388"/>
      <c r="D149" s="76"/>
      <c r="E149" s="77"/>
      <c r="F149" s="74"/>
      <c r="G149" s="74"/>
      <c r="H149" s="74"/>
      <c r="I149" s="74"/>
      <c r="J149" s="74"/>
      <c r="K149" s="74"/>
      <c r="L149" s="74"/>
      <c r="M149" s="74"/>
      <c r="N149" s="74"/>
      <c r="O149" s="74"/>
      <c r="P149" s="74"/>
      <c r="Q149" s="74"/>
      <c r="R149" s="74"/>
      <c r="S149" s="74"/>
      <c r="T149" s="74"/>
      <c r="U149" s="74"/>
      <c r="V149" s="74"/>
      <c r="W149" s="74"/>
      <c r="X149" s="74"/>
      <c r="Y149" s="74"/>
      <c r="Z149" s="74"/>
    </row>
    <row r="150" ht="14.25" customHeight="1">
      <c r="A150" s="74"/>
      <c r="B150" s="387"/>
      <c r="C150" s="504"/>
      <c r="D150" s="76"/>
      <c r="E150" s="77"/>
      <c r="F150" s="74"/>
      <c r="G150" s="74"/>
      <c r="H150" s="74"/>
      <c r="I150" s="74"/>
      <c r="J150" s="74"/>
      <c r="K150" s="74"/>
      <c r="L150" s="74"/>
      <c r="M150" s="74"/>
      <c r="N150" s="74"/>
      <c r="O150" s="74"/>
      <c r="P150" s="74"/>
      <c r="Q150" s="74"/>
      <c r="R150" s="74"/>
      <c r="S150" s="74"/>
      <c r="T150" s="74"/>
      <c r="U150" s="74"/>
      <c r="V150" s="74"/>
      <c r="W150" s="74"/>
      <c r="X150" s="74"/>
      <c r="Y150" s="74"/>
      <c r="Z150" s="74"/>
    </row>
    <row r="151" ht="14.25" customHeight="1">
      <c r="A151" s="74"/>
      <c r="B151" s="387"/>
      <c r="C151" s="504"/>
      <c r="D151" s="76"/>
      <c r="E151" s="77"/>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row r="1001" ht="14.25" customHeight="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row>
    <row r="1002" ht="14.25" customHeight="1">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c r="Y1002" s="74"/>
      <c r="Z1002" s="74"/>
    </row>
    <row r="1003" ht="14.25" customHeight="1">
      <c r="A1003" s="74"/>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c r="Y1003" s="74"/>
      <c r="Z1003" s="74"/>
    </row>
    <row r="1004" ht="14.25" customHeight="1">
      <c r="A1004" s="74"/>
      <c r="B1004" s="74"/>
      <c r="C1004" s="74"/>
      <c r="D1004" s="74"/>
      <c r="E1004" s="74"/>
      <c r="F1004" s="74"/>
      <c r="G1004" s="74"/>
      <c r="H1004" s="74"/>
      <c r="I1004" s="74"/>
      <c r="J1004" s="74"/>
      <c r="K1004" s="74"/>
      <c r="L1004" s="74"/>
      <c r="M1004" s="74"/>
      <c r="N1004" s="74"/>
      <c r="O1004" s="74"/>
      <c r="P1004" s="74"/>
      <c r="Q1004" s="74"/>
      <c r="R1004" s="74"/>
      <c r="S1004" s="74"/>
      <c r="T1004" s="74"/>
      <c r="U1004" s="74"/>
      <c r="V1004" s="74"/>
      <c r="W1004" s="74"/>
      <c r="X1004" s="74"/>
      <c r="Y1004" s="74"/>
      <c r="Z1004" s="74"/>
    </row>
    <row r="1005" ht="14.25" customHeight="1">
      <c r="A1005" s="74"/>
      <c r="B1005" s="74"/>
      <c r="C1005" s="74"/>
      <c r="D1005" s="74"/>
      <c r="E1005" s="74"/>
      <c r="F1005" s="74"/>
      <c r="G1005" s="74"/>
      <c r="H1005" s="74"/>
      <c r="I1005" s="74"/>
      <c r="J1005" s="74"/>
      <c r="K1005" s="74"/>
      <c r="L1005" s="74"/>
      <c r="M1005" s="74"/>
      <c r="N1005" s="74"/>
      <c r="O1005" s="74"/>
      <c r="P1005" s="74"/>
      <c r="Q1005" s="74"/>
      <c r="R1005" s="74"/>
      <c r="S1005" s="74"/>
      <c r="T1005" s="74"/>
      <c r="U1005" s="74"/>
      <c r="V1005" s="74"/>
      <c r="W1005" s="74"/>
      <c r="X1005" s="74"/>
      <c r="Y1005" s="74"/>
      <c r="Z1005" s="74"/>
    </row>
  </sheetData>
  <mergeCells count="34">
    <mergeCell ref="B3:O3"/>
    <mergeCell ref="B4:O4"/>
    <mergeCell ref="B6:C6"/>
    <mergeCell ref="E6:O7"/>
    <mergeCell ref="B7:C7"/>
    <mergeCell ref="B10:O14"/>
    <mergeCell ref="B19:O23"/>
    <mergeCell ref="K72:K75"/>
    <mergeCell ref="K76:K78"/>
    <mergeCell ref="K86:L86"/>
    <mergeCell ref="L76:L78"/>
    <mergeCell ref="M76:M78"/>
    <mergeCell ref="M108:N108"/>
    <mergeCell ref="J64:J66"/>
    <mergeCell ref="K64:K66"/>
    <mergeCell ref="L64:L66"/>
    <mergeCell ref="H72:H75"/>
    <mergeCell ref="L72:L75"/>
    <mergeCell ref="M72:M75"/>
    <mergeCell ref="H76:H78"/>
    <mergeCell ref="C145:E145"/>
    <mergeCell ref="C146:E146"/>
    <mergeCell ref="C147:E147"/>
    <mergeCell ref="C148:E148"/>
    <mergeCell ref="C149:E149"/>
    <mergeCell ref="C150:E150"/>
    <mergeCell ref="C151:E151"/>
    <mergeCell ref="C62:D62"/>
    <mergeCell ref="B64:B66"/>
    <mergeCell ref="D64:D66"/>
    <mergeCell ref="E64:E66"/>
    <mergeCell ref="F64:F66"/>
    <mergeCell ref="H64:H66"/>
    <mergeCell ref="I64:I66"/>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C1" s="505" t="s">
        <v>736</v>
      </c>
      <c r="D1" s="76"/>
      <c r="E1" s="76"/>
      <c r="F1" s="76"/>
      <c r="G1" s="76"/>
      <c r="H1" s="76"/>
      <c r="I1" s="76"/>
      <c r="J1" s="76"/>
      <c r="K1" s="76"/>
      <c r="L1" s="76"/>
      <c r="M1" s="76"/>
      <c r="N1" s="76"/>
      <c r="O1" s="76"/>
      <c r="P1" s="76"/>
      <c r="Q1" s="76"/>
      <c r="R1" s="76"/>
      <c r="S1" s="77"/>
    </row>
    <row r="2" ht="14.25" customHeight="1"/>
    <row r="3" ht="409.5" customHeight="1">
      <c r="C3" s="506" t="s">
        <v>737</v>
      </c>
      <c r="D3" s="83"/>
      <c r="E3" s="83"/>
      <c r="F3" s="83"/>
      <c r="G3" s="83"/>
      <c r="H3" s="83"/>
      <c r="I3" s="83"/>
      <c r="J3" s="83"/>
      <c r="K3" s="83"/>
      <c r="L3" s="83"/>
      <c r="M3" s="83"/>
      <c r="N3" s="83"/>
      <c r="O3" s="83"/>
      <c r="P3" s="83"/>
      <c r="Q3" s="83"/>
      <c r="R3" s="83"/>
      <c r="S3" s="83"/>
      <c r="T3" s="83"/>
      <c r="U3" s="83"/>
      <c r="V3" s="83"/>
      <c r="W3" s="84"/>
    </row>
    <row r="4" ht="14.25" customHeight="1">
      <c r="C4" s="507"/>
      <c r="W4" s="508"/>
    </row>
    <row r="5" ht="14.25" customHeight="1">
      <c r="C5" s="507"/>
      <c r="W5" s="508"/>
    </row>
    <row r="6" ht="14.25" customHeight="1">
      <c r="C6" s="507"/>
      <c r="W6" s="508"/>
    </row>
    <row r="7" ht="14.25" customHeight="1">
      <c r="C7" s="507"/>
      <c r="W7" s="508"/>
    </row>
    <row r="8" ht="14.25" customHeight="1">
      <c r="C8" s="507"/>
      <c r="W8" s="508"/>
    </row>
    <row r="9" ht="14.25" customHeight="1">
      <c r="C9" s="507"/>
      <c r="W9" s="508"/>
    </row>
    <row r="10" ht="14.25" customHeight="1">
      <c r="C10" s="507"/>
      <c r="W10" s="508"/>
    </row>
    <row r="11" ht="14.25" customHeight="1">
      <c r="C11" s="507"/>
      <c r="W11" s="508"/>
    </row>
    <row r="12" ht="14.25" customHeight="1">
      <c r="C12" s="507"/>
      <c r="W12" s="508"/>
    </row>
    <row r="13" ht="14.25" customHeight="1">
      <c r="C13" s="507"/>
      <c r="W13" s="508"/>
    </row>
    <row r="14" ht="14.25" customHeight="1">
      <c r="C14" s="507"/>
      <c r="W14" s="508"/>
    </row>
    <row r="15" ht="14.25" customHeight="1">
      <c r="C15" s="507"/>
      <c r="W15" s="508"/>
    </row>
    <row r="16" ht="14.25" customHeight="1">
      <c r="C16" s="507"/>
      <c r="W16" s="508"/>
    </row>
    <row r="17" ht="14.25" customHeight="1">
      <c r="C17" s="507"/>
      <c r="W17" s="508"/>
    </row>
    <row r="18" ht="14.25" customHeight="1">
      <c r="C18" s="507"/>
      <c r="W18" s="508"/>
    </row>
    <row r="19" ht="14.25" customHeight="1">
      <c r="C19" s="507"/>
      <c r="W19" s="508"/>
    </row>
    <row r="20" ht="14.25" customHeight="1">
      <c r="C20" s="507"/>
      <c r="W20" s="508"/>
    </row>
    <row r="21" ht="14.25" customHeight="1">
      <c r="C21" s="507"/>
      <c r="W21" s="508"/>
    </row>
    <row r="22" ht="14.25" customHeight="1">
      <c r="C22" s="507"/>
      <c r="W22" s="508"/>
    </row>
    <row r="23" ht="14.25" customHeight="1">
      <c r="C23" s="507"/>
      <c r="W23" s="508"/>
    </row>
    <row r="24" ht="14.25" customHeight="1">
      <c r="C24" s="507"/>
      <c r="W24" s="508"/>
    </row>
    <row r="25" ht="14.25" customHeight="1">
      <c r="C25" s="507"/>
      <c r="W25" s="508"/>
    </row>
    <row r="26" ht="14.25" customHeight="1">
      <c r="C26" s="507"/>
      <c r="W26" s="508"/>
    </row>
    <row r="27" ht="14.25" customHeight="1">
      <c r="C27" s="507"/>
      <c r="W27" s="508"/>
    </row>
    <row r="28" ht="14.25" customHeight="1">
      <c r="C28" s="507"/>
      <c r="W28" s="508"/>
    </row>
    <row r="29" ht="14.25" customHeight="1">
      <c r="C29" s="507"/>
      <c r="W29" s="508"/>
    </row>
    <row r="30" ht="14.25" customHeight="1">
      <c r="C30" s="507"/>
      <c r="W30" s="508"/>
    </row>
    <row r="31" ht="14.25" customHeight="1">
      <c r="C31" s="507"/>
      <c r="W31" s="508"/>
    </row>
    <row r="32" ht="14.25" customHeight="1">
      <c r="C32" s="507"/>
      <c r="W32" s="508"/>
    </row>
    <row r="33" ht="14.25" customHeight="1">
      <c r="C33" s="507"/>
      <c r="W33" s="508"/>
    </row>
    <row r="34" ht="14.25" customHeight="1">
      <c r="C34" s="507"/>
      <c r="W34" s="508"/>
    </row>
    <row r="35" ht="14.25" customHeight="1">
      <c r="C35" s="507"/>
      <c r="W35" s="508"/>
    </row>
    <row r="36" ht="14.25" customHeight="1">
      <c r="C36" s="507"/>
      <c r="W36" s="508"/>
    </row>
    <row r="37" ht="14.25" customHeight="1">
      <c r="C37" s="507"/>
      <c r="W37" s="508"/>
    </row>
    <row r="38" ht="14.25" customHeight="1">
      <c r="C38" s="507"/>
      <c r="W38" s="508"/>
    </row>
    <row r="39" ht="14.25" customHeight="1">
      <c r="C39" s="507"/>
      <c r="W39" s="508"/>
    </row>
    <row r="40" ht="14.25" customHeight="1">
      <c r="C40" s="507"/>
      <c r="W40" s="508"/>
    </row>
    <row r="41" ht="14.25" customHeight="1">
      <c r="C41" s="507"/>
      <c r="W41" s="508"/>
    </row>
    <row r="42" ht="14.25" customHeight="1">
      <c r="C42" s="507"/>
      <c r="W42" s="508"/>
    </row>
    <row r="43" ht="14.25" customHeight="1">
      <c r="C43" s="507"/>
      <c r="W43" s="508"/>
    </row>
    <row r="44" ht="14.25" customHeight="1">
      <c r="C44" s="507"/>
      <c r="W44" s="508"/>
    </row>
    <row r="45" ht="14.25" customHeight="1">
      <c r="C45" s="507"/>
      <c r="W45" s="508"/>
    </row>
    <row r="46" ht="14.25" customHeight="1">
      <c r="C46" s="507"/>
      <c r="W46" s="508"/>
    </row>
    <row r="47" ht="14.25" customHeight="1">
      <c r="C47" s="507"/>
      <c r="W47" s="508"/>
    </row>
    <row r="48" ht="14.25" customHeight="1">
      <c r="C48" s="507"/>
      <c r="W48" s="508"/>
    </row>
    <row r="49" ht="14.25" customHeight="1">
      <c r="C49" s="507"/>
      <c r="W49" s="508"/>
    </row>
    <row r="50" ht="14.25" customHeight="1">
      <c r="C50" s="507"/>
      <c r="W50" s="508"/>
    </row>
    <row r="51" ht="14.25" customHeight="1">
      <c r="C51" s="507"/>
      <c r="W51" s="508"/>
    </row>
    <row r="52" ht="14.25" customHeight="1">
      <c r="C52" s="507"/>
      <c r="W52" s="508"/>
    </row>
    <row r="53" ht="14.25" customHeight="1">
      <c r="C53" s="507"/>
      <c r="W53" s="508"/>
    </row>
    <row r="54" ht="14.25" customHeight="1">
      <c r="C54" s="507"/>
      <c r="W54" s="508"/>
    </row>
    <row r="55" ht="14.25" customHeight="1">
      <c r="C55" s="507"/>
      <c r="W55" s="508"/>
    </row>
    <row r="56" ht="14.25" customHeight="1">
      <c r="C56" s="507"/>
      <c r="W56" s="508"/>
    </row>
    <row r="57" ht="78.75" customHeight="1">
      <c r="C57" s="85"/>
      <c r="D57" s="86"/>
      <c r="E57" s="86"/>
      <c r="F57" s="86"/>
      <c r="G57" s="86"/>
      <c r="H57" s="86"/>
      <c r="I57" s="86"/>
      <c r="J57" s="86"/>
      <c r="K57" s="86"/>
      <c r="L57" s="86"/>
      <c r="M57" s="86"/>
      <c r="N57" s="86"/>
      <c r="O57" s="86"/>
      <c r="P57" s="86"/>
      <c r="Q57" s="86"/>
      <c r="R57" s="86"/>
      <c r="S57" s="86"/>
      <c r="T57" s="86"/>
      <c r="U57" s="86"/>
      <c r="V57" s="86"/>
      <c r="W57" s="87"/>
    </row>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C1:S1"/>
    <mergeCell ref="C3:W57"/>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14"/>
    <col customWidth="1" min="2" max="2" width="12.0"/>
    <col customWidth="1" min="3" max="3" width="11.57"/>
    <col customWidth="1" min="4" max="4" width="9.86"/>
    <col customWidth="1" min="5" max="5" width="12.86"/>
    <col customWidth="1" min="6" max="26" width="8.71"/>
  </cols>
  <sheetData>
    <row r="1" ht="14.25" customHeight="1">
      <c r="A1" s="509" t="s">
        <v>738</v>
      </c>
      <c r="B1" s="509" t="s">
        <v>739</v>
      </c>
      <c r="C1" s="509" t="s">
        <v>740</v>
      </c>
      <c r="D1" s="510" t="s">
        <v>741</v>
      </c>
      <c r="E1" s="509" t="s">
        <v>742</v>
      </c>
    </row>
    <row r="2" ht="14.25" customHeight="1">
      <c r="A2" s="2" t="s">
        <v>743</v>
      </c>
      <c r="B2" s="511" t="s">
        <v>744</v>
      </c>
      <c r="C2" s="2" t="s">
        <v>745</v>
      </c>
      <c r="D2" s="2">
        <f>167.85</f>
        <v>167.85</v>
      </c>
      <c r="E2" s="2">
        <v>2.0</v>
      </c>
    </row>
    <row r="3" ht="14.25" customHeight="1">
      <c r="A3" s="2" t="s">
        <v>746</v>
      </c>
      <c r="B3" s="511" t="s">
        <v>747</v>
      </c>
      <c r="C3" s="2" t="s">
        <v>748</v>
      </c>
      <c r="D3" s="2">
        <v>102.03</v>
      </c>
      <c r="E3" s="2">
        <v>2.0</v>
      </c>
    </row>
    <row r="4" ht="14.25" customHeight="1">
      <c r="A4" s="2" t="s">
        <v>749</v>
      </c>
      <c r="B4" s="2" t="s">
        <v>750</v>
      </c>
      <c r="C4" s="2" t="s">
        <v>751</v>
      </c>
      <c r="D4" s="2">
        <v>133.4</v>
      </c>
      <c r="E4" s="2">
        <v>2.0</v>
      </c>
    </row>
    <row r="5" ht="14.25" customHeight="1">
      <c r="A5" s="2" t="s">
        <v>752</v>
      </c>
      <c r="B5" s="2" t="s">
        <v>753</v>
      </c>
      <c r="C5" s="2" t="s">
        <v>754</v>
      </c>
      <c r="D5" s="2">
        <v>147.43</v>
      </c>
      <c r="E5" s="2">
        <v>3.0</v>
      </c>
    </row>
    <row r="6" ht="14.25" customHeight="1">
      <c r="A6" s="2" t="s">
        <v>755</v>
      </c>
      <c r="B6" s="511" t="s">
        <v>756</v>
      </c>
      <c r="C6" s="2" t="s">
        <v>757</v>
      </c>
      <c r="D6" s="2">
        <v>120.19</v>
      </c>
      <c r="E6" s="2">
        <v>9.0</v>
      </c>
    </row>
    <row r="7" ht="14.25" customHeight="1">
      <c r="A7" s="2" t="s">
        <v>758</v>
      </c>
      <c r="B7" s="511" t="s">
        <v>759</v>
      </c>
      <c r="C7" s="2" t="s">
        <v>760</v>
      </c>
      <c r="D7" s="2">
        <v>54.09</v>
      </c>
      <c r="E7" s="2">
        <v>4.0</v>
      </c>
    </row>
    <row r="8" ht="14.25" customHeight="1">
      <c r="A8" s="2" t="s">
        <v>761</v>
      </c>
      <c r="B8" s="2" t="s">
        <v>762</v>
      </c>
      <c r="C8" s="2" t="s">
        <v>763</v>
      </c>
      <c r="D8" s="2">
        <v>162.27</v>
      </c>
      <c r="E8" s="2">
        <v>12.0</v>
      </c>
    </row>
    <row r="9" ht="14.25" customHeight="1">
      <c r="A9" s="2" t="s">
        <v>764</v>
      </c>
      <c r="B9" s="2" t="s">
        <v>765</v>
      </c>
      <c r="C9" s="2" t="s">
        <v>766</v>
      </c>
      <c r="D9" s="2">
        <v>54.09</v>
      </c>
      <c r="E9" s="2">
        <v>4.0</v>
      </c>
    </row>
    <row r="10" ht="14.25" customHeight="1">
      <c r="A10" s="512" t="s">
        <v>767</v>
      </c>
      <c r="B10" s="512" t="s">
        <v>768</v>
      </c>
      <c r="C10" s="2" t="s">
        <v>769</v>
      </c>
      <c r="D10" s="513">
        <v>128.1308</v>
      </c>
      <c r="E10" s="2">
        <v>8.0</v>
      </c>
    </row>
    <row r="11" ht="14.25" customHeight="1">
      <c r="A11" s="2" t="s">
        <v>770</v>
      </c>
      <c r="B11" s="2" t="s">
        <v>771</v>
      </c>
      <c r="C11" s="2" t="s">
        <v>772</v>
      </c>
      <c r="D11" s="2">
        <v>134.22</v>
      </c>
      <c r="E11" s="2">
        <v>10.0</v>
      </c>
    </row>
    <row r="12" ht="14.25" customHeight="1">
      <c r="A12" s="2" t="s">
        <v>773</v>
      </c>
      <c r="B12" s="511" t="s">
        <v>774</v>
      </c>
      <c r="C12" s="2" t="s">
        <v>775</v>
      </c>
      <c r="D12" s="2">
        <v>88.11</v>
      </c>
      <c r="E12" s="2">
        <v>4.0</v>
      </c>
    </row>
    <row r="13" ht="14.25" customHeight="1">
      <c r="A13" s="2" t="s">
        <v>776</v>
      </c>
      <c r="B13" s="511" t="s">
        <v>777</v>
      </c>
      <c r="C13" s="2" t="s">
        <v>778</v>
      </c>
      <c r="D13" s="2">
        <v>56.11</v>
      </c>
      <c r="E13" s="2">
        <v>4.0</v>
      </c>
    </row>
    <row r="14" ht="14.25" customHeight="1">
      <c r="A14" s="2" t="s">
        <v>779</v>
      </c>
      <c r="B14" s="511" t="s">
        <v>780</v>
      </c>
      <c r="C14" s="2" t="s">
        <v>781</v>
      </c>
      <c r="D14" s="2">
        <v>70.13</v>
      </c>
      <c r="E14" s="2">
        <v>5.0</v>
      </c>
    </row>
    <row r="15" ht="14.25" customHeight="1">
      <c r="A15" s="2" t="s">
        <v>782</v>
      </c>
      <c r="B15" s="2" t="s">
        <v>783</v>
      </c>
      <c r="C15" s="2" t="s">
        <v>784</v>
      </c>
      <c r="D15" s="2">
        <v>122.16</v>
      </c>
      <c r="E15" s="2">
        <v>8.0</v>
      </c>
    </row>
    <row r="16" ht="14.25" customHeight="1">
      <c r="A16" s="2" t="s">
        <v>785</v>
      </c>
      <c r="B16" s="511" t="s">
        <v>786</v>
      </c>
      <c r="C16" s="2" t="s">
        <v>787</v>
      </c>
      <c r="D16" s="2">
        <v>60.1</v>
      </c>
      <c r="E16" s="2">
        <v>3.0</v>
      </c>
    </row>
    <row r="17" ht="14.25" customHeight="1">
      <c r="A17" s="511" t="s">
        <v>788</v>
      </c>
      <c r="B17" s="511" t="s">
        <v>789</v>
      </c>
      <c r="C17" s="2" t="s">
        <v>790</v>
      </c>
      <c r="D17" s="2">
        <v>321.97</v>
      </c>
      <c r="E17" s="2">
        <v>12.0</v>
      </c>
    </row>
    <row r="18" ht="14.25" customHeight="1">
      <c r="A18" s="2" t="s">
        <v>791</v>
      </c>
      <c r="B18" s="2" t="s">
        <v>792</v>
      </c>
      <c r="C18" s="2" t="s">
        <v>793</v>
      </c>
      <c r="D18" s="2">
        <v>110.97</v>
      </c>
      <c r="E18" s="2">
        <v>3.0</v>
      </c>
    </row>
    <row r="19" ht="14.25" customHeight="1">
      <c r="A19" s="2" t="s">
        <v>794</v>
      </c>
      <c r="B19" s="511" t="s">
        <v>795</v>
      </c>
      <c r="C19" s="2" t="s">
        <v>796</v>
      </c>
      <c r="D19" s="2">
        <v>100.2</v>
      </c>
      <c r="E19" s="2">
        <v>7.0</v>
      </c>
    </row>
    <row r="20" ht="14.25" customHeight="1">
      <c r="A20" s="2" t="s">
        <v>797</v>
      </c>
      <c r="B20" s="511" t="s">
        <v>798</v>
      </c>
      <c r="C20" s="2" t="s">
        <v>799</v>
      </c>
      <c r="D20" s="2">
        <v>108.14</v>
      </c>
      <c r="E20" s="2">
        <v>7.0</v>
      </c>
    </row>
    <row r="21" ht="14.25" customHeight="1">
      <c r="A21" s="2" t="s">
        <v>800</v>
      </c>
      <c r="B21" s="511" t="s">
        <v>801</v>
      </c>
      <c r="C21" s="2" t="s">
        <v>802</v>
      </c>
      <c r="D21" s="2">
        <v>98.17</v>
      </c>
      <c r="E21" s="2">
        <v>5.0</v>
      </c>
    </row>
    <row r="22" ht="14.25" customHeight="1">
      <c r="A22" s="2" t="s">
        <v>803</v>
      </c>
      <c r="B22" s="511" t="s">
        <v>804</v>
      </c>
      <c r="C22" s="2" t="s">
        <v>805</v>
      </c>
      <c r="D22" s="2">
        <v>122.16</v>
      </c>
      <c r="E22" s="2">
        <v>8.0</v>
      </c>
    </row>
    <row r="23" ht="14.25" customHeight="1">
      <c r="A23" s="2" t="s">
        <v>806</v>
      </c>
      <c r="B23" s="511" t="s">
        <v>807</v>
      </c>
      <c r="C23" s="2" t="s">
        <v>808</v>
      </c>
      <c r="D23" s="2">
        <v>100.2</v>
      </c>
      <c r="E23" s="2">
        <v>7.0</v>
      </c>
    </row>
    <row r="24" ht="14.25" customHeight="1">
      <c r="A24" s="2" t="s">
        <v>809</v>
      </c>
      <c r="B24" s="511" t="s">
        <v>810</v>
      </c>
      <c r="C24" s="2" t="s">
        <v>811</v>
      </c>
      <c r="D24" s="2">
        <v>114.23</v>
      </c>
      <c r="E24" s="2">
        <v>8.0</v>
      </c>
    </row>
    <row r="25" ht="14.25" customHeight="1">
      <c r="A25" s="514" t="s">
        <v>812</v>
      </c>
      <c r="B25" s="2" t="s">
        <v>813</v>
      </c>
      <c r="C25" s="2" t="s">
        <v>814</v>
      </c>
      <c r="D25" s="2">
        <v>198.26</v>
      </c>
      <c r="E25" s="2">
        <v>13.0</v>
      </c>
    </row>
    <row r="26" ht="14.25" customHeight="1">
      <c r="A26" s="514" t="s">
        <v>815</v>
      </c>
      <c r="B26" s="2" t="s">
        <v>816</v>
      </c>
      <c r="E26" s="2">
        <v>13.0</v>
      </c>
    </row>
    <row r="27" ht="14.25" customHeight="1">
      <c r="A27" s="514" t="s">
        <v>817</v>
      </c>
      <c r="B27" s="2" t="s">
        <v>818</v>
      </c>
      <c r="E27" s="2">
        <v>13.0</v>
      </c>
    </row>
    <row r="28" ht="14.25" customHeight="1">
      <c r="A28" s="366" t="s">
        <v>819</v>
      </c>
      <c r="B28" s="2" t="s">
        <v>820</v>
      </c>
      <c r="C28" s="2" t="s">
        <v>821</v>
      </c>
      <c r="D28" s="2">
        <v>250.25</v>
      </c>
      <c r="E28" s="2">
        <v>15.0</v>
      </c>
    </row>
    <row r="29" ht="14.25" customHeight="1">
      <c r="A29" s="515" t="s">
        <v>822</v>
      </c>
      <c r="B29" s="2" t="s">
        <v>823</v>
      </c>
      <c r="C29" s="2" t="s">
        <v>824</v>
      </c>
      <c r="E29" s="2">
        <v>15.0</v>
      </c>
    </row>
    <row r="30" ht="14.25" customHeight="1">
      <c r="A30" s="515" t="s">
        <v>825</v>
      </c>
      <c r="B30" s="2" t="s">
        <v>826</v>
      </c>
      <c r="E30" s="2">
        <v>15.0</v>
      </c>
    </row>
    <row r="31" ht="14.25" customHeight="1">
      <c r="A31" s="511" t="s">
        <v>827</v>
      </c>
      <c r="B31" s="2" t="s">
        <v>828</v>
      </c>
      <c r="C31" s="2" t="s">
        <v>829</v>
      </c>
      <c r="D31" s="2">
        <v>150.13</v>
      </c>
      <c r="E31" s="2">
        <v>8.0</v>
      </c>
    </row>
    <row r="32" ht="14.25" customHeight="1">
      <c r="A32" s="511" t="s">
        <v>830</v>
      </c>
      <c r="B32" s="2" t="s">
        <v>831</v>
      </c>
      <c r="C32" s="2" t="s">
        <v>829</v>
      </c>
      <c r="D32" s="2">
        <v>150.13</v>
      </c>
      <c r="E32" s="2">
        <v>8.0</v>
      </c>
    </row>
    <row r="33" ht="14.25" customHeight="1">
      <c r="A33" s="511" t="s">
        <v>832</v>
      </c>
      <c r="B33" s="2" t="s">
        <v>833</v>
      </c>
      <c r="C33" s="2" t="s">
        <v>834</v>
      </c>
      <c r="D33" s="2">
        <v>115.13</v>
      </c>
      <c r="E33" s="2">
        <v>5.0</v>
      </c>
    </row>
    <row r="34" ht="14.25" customHeight="1">
      <c r="A34" s="2" t="s">
        <v>835</v>
      </c>
      <c r="B34" s="516" t="s">
        <v>836</v>
      </c>
      <c r="C34" s="2" t="s">
        <v>837</v>
      </c>
      <c r="D34" s="2">
        <v>44.05</v>
      </c>
      <c r="E34" s="2">
        <v>2.0</v>
      </c>
    </row>
    <row r="35" ht="14.25" customHeight="1">
      <c r="A35" s="2" t="s">
        <v>838</v>
      </c>
      <c r="B35" s="511" t="s">
        <v>839</v>
      </c>
      <c r="C35" s="2" t="s">
        <v>840</v>
      </c>
      <c r="D35" s="2">
        <v>60.05</v>
      </c>
      <c r="E35" s="2">
        <v>2.0</v>
      </c>
    </row>
    <row r="36" ht="14.25" customHeight="1">
      <c r="A36" s="2" t="s">
        <v>841</v>
      </c>
      <c r="B36" s="511" t="s">
        <v>842</v>
      </c>
      <c r="C36" s="2" t="s">
        <v>843</v>
      </c>
      <c r="D36" s="2">
        <v>58.08</v>
      </c>
      <c r="E36" s="2">
        <v>3.0</v>
      </c>
    </row>
    <row r="37" ht="14.25" customHeight="1">
      <c r="A37" s="511" t="s">
        <v>844</v>
      </c>
      <c r="B37" s="2" t="s">
        <v>845</v>
      </c>
      <c r="C37" s="2" t="s">
        <v>846</v>
      </c>
      <c r="D37" s="2">
        <v>120.15</v>
      </c>
      <c r="E37" s="2">
        <v>8.0</v>
      </c>
    </row>
    <row r="38" ht="14.25" customHeight="1">
      <c r="A38" s="2" t="s">
        <v>252</v>
      </c>
      <c r="B38" s="511" t="s">
        <v>847</v>
      </c>
      <c r="C38" s="2" t="s">
        <v>848</v>
      </c>
      <c r="D38" s="2">
        <v>26.04</v>
      </c>
      <c r="E38" s="2">
        <v>2.0</v>
      </c>
    </row>
    <row r="39" ht="14.25" customHeight="1">
      <c r="A39" s="511" t="s">
        <v>849</v>
      </c>
      <c r="B39" s="511" t="s">
        <v>850</v>
      </c>
      <c r="C39" s="2" t="s">
        <v>851</v>
      </c>
      <c r="D39" s="2">
        <v>278.43</v>
      </c>
      <c r="E39" s="2">
        <v>18.0</v>
      </c>
    </row>
    <row r="40" ht="14.25" customHeight="1">
      <c r="A40" s="511" t="s">
        <v>852</v>
      </c>
      <c r="B40" s="511" t="s">
        <v>853</v>
      </c>
      <c r="E40" s="2">
        <v>0.0</v>
      </c>
    </row>
    <row r="41" ht="14.25" customHeight="1">
      <c r="A41" s="2" t="s">
        <v>854</v>
      </c>
      <c r="B41" s="2" t="s">
        <v>855</v>
      </c>
      <c r="C41" s="2" t="s">
        <v>856</v>
      </c>
      <c r="D41" s="2">
        <v>17.03</v>
      </c>
      <c r="E41" s="2">
        <v>0.0</v>
      </c>
    </row>
    <row r="42" ht="14.25" customHeight="1">
      <c r="A42" s="2" t="s">
        <v>857</v>
      </c>
      <c r="B42" s="2" t="s">
        <v>858</v>
      </c>
      <c r="C42" s="517" t="s">
        <v>859</v>
      </c>
      <c r="D42" s="518">
        <v>18.039</v>
      </c>
      <c r="E42" s="2">
        <v>0.0</v>
      </c>
    </row>
    <row r="43" ht="14.25" customHeight="1">
      <c r="A43" s="511" t="s">
        <v>860</v>
      </c>
      <c r="B43" s="511" t="s">
        <v>861</v>
      </c>
      <c r="C43" s="2" t="s">
        <v>862</v>
      </c>
      <c r="D43" s="511">
        <v>78.07</v>
      </c>
      <c r="E43" s="2">
        <v>3.0</v>
      </c>
    </row>
    <row r="44" ht="14.25" customHeight="1">
      <c r="A44" s="2" t="s">
        <v>863</v>
      </c>
      <c r="B44" s="511" t="s">
        <v>864</v>
      </c>
      <c r="C44" s="2" t="s">
        <v>865</v>
      </c>
      <c r="D44" s="2">
        <v>132.14</v>
      </c>
      <c r="E44" s="2">
        <v>0.0</v>
      </c>
    </row>
    <row r="45" ht="14.25" customHeight="1">
      <c r="A45" s="2" t="s">
        <v>866</v>
      </c>
      <c r="B45" s="519" t="s">
        <v>867</v>
      </c>
      <c r="C45" s="2" t="s">
        <v>868</v>
      </c>
      <c r="D45" s="2">
        <v>93.13</v>
      </c>
      <c r="E45" s="2">
        <v>6.0</v>
      </c>
    </row>
    <row r="46" ht="14.25" customHeight="1">
      <c r="A46" s="2" t="s">
        <v>869</v>
      </c>
      <c r="B46" s="2" t="s">
        <v>870</v>
      </c>
      <c r="C46" s="2" t="s">
        <v>871</v>
      </c>
      <c r="D46" s="2">
        <v>39.95</v>
      </c>
      <c r="E46" s="2">
        <v>0.0</v>
      </c>
    </row>
    <row r="47" ht="14.25" customHeight="1">
      <c r="A47" s="2" t="s">
        <v>872</v>
      </c>
      <c r="B47" s="511" t="s">
        <v>873</v>
      </c>
      <c r="C47" s="2" t="s">
        <v>874</v>
      </c>
      <c r="D47" s="2">
        <v>106.12</v>
      </c>
      <c r="E47" s="2">
        <v>7.0</v>
      </c>
    </row>
    <row r="48" ht="14.25" customHeight="1">
      <c r="A48" s="2" t="s">
        <v>267</v>
      </c>
      <c r="B48" s="511" t="s">
        <v>875</v>
      </c>
      <c r="C48" s="2" t="s">
        <v>876</v>
      </c>
      <c r="D48" s="2">
        <v>78.11</v>
      </c>
      <c r="E48" s="2">
        <v>6.0</v>
      </c>
    </row>
    <row r="49" ht="14.25" customHeight="1">
      <c r="A49" s="2" t="s">
        <v>877</v>
      </c>
      <c r="B49" s="511" t="s">
        <v>878</v>
      </c>
      <c r="C49" s="2" t="s">
        <v>879</v>
      </c>
      <c r="D49" s="2">
        <v>122.12</v>
      </c>
      <c r="E49" s="2">
        <v>7.0</v>
      </c>
    </row>
    <row r="50" ht="14.25" customHeight="1">
      <c r="A50" s="511" t="s">
        <v>880</v>
      </c>
      <c r="B50" s="511" t="s">
        <v>881</v>
      </c>
      <c r="C50" s="2" t="s">
        <v>882</v>
      </c>
      <c r="D50" s="2">
        <v>182.26</v>
      </c>
      <c r="E50" s="2">
        <v>14.0</v>
      </c>
    </row>
    <row r="51" ht="14.25" customHeight="1">
      <c r="A51" s="2" t="s">
        <v>883</v>
      </c>
      <c r="B51" s="511" t="s">
        <v>884</v>
      </c>
      <c r="C51" s="2" t="s">
        <v>885</v>
      </c>
      <c r="D51" s="2">
        <v>84.01</v>
      </c>
      <c r="E51" s="2">
        <v>1.0</v>
      </c>
    </row>
    <row r="52" ht="14.25" customHeight="1">
      <c r="A52" s="511" t="s">
        <v>886</v>
      </c>
      <c r="B52" s="511" t="s">
        <v>887</v>
      </c>
      <c r="C52" s="2" t="s">
        <v>888</v>
      </c>
      <c r="D52" s="2">
        <v>254.24</v>
      </c>
      <c r="E52" s="2">
        <v>12.0</v>
      </c>
    </row>
    <row r="53" ht="14.25" customHeight="1">
      <c r="A53" s="2" t="s">
        <v>889</v>
      </c>
      <c r="B53" s="511" t="s">
        <v>890</v>
      </c>
      <c r="C53" s="2" t="s">
        <v>891</v>
      </c>
      <c r="D53" s="2">
        <v>116.16</v>
      </c>
      <c r="E53" s="2">
        <v>6.0</v>
      </c>
    </row>
    <row r="54" ht="14.25" customHeight="1">
      <c r="A54" s="511" t="s">
        <v>892</v>
      </c>
      <c r="B54" s="511" t="s">
        <v>893</v>
      </c>
      <c r="E54" s="2">
        <v>0.0</v>
      </c>
    </row>
    <row r="55" ht="14.25" customHeight="1">
      <c r="A55" s="511" t="s">
        <v>894</v>
      </c>
      <c r="B55" s="511" t="s">
        <v>895</v>
      </c>
      <c r="C55" s="520" t="s">
        <v>896</v>
      </c>
      <c r="E55" s="2">
        <v>1.0</v>
      </c>
    </row>
    <row r="56" ht="14.25" customHeight="1">
      <c r="A56" s="2" t="s">
        <v>897</v>
      </c>
      <c r="B56" s="2" t="s">
        <v>644</v>
      </c>
      <c r="C56" s="2" t="s">
        <v>898</v>
      </c>
      <c r="D56" s="2">
        <v>44.01</v>
      </c>
      <c r="E56" s="2">
        <v>1.0</v>
      </c>
    </row>
    <row r="57" ht="14.25" customHeight="1">
      <c r="A57" s="2" t="s">
        <v>899</v>
      </c>
      <c r="B57" s="2" t="s">
        <v>650</v>
      </c>
      <c r="C57" s="2" t="s">
        <v>900</v>
      </c>
      <c r="D57" s="2">
        <v>28.1</v>
      </c>
      <c r="E57" s="2">
        <v>1.0</v>
      </c>
    </row>
    <row r="58" ht="14.25" customHeight="1">
      <c r="A58" s="2" t="s">
        <v>901</v>
      </c>
      <c r="B58" s="2" t="s">
        <v>902</v>
      </c>
      <c r="C58" s="2" t="s">
        <v>903</v>
      </c>
      <c r="D58" s="2">
        <v>60.01</v>
      </c>
      <c r="E58" s="2">
        <v>1.0</v>
      </c>
    </row>
    <row r="59" ht="14.25" customHeight="1">
      <c r="A59" s="511" t="s">
        <v>904</v>
      </c>
      <c r="B59" s="511" t="s">
        <v>905</v>
      </c>
      <c r="E59" s="2">
        <v>50.0</v>
      </c>
    </row>
    <row r="60" ht="14.25" customHeight="1">
      <c r="A60" s="511" t="s">
        <v>906</v>
      </c>
      <c r="B60" s="511" t="s">
        <v>907</v>
      </c>
      <c r="E60" s="2">
        <v>1.0</v>
      </c>
    </row>
    <row r="61" ht="14.25" customHeight="1">
      <c r="A61" s="2" t="s">
        <v>908</v>
      </c>
      <c r="B61" s="2" t="s">
        <v>909</v>
      </c>
      <c r="C61" s="2" t="s">
        <v>910</v>
      </c>
      <c r="D61" s="2">
        <v>35.45</v>
      </c>
      <c r="E61" s="2">
        <v>0.0</v>
      </c>
    </row>
    <row r="62" ht="14.25" customHeight="1">
      <c r="A62" s="2" t="s">
        <v>911</v>
      </c>
      <c r="B62" s="2" t="s">
        <v>912</v>
      </c>
      <c r="C62" s="2" t="s">
        <v>913</v>
      </c>
      <c r="D62" s="2">
        <v>70.91</v>
      </c>
      <c r="E62" s="2">
        <v>0.0</v>
      </c>
    </row>
    <row r="63" ht="14.25" customHeight="1">
      <c r="A63" s="2" t="s">
        <v>914</v>
      </c>
      <c r="B63" s="511" t="s">
        <v>915</v>
      </c>
      <c r="C63" s="2" t="s">
        <v>916</v>
      </c>
      <c r="D63" s="2">
        <v>112.56</v>
      </c>
      <c r="E63" s="2">
        <v>6.0</v>
      </c>
    </row>
    <row r="64" ht="14.25" customHeight="1">
      <c r="A64" s="2" t="s">
        <v>917</v>
      </c>
      <c r="B64" s="2" t="s">
        <v>918</v>
      </c>
      <c r="C64" s="2" t="s">
        <v>919</v>
      </c>
      <c r="D64" s="2">
        <v>119.38</v>
      </c>
      <c r="E64" s="2">
        <v>1.0</v>
      </c>
    </row>
    <row r="65" ht="14.25" customHeight="1">
      <c r="A65" s="2" t="s">
        <v>920</v>
      </c>
      <c r="B65" s="511" t="s">
        <v>921</v>
      </c>
      <c r="C65" s="2" t="s">
        <v>922</v>
      </c>
      <c r="D65" s="2">
        <v>56.11</v>
      </c>
      <c r="E65" s="2">
        <v>4.0</v>
      </c>
    </row>
    <row r="66" ht="14.25" customHeight="1">
      <c r="A66" s="2" t="s">
        <v>923</v>
      </c>
      <c r="B66" s="2" t="s">
        <v>924</v>
      </c>
      <c r="C66" s="2" t="s">
        <v>925</v>
      </c>
      <c r="D66" s="2">
        <v>218.74</v>
      </c>
      <c r="E66" s="2">
        <v>0.0</v>
      </c>
    </row>
    <row r="67" ht="14.25" customHeight="1">
      <c r="A67" s="2" t="s">
        <v>926</v>
      </c>
      <c r="B67" s="2" t="s">
        <v>927</v>
      </c>
      <c r="C67" s="2" t="s">
        <v>928</v>
      </c>
      <c r="D67" s="2">
        <v>120.19</v>
      </c>
      <c r="E67" s="2">
        <v>9.0</v>
      </c>
    </row>
    <row r="68" ht="14.25" customHeight="1">
      <c r="A68" s="2" t="s">
        <v>929</v>
      </c>
      <c r="B68" s="511" t="s">
        <v>930</v>
      </c>
      <c r="C68" s="2" t="s">
        <v>931</v>
      </c>
      <c r="D68" s="2">
        <v>84.16</v>
      </c>
      <c r="E68" s="2">
        <v>6.0</v>
      </c>
    </row>
    <row r="69" ht="14.25" customHeight="1">
      <c r="A69" s="511" t="s">
        <v>932</v>
      </c>
      <c r="B69" s="511" t="s">
        <v>933</v>
      </c>
      <c r="C69" s="2" t="s">
        <v>934</v>
      </c>
      <c r="D69" s="2">
        <v>66.1</v>
      </c>
      <c r="E69" s="2">
        <v>5.0</v>
      </c>
    </row>
    <row r="70" ht="14.25" customHeight="1">
      <c r="A70" s="511" t="s">
        <v>935</v>
      </c>
      <c r="B70" s="511" t="s">
        <v>936</v>
      </c>
      <c r="C70" s="2" t="s">
        <v>937</v>
      </c>
      <c r="D70" s="2">
        <v>132.2</v>
      </c>
      <c r="E70" s="2">
        <v>10.0</v>
      </c>
    </row>
    <row r="71" ht="14.25" customHeight="1">
      <c r="A71" s="2" t="s">
        <v>938</v>
      </c>
      <c r="B71" s="2" t="s">
        <v>939</v>
      </c>
      <c r="C71" s="521" t="s">
        <v>940</v>
      </c>
      <c r="D71" s="2">
        <v>61.08</v>
      </c>
      <c r="E71" s="2">
        <v>2.0</v>
      </c>
    </row>
    <row r="72" ht="14.25" customHeight="1">
      <c r="A72" s="2" t="s">
        <v>941</v>
      </c>
      <c r="B72" s="2" t="s">
        <v>942</v>
      </c>
      <c r="C72" s="2" t="s">
        <v>943</v>
      </c>
      <c r="D72" s="2">
        <v>106.12</v>
      </c>
      <c r="E72" s="2">
        <v>4.0</v>
      </c>
    </row>
    <row r="73" ht="14.25" customHeight="1">
      <c r="A73" s="511" t="s">
        <v>944</v>
      </c>
      <c r="B73" s="511" t="s">
        <v>945</v>
      </c>
      <c r="C73" s="2" t="s">
        <v>946</v>
      </c>
      <c r="D73" s="2">
        <v>52.02</v>
      </c>
      <c r="E73" s="2">
        <v>1.0</v>
      </c>
    </row>
    <row r="74" ht="14.25" customHeight="1">
      <c r="A74" s="511" t="s">
        <v>947</v>
      </c>
      <c r="B74" s="2" t="s">
        <v>948</v>
      </c>
      <c r="C74" s="2" t="s">
        <v>949</v>
      </c>
      <c r="D74" s="2">
        <v>102.17</v>
      </c>
      <c r="E74" s="2">
        <v>6.0</v>
      </c>
    </row>
    <row r="75" ht="14.25" customHeight="1">
      <c r="A75" s="511" t="s">
        <v>950</v>
      </c>
      <c r="B75" s="2" t="s">
        <v>951</v>
      </c>
      <c r="C75" s="2" t="s">
        <v>952</v>
      </c>
      <c r="D75" s="2">
        <v>94.2</v>
      </c>
      <c r="E75" s="2">
        <v>2.0</v>
      </c>
    </row>
    <row r="76" ht="14.25" customHeight="1">
      <c r="A76" s="2" t="s">
        <v>953</v>
      </c>
      <c r="B76" s="2" t="s">
        <v>42</v>
      </c>
      <c r="C76" s="2" t="s">
        <v>954</v>
      </c>
      <c r="D76" s="2">
        <v>46.07</v>
      </c>
      <c r="E76" s="2">
        <v>2.0</v>
      </c>
    </row>
    <row r="77" ht="14.25" customHeight="1">
      <c r="A77" s="511" t="s">
        <v>955</v>
      </c>
      <c r="B77" s="2" t="s">
        <v>956</v>
      </c>
      <c r="E77" s="2">
        <v>0.0</v>
      </c>
    </row>
    <row r="78" ht="14.25" customHeight="1">
      <c r="A78" s="511" t="s">
        <v>957</v>
      </c>
      <c r="B78" s="2" t="s">
        <v>958</v>
      </c>
      <c r="E78" s="2">
        <v>7.0</v>
      </c>
    </row>
    <row r="79" ht="14.25" customHeight="1">
      <c r="A79" s="511" t="s">
        <v>959</v>
      </c>
      <c r="B79" s="2" t="s">
        <v>960</v>
      </c>
      <c r="C79" s="2" t="s">
        <v>961</v>
      </c>
      <c r="D79" s="2">
        <v>95.52</v>
      </c>
      <c r="E79" s="2">
        <v>3.0</v>
      </c>
    </row>
    <row r="80" ht="14.25" customHeight="1">
      <c r="A80" s="511" t="s">
        <v>962</v>
      </c>
      <c r="B80" s="511" t="s">
        <v>963</v>
      </c>
      <c r="C80" s="2" t="s">
        <v>964</v>
      </c>
      <c r="D80" s="2">
        <v>30.07</v>
      </c>
      <c r="E80" s="2">
        <v>2.0</v>
      </c>
    </row>
    <row r="81" ht="14.25" customHeight="1">
      <c r="A81" s="2" t="s">
        <v>965</v>
      </c>
      <c r="B81" s="511" t="s">
        <v>966</v>
      </c>
      <c r="C81" s="2" t="s">
        <v>967</v>
      </c>
      <c r="D81" s="2">
        <v>46.07</v>
      </c>
      <c r="E81" s="2">
        <v>2.0</v>
      </c>
    </row>
    <row r="82" ht="14.25" customHeight="1">
      <c r="A82" s="511" t="s">
        <v>968</v>
      </c>
      <c r="B82" s="2" t="s">
        <v>969</v>
      </c>
      <c r="C82" s="2" t="s">
        <v>970</v>
      </c>
      <c r="D82" s="2">
        <v>64.51</v>
      </c>
      <c r="E82" s="2">
        <v>2.0</v>
      </c>
    </row>
    <row r="83" ht="14.25" customHeight="1">
      <c r="A83" s="2" t="s">
        <v>971</v>
      </c>
      <c r="B83" s="511" t="s">
        <v>972</v>
      </c>
      <c r="C83" s="2" t="s">
        <v>973</v>
      </c>
      <c r="D83" s="2">
        <v>106.17</v>
      </c>
      <c r="E83" s="2">
        <v>8.0</v>
      </c>
    </row>
    <row r="84" ht="14.25" customHeight="1">
      <c r="A84" s="2" t="s">
        <v>974</v>
      </c>
      <c r="B84" s="2" t="s">
        <v>975</v>
      </c>
      <c r="C84" s="2" t="s">
        <v>976</v>
      </c>
      <c r="D84" s="2">
        <v>138.16</v>
      </c>
      <c r="E84" s="2">
        <v>8.0</v>
      </c>
    </row>
    <row r="85" ht="14.25" customHeight="1">
      <c r="A85" s="2" t="s">
        <v>977</v>
      </c>
      <c r="B85" s="511" t="s">
        <v>978</v>
      </c>
      <c r="C85" s="2" t="s">
        <v>979</v>
      </c>
      <c r="D85" s="2">
        <v>28.05</v>
      </c>
      <c r="E85" s="2">
        <v>2.0</v>
      </c>
    </row>
    <row r="86" ht="14.25" customHeight="1">
      <c r="A86" s="2" t="s">
        <v>980</v>
      </c>
      <c r="B86" s="2" t="s">
        <v>981</v>
      </c>
      <c r="C86" s="2" t="s">
        <v>982</v>
      </c>
      <c r="D86" s="2">
        <v>98.96</v>
      </c>
      <c r="E86" s="2">
        <v>2.0</v>
      </c>
    </row>
    <row r="87" ht="14.25" customHeight="1">
      <c r="A87" s="2" t="s">
        <v>983</v>
      </c>
      <c r="B87" s="2" t="s">
        <v>984</v>
      </c>
      <c r="C87" s="2" t="s">
        <v>985</v>
      </c>
      <c r="D87" s="2">
        <v>62.07</v>
      </c>
      <c r="E87" s="2">
        <v>2.0</v>
      </c>
    </row>
    <row r="88" ht="14.25" customHeight="1">
      <c r="A88" s="2" t="s">
        <v>986</v>
      </c>
      <c r="B88" s="2" t="s">
        <v>987</v>
      </c>
      <c r="C88" s="2" t="s">
        <v>988</v>
      </c>
      <c r="D88" s="2">
        <v>44.05</v>
      </c>
      <c r="E88" s="2">
        <v>2.0</v>
      </c>
    </row>
    <row r="89" ht="14.25" customHeight="1">
      <c r="A89" s="511" t="s">
        <v>989</v>
      </c>
      <c r="B89" s="2" t="s">
        <v>990</v>
      </c>
      <c r="C89" s="2" t="s">
        <v>991</v>
      </c>
      <c r="D89" s="2">
        <v>162.2</v>
      </c>
      <c r="E89" s="2">
        <v>0.0</v>
      </c>
    </row>
    <row r="90" ht="14.25" customHeight="1">
      <c r="A90" s="2" t="s">
        <v>992</v>
      </c>
      <c r="B90" s="2" t="s">
        <v>993</v>
      </c>
      <c r="C90" s="521" t="s">
        <v>994</v>
      </c>
      <c r="D90" s="2">
        <v>34.03</v>
      </c>
      <c r="E90" s="2">
        <v>1.0</v>
      </c>
    </row>
    <row r="91" ht="14.25" customHeight="1">
      <c r="A91" s="511" t="s">
        <v>995</v>
      </c>
      <c r="B91" s="511" t="s">
        <v>996</v>
      </c>
      <c r="C91" s="2" t="s">
        <v>997</v>
      </c>
      <c r="D91" s="2">
        <v>30.03</v>
      </c>
      <c r="E91" s="2">
        <v>1.0</v>
      </c>
    </row>
    <row r="92" ht="14.25" customHeight="1">
      <c r="A92" s="2" t="s">
        <v>998</v>
      </c>
      <c r="B92" s="2" t="s">
        <v>999</v>
      </c>
      <c r="C92" s="2" t="s">
        <v>1000</v>
      </c>
      <c r="D92" s="2">
        <v>46.03</v>
      </c>
      <c r="E92" s="2">
        <v>1.0</v>
      </c>
    </row>
    <row r="93" ht="14.25" customHeight="1">
      <c r="A93" s="2" t="s">
        <v>1001</v>
      </c>
      <c r="B93" s="511" t="s">
        <v>1002</v>
      </c>
      <c r="C93" s="2" t="s">
        <v>1003</v>
      </c>
      <c r="D93" s="2">
        <v>92.09</v>
      </c>
      <c r="E93" s="2">
        <v>3.0</v>
      </c>
    </row>
    <row r="94" ht="14.25" customHeight="1">
      <c r="A94" s="2" t="s">
        <v>1004</v>
      </c>
      <c r="B94" s="511" t="s">
        <v>1005</v>
      </c>
      <c r="E94" s="2">
        <v>0.0</v>
      </c>
    </row>
    <row r="95" ht="14.25" customHeight="1">
      <c r="A95" s="2" t="s">
        <v>1006</v>
      </c>
      <c r="B95" s="2" t="s">
        <v>649</v>
      </c>
      <c r="C95" s="2" t="s">
        <v>1007</v>
      </c>
      <c r="D95" s="2">
        <v>2.02</v>
      </c>
      <c r="E95" s="2">
        <v>0.0</v>
      </c>
    </row>
    <row r="96" ht="14.25" customHeight="1">
      <c r="A96" s="2" t="s">
        <v>1008</v>
      </c>
      <c r="B96" s="2" t="s">
        <v>1009</v>
      </c>
      <c r="C96" s="2" t="s">
        <v>1010</v>
      </c>
      <c r="D96" s="2">
        <v>36.49</v>
      </c>
      <c r="E96" s="2">
        <v>0.0</v>
      </c>
    </row>
    <row r="97" ht="14.25" customHeight="1">
      <c r="A97" s="2" t="s">
        <v>1011</v>
      </c>
      <c r="B97" s="2" t="s">
        <v>1012</v>
      </c>
      <c r="C97" s="2" t="s">
        <v>1013</v>
      </c>
      <c r="E97" s="2">
        <v>0.0</v>
      </c>
    </row>
    <row r="98" ht="14.25" customHeight="1">
      <c r="A98" s="2" t="s">
        <v>1014</v>
      </c>
      <c r="B98" s="2" t="s">
        <v>1015</v>
      </c>
      <c r="C98" s="2" t="s">
        <v>1016</v>
      </c>
      <c r="E98" s="2">
        <v>0.0</v>
      </c>
    </row>
    <row r="99" ht="14.25" customHeight="1">
      <c r="A99" s="2" t="s">
        <v>1017</v>
      </c>
      <c r="B99" s="2" t="s">
        <v>1018</v>
      </c>
      <c r="C99" s="522" t="s">
        <v>1019</v>
      </c>
      <c r="D99" s="2">
        <v>34.08</v>
      </c>
      <c r="E99" s="2">
        <v>0.0</v>
      </c>
    </row>
    <row r="100" ht="14.25" customHeight="1">
      <c r="A100" s="2" t="s">
        <v>1020</v>
      </c>
      <c r="B100" s="2" t="s">
        <v>1021</v>
      </c>
      <c r="C100" s="2" t="s">
        <v>1022</v>
      </c>
      <c r="E100" s="2">
        <v>0.0</v>
      </c>
    </row>
    <row r="101" ht="14.25" customHeight="1">
      <c r="A101" s="2" t="s">
        <v>1023</v>
      </c>
      <c r="B101" s="2" t="s">
        <v>1024</v>
      </c>
      <c r="C101" s="2" t="s">
        <v>1025</v>
      </c>
      <c r="E101" s="2">
        <v>0.0</v>
      </c>
    </row>
    <row r="102" ht="14.25" customHeight="1">
      <c r="A102" s="2" t="s">
        <v>1026</v>
      </c>
      <c r="B102" s="511" t="s">
        <v>1027</v>
      </c>
      <c r="C102" s="2" t="s">
        <v>1028</v>
      </c>
      <c r="D102" s="2">
        <v>58.12</v>
      </c>
      <c r="E102" s="2">
        <v>4.0</v>
      </c>
    </row>
    <row r="103" ht="14.25" customHeight="1">
      <c r="A103" s="2" t="s">
        <v>1029</v>
      </c>
      <c r="B103" s="511" t="s">
        <v>1030</v>
      </c>
      <c r="C103" s="2" t="s">
        <v>1031</v>
      </c>
      <c r="D103" s="2">
        <v>56.11</v>
      </c>
      <c r="E103" s="2">
        <v>4.0</v>
      </c>
    </row>
    <row r="104" ht="14.25" customHeight="1">
      <c r="A104" s="2" t="s">
        <v>1032</v>
      </c>
      <c r="B104" s="511" t="s">
        <v>1033</v>
      </c>
      <c r="C104" s="2" t="s">
        <v>1034</v>
      </c>
      <c r="D104" s="2">
        <v>72.15</v>
      </c>
      <c r="E104" s="2">
        <v>5.0</v>
      </c>
    </row>
    <row r="105" ht="14.25" customHeight="1">
      <c r="A105" s="511" t="s">
        <v>1035</v>
      </c>
      <c r="B105" s="511" t="s">
        <v>1036</v>
      </c>
      <c r="C105" s="2" t="s">
        <v>769</v>
      </c>
      <c r="D105" s="2">
        <v>128.13</v>
      </c>
      <c r="E105" s="2">
        <v>8.0</v>
      </c>
    </row>
    <row r="106" ht="14.25" customHeight="1">
      <c r="A106" s="511" t="s">
        <v>1037</v>
      </c>
      <c r="B106" s="511" t="s">
        <v>1038</v>
      </c>
      <c r="C106" s="2" t="s">
        <v>1039</v>
      </c>
      <c r="D106" s="2">
        <v>68.12</v>
      </c>
      <c r="E106" s="2">
        <v>5.0</v>
      </c>
    </row>
    <row r="107" ht="14.25" customHeight="1">
      <c r="A107" s="2" t="s">
        <v>1040</v>
      </c>
      <c r="B107" s="2" t="s">
        <v>1041</v>
      </c>
      <c r="C107" s="2" t="s">
        <v>1042</v>
      </c>
      <c r="D107" s="2">
        <v>60.1</v>
      </c>
      <c r="E107" s="2">
        <v>3.0</v>
      </c>
    </row>
    <row r="108" ht="14.25" customHeight="1">
      <c r="A108" s="511" t="s">
        <v>1043</v>
      </c>
      <c r="B108" s="511" t="s">
        <v>1044</v>
      </c>
      <c r="C108" s="2" t="s">
        <v>1045</v>
      </c>
      <c r="D108" s="2">
        <v>398.62</v>
      </c>
      <c r="E108" s="2">
        <v>24.0</v>
      </c>
    </row>
    <row r="109" ht="14.25" customHeight="1">
      <c r="A109" s="523" t="s">
        <v>1046</v>
      </c>
      <c r="B109" s="523" t="s">
        <v>850</v>
      </c>
      <c r="C109" s="2" t="s">
        <v>851</v>
      </c>
      <c r="D109" s="2">
        <v>278.43</v>
      </c>
      <c r="E109" s="2">
        <v>18.0</v>
      </c>
    </row>
    <row r="110" ht="14.25" customHeight="1">
      <c r="A110" s="523" t="s">
        <v>1047</v>
      </c>
      <c r="B110" s="523" t="s">
        <v>1048</v>
      </c>
      <c r="E110" s="2">
        <v>0.0</v>
      </c>
    </row>
    <row r="111" ht="14.25" customHeight="1">
      <c r="A111" s="2" t="s">
        <v>1049</v>
      </c>
      <c r="B111" s="2" t="s">
        <v>1050</v>
      </c>
      <c r="C111" s="2" t="s">
        <v>1051</v>
      </c>
      <c r="D111" s="2">
        <v>214.746</v>
      </c>
      <c r="E111" s="2">
        <v>0.0</v>
      </c>
    </row>
    <row r="112" ht="14.25" customHeight="1">
      <c r="A112" s="2" t="s">
        <v>1052</v>
      </c>
      <c r="B112" s="511" t="s">
        <v>648</v>
      </c>
      <c r="C112" s="2" t="s">
        <v>1053</v>
      </c>
      <c r="D112" s="2">
        <v>16.04</v>
      </c>
      <c r="E112" s="2">
        <v>1.0</v>
      </c>
    </row>
    <row r="113" ht="14.25" customHeight="1">
      <c r="A113" s="511" t="s">
        <v>39</v>
      </c>
      <c r="B113" s="511" t="s">
        <v>1054</v>
      </c>
      <c r="C113" s="2" t="s">
        <v>1055</v>
      </c>
      <c r="D113" s="2">
        <v>32.04</v>
      </c>
      <c r="E113" s="2">
        <v>1.0</v>
      </c>
    </row>
    <row r="114" ht="14.25" customHeight="1">
      <c r="A114" s="511" t="s">
        <v>1056</v>
      </c>
      <c r="B114" s="2" t="s">
        <v>1057</v>
      </c>
      <c r="C114" s="2" t="s">
        <v>1058</v>
      </c>
      <c r="D114" s="2">
        <v>74.08</v>
      </c>
      <c r="E114" s="2">
        <v>3.0</v>
      </c>
    </row>
    <row r="115" ht="14.25" customHeight="1">
      <c r="A115" s="511" t="s">
        <v>1059</v>
      </c>
      <c r="B115" s="511" t="s">
        <v>1060</v>
      </c>
      <c r="C115" s="2" t="s">
        <v>1061</v>
      </c>
      <c r="D115" s="2">
        <v>40.06</v>
      </c>
      <c r="E115" s="2">
        <v>3.0</v>
      </c>
    </row>
    <row r="116" ht="14.25" customHeight="1">
      <c r="A116" s="511" t="s">
        <v>1062</v>
      </c>
      <c r="B116" s="511" t="s">
        <v>1063</v>
      </c>
      <c r="C116" s="2" t="s">
        <v>1064</v>
      </c>
      <c r="D116" s="2">
        <v>50.49</v>
      </c>
      <c r="E116" s="2">
        <v>1.0</v>
      </c>
    </row>
    <row r="117" ht="14.25" customHeight="1">
      <c r="A117" s="2" t="s">
        <v>1065</v>
      </c>
      <c r="B117" s="2" t="s">
        <v>1066</v>
      </c>
      <c r="C117" s="2" t="s">
        <v>1067</v>
      </c>
      <c r="D117" s="2">
        <v>119.16</v>
      </c>
      <c r="E117" s="2">
        <v>5.0</v>
      </c>
    </row>
    <row r="118" ht="14.25" customHeight="1">
      <c r="A118" s="511" t="s">
        <v>1068</v>
      </c>
      <c r="B118" s="511" t="s">
        <v>1069</v>
      </c>
      <c r="E118" s="2">
        <v>1.0</v>
      </c>
    </row>
    <row r="119" ht="14.25" customHeight="1">
      <c r="A119" s="511" t="s">
        <v>1070</v>
      </c>
      <c r="B119" s="511" t="s">
        <v>1071</v>
      </c>
      <c r="C119" s="2" t="s">
        <v>1072</v>
      </c>
      <c r="D119" s="2">
        <v>60.05</v>
      </c>
      <c r="E119" s="2">
        <v>2.0</v>
      </c>
    </row>
    <row r="120" ht="14.25" customHeight="1">
      <c r="A120" s="511" t="s">
        <v>1073</v>
      </c>
      <c r="B120" s="511" t="s">
        <v>1074</v>
      </c>
      <c r="C120" s="2" t="s">
        <v>1075</v>
      </c>
      <c r="D120" s="2">
        <v>294.47</v>
      </c>
      <c r="E120" s="2">
        <v>19.0</v>
      </c>
    </row>
    <row r="121" ht="14.25" customHeight="1">
      <c r="A121" s="511" t="s">
        <v>1076</v>
      </c>
      <c r="B121" s="511" t="s">
        <v>1077</v>
      </c>
      <c r="C121" s="2" t="s">
        <v>1078</v>
      </c>
      <c r="D121" s="2">
        <v>292.46</v>
      </c>
      <c r="E121" s="2">
        <v>19.0</v>
      </c>
    </row>
    <row r="122" ht="14.25" customHeight="1">
      <c r="A122" s="2" t="s">
        <v>1079</v>
      </c>
      <c r="B122" s="511" t="s">
        <v>1080</v>
      </c>
      <c r="C122" s="2" t="s">
        <v>1081</v>
      </c>
      <c r="D122" s="2">
        <v>296.49</v>
      </c>
      <c r="E122" s="2">
        <v>19.0</v>
      </c>
    </row>
    <row r="123" ht="14.25" customHeight="1">
      <c r="A123" s="2" t="s">
        <v>1082</v>
      </c>
      <c r="B123" s="2" t="s">
        <v>1083</v>
      </c>
      <c r="C123" s="2" t="s">
        <v>1084</v>
      </c>
      <c r="D123" s="2">
        <v>88.15</v>
      </c>
      <c r="E123" s="2">
        <v>5.0</v>
      </c>
    </row>
    <row r="124" ht="14.25" customHeight="1">
      <c r="A124" s="511" t="s">
        <v>1085</v>
      </c>
      <c r="B124" s="2" t="s">
        <v>1086</v>
      </c>
      <c r="C124" s="2" t="s">
        <v>1087</v>
      </c>
      <c r="D124" s="2">
        <v>84.16</v>
      </c>
      <c r="E124" s="2">
        <v>6.0</v>
      </c>
    </row>
    <row r="125" ht="14.25" customHeight="1">
      <c r="A125" s="511" t="s">
        <v>1088</v>
      </c>
      <c r="B125" s="511" t="s">
        <v>1089</v>
      </c>
      <c r="C125" s="2" t="s">
        <v>1090</v>
      </c>
      <c r="E125" s="2">
        <v>0.0</v>
      </c>
    </row>
    <row r="126" ht="14.25" customHeight="1">
      <c r="A126" s="2" t="s">
        <v>1091</v>
      </c>
      <c r="B126" s="2" t="s">
        <v>1092</v>
      </c>
      <c r="C126" s="521" t="s">
        <v>940</v>
      </c>
      <c r="D126" s="2">
        <v>61.08</v>
      </c>
      <c r="E126" s="2">
        <v>2.0</v>
      </c>
    </row>
    <row r="127" ht="14.25" customHeight="1">
      <c r="A127" s="511" t="s">
        <v>1093</v>
      </c>
      <c r="B127" s="511" t="s">
        <v>1094</v>
      </c>
      <c r="C127" s="2" t="s">
        <v>1095</v>
      </c>
      <c r="D127" s="2">
        <v>117.15</v>
      </c>
      <c r="E127" s="2">
        <v>8.0</v>
      </c>
    </row>
    <row r="128" ht="14.25" customHeight="1">
      <c r="A128" s="511" t="s">
        <v>1096</v>
      </c>
      <c r="B128" s="2" t="s">
        <v>1097</v>
      </c>
      <c r="C128" s="2" t="s">
        <v>1098</v>
      </c>
      <c r="D128" s="2">
        <v>106.17</v>
      </c>
      <c r="E128" s="2">
        <v>8.0</v>
      </c>
    </row>
    <row r="129" ht="14.25" customHeight="1">
      <c r="A129" s="2" t="s">
        <v>1099</v>
      </c>
      <c r="B129" s="2" t="s">
        <v>1100</v>
      </c>
      <c r="C129" s="2" t="s">
        <v>1101</v>
      </c>
      <c r="D129" s="2">
        <v>136.19</v>
      </c>
      <c r="E129" s="2">
        <v>8.0</v>
      </c>
    </row>
    <row r="130" ht="14.25" customHeight="1">
      <c r="A130" s="511" t="s">
        <v>1102</v>
      </c>
      <c r="B130" s="2" t="s">
        <v>1103</v>
      </c>
      <c r="C130" s="2" t="s">
        <v>1104</v>
      </c>
      <c r="D130" s="2">
        <v>73.09</v>
      </c>
      <c r="E130" s="2">
        <v>3.0</v>
      </c>
    </row>
    <row r="131" ht="14.25" customHeight="1">
      <c r="A131" s="2" t="s">
        <v>242</v>
      </c>
      <c r="B131" s="2" t="s">
        <v>1105</v>
      </c>
      <c r="C131" s="2" t="s">
        <v>1106</v>
      </c>
    </row>
    <row r="132" ht="14.25" customHeight="1">
      <c r="A132" s="511" t="s">
        <v>1107</v>
      </c>
      <c r="B132" s="511" t="s">
        <v>1108</v>
      </c>
      <c r="C132" s="2" t="s">
        <v>1109</v>
      </c>
      <c r="D132" s="2">
        <v>128.17</v>
      </c>
      <c r="E132" s="2">
        <v>10.0</v>
      </c>
    </row>
    <row r="133" ht="14.25" customHeight="1">
      <c r="A133" s="2" t="s">
        <v>1110</v>
      </c>
      <c r="B133" s="511" t="s">
        <v>1111</v>
      </c>
      <c r="C133" s="2" t="s">
        <v>1112</v>
      </c>
      <c r="D133" s="2">
        <v>58.12</v>
      </c>
      <c r="E133" s="2">
        <v>4.0</v>
      </c>
    </row>
    <row r="134" ht="14.25" customHeight="1">
      <c r="A134" s="512" t="s">
        <v>1113</v>
      </c>
      <c r="B134" s="511" t="s">
        <v>1114</v>
      </c>
      <c r="C134" s="512" t="s">
        <v>1115</v>
      </c>
      <c r="D134" s="2">
        <v>86.178</v>
      </c>
      <c r="E134" s="2">
        <v>6.0</v>
      </c>
    </row>
    <row r="135" ht="14.25" customHeight="1">
      <c r="A135" s="512" t="s">
        <v>1113</v>
      </c>
      <c r="B135" s="523" t="s">
        <v>1116</v>
      </c>
      <c r="C135" s="512" t="s">
        <v>1115</v>
      </c>
      <c r="D135" s="2">
        <v>86.178</v>
      </c>
      <c r="E135" s="2">
        <v>6.0</v>
      </c>
    </row>
    <row r="136" ht="14.25" customHeight="1">
      <c r="A136" s="511" t="s">
        <v>1117</v>
      </c>
      <c r="B136" s="511" t="s">
        <v>1118</v>
      </c>
      <c r="C136" s="2" t="s">
        <v>1119</v>
      </c>
      <c r="E136" s="2">
        <v>0.0</v>
      </c>
    </row>
    <row r="137" ht="14.25" customHeight="1">
      <c r="A137" s="2" t="s">
        <v>1120</v>
      </c>
      <c r="B137" s="2" t="s">
        <v>1121</v>
      </c>
      <c r="C137" s="2" t="s">
        <v>1122</v>
      </c>
      <c r="D137" s="2">
        <v>63.01</v>
      </c>
      <c r="E137" s="2">
        <v>0.0</v>
      </c>
    </row>
    <row r="138" ht="14.25" customHeight="1">
      <c r="A138" s="2" t="s">
        <v>1123</v>
      </c>
      <c r="B138" s="2" t="s">
        <v>1124</v>
      </c>
      <c r="C138" s="2" t="s">
        <v>1125</v>
      </c>
      <c r="E138" s="2">
        <v>0.0</v>
      </c>
    </row>
    <row r="139" ht="14.25" customHeight="1">
      <c r="A139" s="2" t="s">
        <v>1126</v>
      </c>
      <c r="B139" s="511" t="s">
        <v>1127</v>
      </c>
      <c r="C139" s="2" t="s">
        <v>1128</v>
      </c>
      <c r="D139" s="2">
        <v>123.11</v>
      </c>
      <c r="E139" s="2">
        <v>6.0</v>
      </c>
    </row>
    <row r="140" ht="14.25" customHeight="1">
      <c r="A140" s="2" t="s">
        <v>1129</v>
      </c>
      <c r="B140" s="2" t="s">
        <v>646</v>
      </c>
      <c r="C140" s="2" t="s">
        <v>1130</v>
      </c>
      <c r="D140" s="2">
        <v>28.01</v>
      </c>
      <c r="E140" s="2">
        <v>0.0</v>
      </c>
    </row>
    <row r="141" ht="14.25" customHeight="1">
      <c r="A141" s="2" t="s">
        <v>1131</v>
      </c>
      <c r="B141" s="2" t="s">
        <v>1132</v>
      </c>
      <c r="C141" s="2" t="s">
        <v>1133</v>
      </c>
      <c r="E141" s="2">
        <v>0.0</v>
      </c>
    </row>
    <row r="142" ht="14.25" customHeight="1">
      <c r="A142" s="2" t="s">
        <v>1134</v>
      </c>
      <c r="B142" s="2" t="s">
        <v>1135</v>
      </c>
      <c r="C142" s="2" t="s">
        <v>1136</v>
      </c>
      <c r="D142" s="2">
        <v>92.01</v>
      </c>
      <c r="E142" s="2">
        <v>0.0</v>
      </c>
    </row>
    <row r="143" ht="14.25" customHeight="1">
      <c r="A143" s="2" t="s">
        <v>1137</v>
      </c>
      <c r="B143" s="2" t="s">
        <v>1138</v>
      </c>
      <c r="C143" s="2" t="s">
        <v>1139</v>
      </c>
      <c r="D143" s="2">
        <v>44.01</v>
      </c>
      <c r="E143" s="2">
        <v>0.0</v>
      </c>
    </row>
    <row r="144" ht="14.25" customHeight="1">
      <c r="A144" s="511" t="s">
        <v>1140</v>
      </c>
      <c r="B144" s="2" t="s">
        <v>1141</v>
      </c>
      <c r="C144" s="2" t="s">
        <v>1142</v>
      </c>
      <c r="D144" s="2">
        <v>99.13</v>
      </c>
      <c r="E144" s="2">
        <v>5.0</v>
      </c>
    </row>
    <row r="145" ht="14.25" customHeight="1">
      <c r="A145" s="2" t="s">
        <v>1143</v>
      </c>
      <c r="B145" s="511" t="s">
        <v>1144</v>
      </c>
      <c r="C145" s="2" t="s">
        <v>1145</v>
      </c>
      <c r="D145" s="2">
        <v>114.23</v>
      </c>
      <c r="E145" s="2">
        <v>8.0</v>
      </c>
    </row>
    <row r="146" ht="14.25" customHeight="1">
      <c r="A146" s="2" t="s">
        <v>1146</v>
      </c>
      <c r="B146" s="511" t="s">
        <v>1147</v>
      </c>
      <c r="C146" s="2" t="s">
        <v>1148</v>
      </c>
      <c r="D146" s="2">
        <v>72.15</v>
      </c>
      <c r="E146" s="2">
        <v>5.0</v>
      </c>
    </row>
    <row r="147" ht="14.25" customHeight="1">
      <c r="A147" s="511" t="s">
        <v>1149</v>
      </c>
      <c r="B147" s="511" t="s">
        <v>1150</v>
      </c>
      <c r="C147" s="2" t="s">
        <v>1151</v>
      </c>
      <c r="D147" s="2">
        <v>76.16</v>
      </c>
      <c r="E147" s="2">
        <v>3.0</v>
      </c>
    </row>
    <row r="148" ht="14.25" customHeight="1">
      <c r="A148" s="523" t="s">
        <v>1152</v>
      </c>
      <c r="B148" s="523" t="s">
        <v>1153</v>
      </c>
      <c r="C148" s="512" t="s">
        <v>1154</v>
      </c>
      <c r="D148" s="2">
        <v>324.7272</v>
      </c>
      <c r="E148" s="2">
        <v>23.0</v>
      </c>
    </row>
    <row r="149" ht="14.25" customHeight="1">
      <c r="A149" s="2" t="s">
        <v>1155</v>
      </c>
      <c r="B149" s="2" t="s">
        <v>645</v>
      </c>
      <c r="C149" s="2" t="s">
        <v>1156</v>
      </c>
      <c r="D149" s="2">
        <v>32.0</v>
      </c>
      <c r="E149" s="2">
        <v>0.0</v>
      </c>
    </row>
    <row r="150" ht="14.25" customHeight="1">
      <c r="A150" s="2" t="s">
        <v>1157</v>
      </c>
      <c r="B150" s="2" t="s">
        <v>1158</v>
      </c>
      <c r="C150" s="2" t="s">
        <v>1159</v>
      </c>
      <c r="D150" s="2">
        <v>106.17</v>
      </c>
      <c r="E150" s="2">
        <v>8.0</v>
      </c>
    </row>
    <row r="151" ht="14.25" customHeight="1">
      <c r="A151" s="511" t="s">
        <v>1160</v>
      </c>
      <c r="B151" s="511" t="s">
        <v>1161</v>
      </c>
      <c r="C151" s="2" t="s">
        <v>1162</v>
      </c>
      <c r="D151" s="2">
        <v>30.03</v>
      </c>
      <c r="E151" s="2">
        <v>1.0</v>
      </c>
    </row>
    <row r="152" ht="14.25" customHeight="1">
      <c r="A152" s="511" t="s">
        <v>1163</v>
      </c>
      <c r="B152" s="2" t="s">
        <v>1164</v>
      </c>
      <c r="C152" s="2" t="s">
        <v>1165</v>
      </c>
      <c r="D152" s="2">
        <v>98.92</v>
      </c>
      <c r="E152" s="2">
        <v>1.0</v>
      </c>
    </row>
    <row r="153" ht="14.25" customHeight="1">
      <c r="A153" s="511" t="s">
        <v>1166</v>
      </c>
      <c r="B153" s="511" t="s">
        <v>1167</v>
      </c>
      <c r="C153" s="2" t="s">
        <v>1168</v>
      </c>
      <c r="D153" s="2">
        <v>86.14</v>
      </c>
      <c r="E153" s="2">
        <v>4.0</v>
      </c>
    </row>
    <row r="154" ht="14.25" customHeight="1">
      <c r="A154" s="2" t="s">
        <v>1169</v>
      </c>
      <c r="B154" s="2" t="s">
        <v>1170</v>
      </c>
      <c r="C154" s="366" t="s">
        <v>1171</v>
      </c>
      <c r="E154" s="2">
        <v>2.0</v>
      </c>
    </row>
    <row r="155" ht="14.25" customHeight="1">
      <c r="A155" s="2" t="s">
        <v>1172</v>
      </c>
      <c r="B155" s="2" t="s">
        <v>1173</v>
      </c>
      <c r="C155" s="366"/>
      <c r="E155" s="2">
        <v>2.0</v>
      </c>
    </row>
    <row r="156" ht="14.25" customHeight="1">
      <c r="A156" s="2" t="s">
        <v>1174</v>
      </c>
      <c r="B156" s="2" t="s">
        <v>1175</v>
      </c>
      <c r="C156" s="2" t="s">
        <v>1176</v>
      </c>
      <c r="E156" s="2">
        <v>2.0</v>
      </c>
    </row>
    <row r="157" ht="14.25" customHeight="1">
      <c r="A157" s="511" t="s">
        <v>1177</v>
      </c>
      <c r="B157" s="2" t="s">
        <v>1178</v>
      </c>
      <c r="C157" s="2" t="s">
        <v>1179</v>
      </c>
      <c r="E157" s="2">
        <v>10.0</v>
      </c>
    </row>
    <row r="158" ht="14.25" customHeight="1">
      <c r="A158" s="511" t="s">
        <v>1180</v>
      </c>
      <c r="B158" s="2" t="s">
        <v>1181</v>
      </c>
      <c r="C158" s="2" t="s">
        <v>1179</v>
      </c>
      <c r="E158" s="2">
        <v>10.0</v>
      </c>
    </row>
    <row r="159" ht="14.25" customHeight="1">
      <c r="A159" s="511" t="s">
        <v>1182</v>
      </c>
      <c r="B159" s="511" t="s">
        <v>1183</v>
      </c>
      <c r="C159" s="2" t="s">
        <v>1184</v>
      </c>
      <c r="E159" s="2">
        <v>1.0</v>
      </c>
    </row>
    <row r="160" ht="14.25" customHeight="1">
      <c r="A160" s="511" t="s">
        <v>1185</v>
      </c>
      <c r="B160" s="2" t="s">
        <v>1186</v>
      </c>
      <c r="C160" s="2" t="s">
        <v>1187</v>
      </c>
      <c r="E160" s="2">
        <v>3.0</v>
      </c>
    </row>
    <row r="161" ht="14.25" customHeight="1">
      <c r="A161" s="511" t="s">
        <v>1188</v>
      </c>
      <c r="B161" s="511" t="s">
        <v>1189</v>
      </c>
      <c r="C161" s="2" t="s">
        <v>1190</v>
      </c>
      <c r="D161" s="2">
        <v>98.14</v>
      </c>
      <c r="E161" s="2">
        <v>2.0</v>
      </c>
    </row>
    <row r="162" ht="14.25" customHeight="1">
      <c r="A162" s="511" t="s">
        <v>1191</v>
      </c>
      <c r="B162" s="2" t="s">
        <v>1192</v>
      </c>
      <c r="C162" s="2" t="s">
        <v>1193</v>
      </c>
      <c r="E162" s="2">
        <v>1.0</v>
      </c>
    </row>
    <row r="163" ht="14.25" customHeight="1">
      <c r="A163" s="511" t="s">
        <v>1194</v>
      </c>
      <c r="B163" s="2" t="s">
        <v>1195</v>
      </c>
      <c r="C163" s="2" t="s">
        <v>1193</v>
      </c>
      <c r="E163" s="2">
        <v>1.0</v>
      </c>
    </row>
    <row r="164" ht="14.25" customHeight="1">
      <c r="A164" s="511" t="s">
        <v>1196</v>
      </c>
      <c r="B164" s="2" t="s">
        <v>1197</v>
      </c>
      <c r="C164" s="2" t="s">
        <v>1198</v>
      </c>
      <c r="E164" s="2">
        <v>1.0</v>
      </c>
    </row>
    <row r="165" ht="14.25" customHeight="1">
      <c r="A165" s="511" t="s">
        <v>1199</v>
      </c>
      <c r="B165" s="511" t="s">
        <v>1200</v>
      </c>
      <c r="C165" s="2" t="s">
        <v>1198</v>
      </c>
      <c r="E165" s="2">
        <v>1.0</v>
      </c>
    </row>
    <row r="166" ht="14.25" customHeight="1">
      <c r="A166" s="511" t="s">
        <v>1201</v>
      </c>
      <c r="B166" s="2" t="s">
        <v>1202</v>
      </c>
      <c r="C166" s="2" t="s">
        <v>1203</v>
      </c>
      <c r="E166" s="2">
        <v>0.0</v>
      </c>
    </row>
    <row r="167" ht="14.25" customHeight="1">
      <c r="A167" s="2" t="s">
        <v>1204</v>
      </c>
      <c r="B167" s="2" t="s">
        <v>1205</v>
      </c>
      <c r="C167" s="521" t="s">
        <v>1206</v>
      </c>
      <c r="D167" s="2">
        <v>74.5513</v>
      </c>
      <c r="E167" s="2">
        <v>0.0</v>
      </c>
    </row>
    <row r="168" ht="14.25" customHeight="1">
      <c r="A168" s="2" t="s">
        <v>1207</v>
      </c>
      <c r="B168" s="2" t="s">
        <v>1208</v>
      </c>
      <c r="C168" s="521" t="s">
        <v>1209</v>
      </c>
      <c r="D168" s="2">
        <v>56.1056</v>
      </c>
      <c r="E168" s="2">
        <v>0.0</v>
      </c>
    </row>
    <row r="169" ht="14.25" customHeight="1">
      <c r="A169" s="511" t="s">
        <v>1210</v>
      </c>
      <c r="B169" s="2" t="s">
        <v>1211</v>
      </c>
      <c r="C169" s="521"/>
      <c r="E169" s="2">
        <v>0.0</v>
      </c>
    </row>
    <row r="170" ht="14.25" customHeight="1">
      <c r="A170" s="511" t="s">
        <v>1212</v>
      </c>
      <c r="B170" s="511" t="s">
        <v>1213</v>
      </c>
      <c r="C170" s="2" t="s">
        <v>1214</v>
      </c>
      <c r="D170" s="2">
        <v>44.1</v>
      </c>
      <c r="E170" s="2">
        <v>3.0</v>
      </c>
    </row>
    <row r="171" ht="14.25" customHeight="1">
      <c r="A171" s="511" t="s">
        <v>1215</v>
      </c>
      <c r="B171" s="511" t="s">
        <v>1216</v>
      </c>
      <c r="C171" s="2" t="s">
        <v>1217</v>
      </c>
      <c r="D171" s="2">
        <v>102.13</v>
      </c>
      <c r="E171" s="2">
        <v>5.0</v>
      </c>
    </row>
    <row r="172" ht="14.25" customHeight="1">
      <c r="A172" s="2" t="s">
        <v>248</v>
      </c>
      <c r="B172" s="511" t="s">
        <v>1218</v>
      </c>
      <c r="C172" s="2" t="s">
        <v>1219</v>
      </c>
      <c r="D172" s="2">
        <v>42.08</v>
      </c>
      <c r="E172" s="2">
        <v>3.0</v>
      </c>
    </row>
    <row r="173" ht="14.25" customHeight="1">
      <c r="A173" s="2" t="s">
        <v>1220</v>
      </c>
      <c r="B173" s="2" t="s">
        <v>1221</v>
      </c>
      <c r="C173" s="2" t="s">
        <v>1222</v>
      </c>
      <c r="D173" s="2">
        <v>78.09</v>
      </c>
      <c r="E173" s="2">
        <v>3.0</v>
      </c>
    </row>
    <row r="174" ht="14.25" customHeight="1">
      <c r="A174" s="511" t="s">
        <v>1223</v>
      </c>
      <c r="B174" s="511" t="s">
        <v>1224</v>
      </c>
      <c r="E174" s="2">
        <v>4.0</v>
      </c>
    </row>
    <row r="175" ht="14.25" customHeight="1">
      <c r="A175" s="511" t="s">
        <v>1225</v>
      </c>
      <c r="B175" s="511" t="s">
        <v>1226</v>
      </c>
      <c r="E175" s="2">
        <v>4.0</v>
      </c>
    </row>
    <row r="176" ht="14.25" customHeight="1">
      <c r="A176" s="511" t="s">
        <v>1227</v>
      </c>
      <c r="B176" s="2" t="s">
        <v>1228</v>
      </c>
      <c r="C176" s="2" t="s">
        <v>1229</v>
      </c>
      <c r="D176" s="2">
        <v>58.08</v>
      </c>
      <c r="E176" s="2">
        <v>3.0</v>
      </c>
    </row>
    <row r="177" ht="14.25" customHeight="1">
      <c r="A177" s="511" t="s">
        <v>1230</v>
      </c>
      <c r="B177" s="511" t="s">
        <v>1231</v>
      </c>
      <c r="C177" s="2" t="s">
        <v>1232</v>
      </c>
      <c r="D177" s="2">
        <v>136.15</v>
      </c>
      <c r="E177" s="2">
        <v>8.0</v>
      </c>
    </row>
    <row r="178" ht="14.25" customHeight="1">
      <c r="A178" s="2" t="s">
        <v>1233</v>
      </c>
      <c r="B178" s="2" t="s">
        <v>1234</v>
      </c>
      <c r="C178" s="2" t="s">
        <v>1235</v>
      </c>
      <c r="D178" s="2">
        <v>107.17</v>
      </c>
      <c r="E178" s="2">
        <v>8.0</v>
      </c>
    </row>
    <row r="179" ht="14.25" customHeight="1">
      <c r="A179" s="511" t="s">
        <v>1236</v>
      </c>
      <c r="B179" s="511" t="s">
        <v>1237</v>
      </c>
      <c r="C179" s="2" t="s">
        <v>1238</v>
      </c>
      <c r="D179" s="2">
        <v>79.1</v>
      </c>
      <c r="E179" s="2">
        <v>5.0</v>
      </c>
    </row>
    <row r="180" ht="14.25" customHeight="1">
      <c r="A180" s="2" t="s">
        <v>1239</v>
      </c>
      <c r="B180" s="514" t="s">
        <v>1240</v>
      </c>
      <c r="C180" s="521" t="s">
        <v>1241</v>
      </c>
      <c r="D180" s="2">
        <v>60.08</v>
      </c>
      <c r="E180" s="2">
        <v>0.0</v>
      </c>
    </row>
    <row r="181" ht="14.25" customHeight="1">
      <c r="A181" s="511" t="s">
        <v>1242</v>
      </c>
      <c r="B181" s="2" t="s">
        <v>1243</v>
      </c>
      <c r="E181" s="2">
        <v>0.0</v>
      </c>
    </row>
    <row r="182" ht="14.25" customHeight="1">
      <c r="A182" s="511" t="s">
        <v>1244</v>
      </c>
      <c r="B182" s="511" t="s">
        <v>1245</v>
      </c>
      <c r="D182" s="524"/>
      <c r="E182" s="2">
        <v>0.0</v>
      </c>
    </row>
    <row r="183" ht="14.25" customHeight="1">
      <c r="A183" s="2" t="s">
        <v>1246</v>
      </c>
      <c r="B183" s="2" t="s">
        <v>1247</v>
      </c>
      <c r="C183" s="366" t="s">
        <v>1248</v>
      </c>
      <c r="E183" s="2">
        <v>0.0</v>
      </c>
    </row>
    <row r="184" ht="14.25" customHeight="1">
      <c r="A184" s="2" t="s">
        <v>1249</v>
      </c>
      <c r="B184" s="2" t="s">
        <v>1250</v>
      </c>
      <c r="C184" s="366"/>
      <c r="E184" s="2">
        <v>0.0</v>
      </c>
    </row>
    <row r="185" ht="14.25" customHeight="1">
      <c r="A185" s="511" t="s">
        <v>1251</v>
      </c>
      <c r="B185" s="516" t="s">
        <v>1252</v>
      </c>
      <c r="C185" s="366" t="s">
        <v>1253</v>
      </c>
      <c r="E185" s="2">
        <v>1.0</v>
      </c>
    </row>
    <row r="186" ht="14.25" customHeight="1">
      <c r="A186" s="511" t="s">
        <v>1254</v>
      </c>
      <c r="B186" s="516" t="s">
        <v>1255</v>
      </c>
      <c r="C186" s="366" t="s">
        <v>1253</v>
      </c>
      <c r="E186" s="2">
        <v>1.0</v>
      </c>
    </row>
    <row r="187" ht="14.25" customHeight="1">
      <c r="A187" s="2" t="s">
        <v>1256</v>
      </c>
      <c r="B187" s="2" t="s">
        <v>1257</v>
      </c>
      <c r="C187" s="369" t="s">
        <v>1258</v>
      </c>
      <c r="E187" s="2">
        <v>0.0</v>
      </c>
    </row>
    <row r="188" ht="14.25" customHeight="1">
      <c r="A188" s="2" t="s">
        <v>1259</v>
      </c>
      <c r="B188" s="2" t="s">
        <v>1260</v>
      </c>
      <c r="C188" s="195"/>
      <c r="E188" s="2">
        <v>0.0</v>
      </c>
    </row>
    <row r="189" ht="14.25" customHeight="1">
      <c r="A189" s="2" t="s">
        <v>1261</v>
      </c>
      <c r="B189" s="2" t="s">
        <v>1262</v>
      </c>
      <c r="C189" s="369"/>
      <c r="E189" s="2">
        <v>0.0</v>
      </c>
    </row>
    <row r="190" ht="14.25" customHeight="1">
      <c r="A190" s="511" t="s">
        <v>1263</v>
      </c>
      <c r="B190" s="2" t="s">
        <v>1264</v>
      </c>
      <c r="C190" s="2" t="s">
        <v>1265</v>
      </c>
      <c r="E190" s="2">
        <v>0.0</v>
      </c>
    </row>
    <row r="191" ht="14.25" customHeight="1">
      <c r="A191" s="511" t="s">
        <v>1266</v>
      </c>
      <c r="B191" s="511" t="s">
        <v>1267</v>
      </c>
      <c r="C191" s="2" t="s">
        <v>1268</v>
      </c>
      <c r="E191" s="2">
        <v>1.0</v>
      </c>
    </row>
    <row r="192" ht="14.25" customHeight="1">
      <c r="A192" s="511" t="s">
        <v>1269</v>
      </c>
      <c r="B192" s="511" t="s">
        <v>1270</v>
      </c>
      <c r="E192" s="2">
        <v>0.0</v>
      </c>
    </row>
    <row r="193" ht="14.25" customHeight="1">
      <c r="A193" s="511" t="s">
        <v>1271</v>
      </c>
      <c r="B193" s="2" t="s">
        <v>1272</v>
      </c>
      <c r="C193" s="2" t="s">
        <v>1273</v>
      </c>
      <c r="E193" s="2">
        <v>0.0</v>
      </c>
    </row>
    <row r="194" ht="14.25" customHeight="1">
      <c r="A194" s="2" t="s">
        <v>1274</v>
      </c>
      <c r="B194" s="2" t="s">
        <v>1275</v>
      </c>
      <c r="C194" s="2" t="s">
        <v>1276</v>
      </c>
      <c r="E194" s="2">
        <v>0.0</v>
      </c>
    </row>
    <row r="195" ht="14.25" customHeight="1">
      <c r="A195" s="511" t="s">
        <v>1277</v>
      </c>
      <c r="B195" s="2" t="s">
        <v>1278</v>
      </c>
      <c r="C195" s="2" t="s">
        <v>1276</v>
      </c>
      <c r="E195" s="2">
        <v>0.0</v>
      </c>
    </row>
    <row r="196" ht="14.25" customHeight="1">
      <c r="A196" s="511" t="s">
        <v>1279</v>
      </c>
      <c r="B196" s="2" t="s">
        <v>1280</v>
      </c>
      <c r="C196" s="2" t="s">
        <v>1281</v>
      </c>
      <c r="D196" s="2">
        <v>104.15</v>
      </c>
      <c r="E196" s="2">
        <v>8.0</v>
      </c>
    </row>
    <row r="197" ht="14.25" customHeight="1">
      <c r="A197" s="511" t="s">
        <v>1282</v>
      </c>
      <c r="B197" s="511" t="s">
        <v>1283</v>
      </c>
      <c r="C197" s="2" t="s">
        <v>1284</v>
      </c>
      <c r="E197" s="2">
        <v>0.0</v>
      </c>
    </row>
    <row r="198" ht="14.25" customHeight="1">
      <c r="A198" s="511" t="s">
        <v>1285</v>
      </c>
      <c r="B198" s="511" t="s">
        <v>1286</v>
      </c>
      <c r="C198" s="2" t="s">
        <v>1287</v>
      </c>
      <c r="D198" s="2">
        <v>120.17</v>
      </c>
      <c r="E198" s="2">
        <v>4.0</v>
      </c>
    </row>
    <row r="199" ht="14.25" customHeight="1">
      <c r="A199" s="2" t="s">
        <v>1288</v>
      </c>
      <c r="B199" s="2" t="s">
        <v>1289</v>
      </c>
      <c r="C199" s="521" t="s">
        <v>1290</v>
      </c>
      <c r="D199" s="2">
        <v>32.066</v>
      </c>
      <c r="E199" s="2">
        <v>0.0</v>
      </c>
    </row>
    <row r="200" ht="14.25" customHeight="1">
      <c r="A200" s="2" t="s">
        <v>1291</v>
      </c>
      <c r="B200" s="2" t="s">
        <v>1292</v>
      </c>
      <c r="C200" s="525" t="s">
        <v>1293</v>
      </c>
      <c r="D200" s="2">
        <v>64.066</v>
      </c>
      <c r="E200" s="2">
        <v>0.0</v>
      </c>
    </row>
    <row r="201" ht="14.25" customHeight="1">
      <c r="A201" s="511" t="s">
        <v>1294</v>
      </c>
      <c r="B201" s="2" t="s">
        <v>1295</v>
      </c>
      <c r="C201" s="2" t="s">
        <v>1296</v>
      </c>
      <c r="D201" s="2">
        <v>98.08</v>
      </c>
      <c r="E201" s="2">
        <v>0.0</v>
      </c>
    </row>
    <row r="202" ht="14.25" customHeight="1">
      <c r="A202" s="523" t="s">
        <v>1297</v>
      </c>
      <c r="B202" s="512" t="s">
        <v>1298</v>
      </c>
      <c r="C202" s="512"/>
      <c r="D202" s="514"/>
      <c r="E202" s="514"/>
    </row>
    <row r="203" ht="14.25" customHeight="1">
      <c r="A203" s="511" t="s">
        <v>1299</v>
      </c>
      <c r="B203" s="511" t="s">
        <v>1300</v>
      </c>
      <c r="C203" s="2" t="s">
        <v>1301</v>
      </c>
      <c r="D203" s="511">
        <v>166.13</v>
      </c>
      <c r="E203" s="2">
        <v>8.0</v>
      </c>
    </row>
    <row r="204" ht="14.25" customHeight="1">
      <c r="A204" s="511" t="s">
        <v>1302</v>
      </c>
      <c r="B204" s="511" t="s">
        <v>1303</v>
      </c>
      <c r="C204" s="2" t="s">
        <v>1301</v>
      </c>
      <c r="D204" s="511">
        <v>166.13</v>
      </c>
      <c r="E204" s="2">
        <v>8.0</v>
      </c>
    </row>
    <row r="205" ht="14.25" customHeight="1">
      <c r="A205" s="511" t="s">
        <v>1304</v>
      </c>
      <c r="B205" s="511" t="s">
        <v>1305</v>
      </c>
      <c r="C205" s="2" t="s">
        <v>1306</v>
      </c>
      <c r="D205" s="2">
        <v>74.12</v>
      </c>
      <c r="E205" s="2">
        <v>4.0</v>
      </c>
    </row>
    <row r="206" ht="14.25" customHeight="1">
      <c r="A206" s="2" t="s">
        <v>1307</v>
      </c>
      <c r="B206" s="511" t="s">
        <v>1308</v>
      </c>
      <c r="C206" s="2" t="s">
        <v>1309</v>
      </c>
      <c r="D206" s="2">
        <v>90.12</v>
      </c>
      <c r="E206" s="2">
        <v>4.0</v>
      </c>
    </row>
    <row r="207" ht="14.25" customHeight="1">
      <c r="A207" s="511" t="s">
        <v>1310</v>
      </c>
      <c r="B207" s="511" t="s">
        <v>1311</v>
      </c>
      <c r="C207" s="2" t="s">
        <v>1312</v>
      </c>
      <c r="D207" s="2">
        <v>153.82</v>
      </c>
      <c r="E207" s="2">
        <v>1.0</v>
      </c>
    </row>
    <row r="208" ht="14.25" customHeight="1">
      <c r="A208" s="2" t="s">
        <v>1313</v>
      </c>
      <c r="B208" s="511" t="s">
        <v>1314</v>
      </c>
      <c r="C208" s="2" t="s">
        <v>1315</v>
      </c>
      <c r="D208" s="2">
        <v>194.23</v>
      </c>
      <c r="E208" s="2">
        <v>8.0</v>
      </c>
    </row>
    <row r="209" ht="14.25" customHeight="1">
      <c r="A209" s="511" t="s">
        <v>1316</v>
      </c>
      <c r="B209" s="511" t="s">
        <v>1317</v>
      </c>
      <c r="C209" s="2" t="s">
        <v>1318</v>
      </c>
      <c r="D209" s="2">
        <v>84.14</v>
      </c>
      <c r="E209" s="2">
        <v>4.0</v>
      </c>
    </row>
    <row r="210" ht="14.25" customHeight="1">
      <c r="A210" s="511" t="s">
        <v>1319</v>
      </c>
      <c r="B210" s="511" t="s">
        <v>1320</v>
      </c>
      <c r="E210" s="2">
        <v>0.0</v>
      </c>
    </row>
    <row r="211" ht="14.25" customHeight="1">
      <c r="A211" s="511" t="s">
        <v>1321</v>
      </c>
      <c r="B211" s="2" t="s">
        <v>1322</v>
      </c>
      <c r="C211" s="2" t="s">
        <v>1323</v>
      </c>
      <c r="E211" s="2">
        <v>0.0</v>
      </c>
    </row>
    <row r="212" ht="14.25" customHeight="1">
      <c r="A212" s="2" t="s">
        <v>1324</v>
      </c>
      <c r="B212" s="511" t="s">
        <v>1325</v>
      </c>
      <c r="C212" s="2" t="s">
        <v>1326</v>
      </c>
      <c r="D212" s="2">
        <v>92.14</v>
      </c>
      <c r="E212" s="2">
        <v>7.0</v>
      </c>
    </row>
    <row r="213" ht="14.25" customHeight="1">
      <c r="A213" s="511" t="s">
        <v>1327</v>
      </c>
      <c r="B213" s="511" t="s">
        <v>1328</v>
      </c>
      <c r="C213" s="2" t="s">
        <v>1329</v>
      </c>
      <c r="D213" s="2">
        <v>56.11</v>
      </c>
      <c r="E213" s="2">
        <v>4.0</v>
      </c>
    </row>
    <row r="214" ht="14.25" customHeight="1">
      <c r="A214" s="511" t="s">
        <v>1330</v>
      </c>
      <c r="B214" s="511" t="s">
        <v>1331</v>
      </c>
      <c r="C214" s="2" t="s">
        <v>1332</v>
      </c>
      <c r="D214" s="2">
        <v>147.39</v>
      </c>
      <c r="E214" s="2">
        <v>2.0</v>
      </c>
    </row>
    <row r="215" ht="14.25" customHeight="1">
      <c r="A215" s="511" t="s">
        <v>1333</v>
      </c>
      <c r="B215" s="2" t="s">
        <v>1334</v>
      </c>
      <c r="C215" s="2" t="s">
        <v>1335</v>
      </c>
      <c r="E215" s="2">
        <v>6.0</v>
      </c>
    </row>
    <row r="216" ht="14.25" customHeight="1">
      <c r="A216" s="2" t="s">
        <v>1336</v>
      </c>
      <c r="B216" s="2" t="s">
        <v>1337</v>
      </c>
      <c r="C216" s="2" t="s">
        <v>1338</v>
      </c>
      <c r="D216" s="2">
        <v>150.17</v>
      </c>
      <c r="E216" s="2">
        <v>6.0</v>
      </c>
    </row>
    <row r="217" ht="14.25" customHeight="1">
      <c r="A217" s="511" t="s">
        <v>1339</v>
      </c>
      <c r="B217" s="511" t="s">
        <v>1340</v>
      </c>
      <c r="C217" s="2" t="s">
        <v>1341</v>
      </c>
      <c r="D217" s="2">
        <v>879.38</v>
      </c>
      <c r="E217" s="2">
        <v>57.0</v>
      </c>
    </row>
    <row r="218" ht="14.25" customHeight="1">
      <c r="A218" s="511" t="s">
        <v>1342</v>
      </c>
      <c r="B218" s="511" t="s">
        <v>1343</v>
      </c>
      <c r="C218" s="2" t="s">
        <v>1344</v>
      </c>
      <c r="D218" s="2">
        <v>873.34</v>
      </c>
      <c r="E218" s="2">
        <v>57.0</v>
      </c>
    </row>
    <row r="219" ht="14.25" customHeight="1">
      <c r="A219" s="2" t="s">
        <v>1345</v>
      </c>
      <c r="B219" s="511" t="s">
        <v>1346</v>
      </c>
      <c r="C219" s="2" t="s">
        <v>1347</v>
      </c>
      <c r="D219" s="2">
        <v>885.43</v>
      </c>
      <c r="E219" s="2">
        <v>57.0</v>
      </c>
    </row>
    <row r="220" ht="14.25" customHeight="1">
      <c r="A220" s="511" t="s">
        <v>1348</v>
      </c>
      <c r="B220" s="511" t="s">
        <v>1349</v>
      </c>
      <c r="D220" s="524"/>
      <c r="E220" s="2">
        <v>10.0</v>
      </c>
    </row>
    <row r="221" ht="14.25" customHeight="1">
      <c r="A221" s="511" t="s">
        <v>1350</v>
      </c>
      <c r="B221" s="2" t="s">
        <v>1351</v>
      </c>
      <c r="C221" s="2" t="s">
        <v>1352</v>
      </c>
      <c r="D221" s="2">
        <v>60.06</v>
      </c>
      <c r="E221" s="2">
        <v>1.0</v>
      </c>
    </row>
    <row r="222" ht="14.25" customHeight="1">
      <c r="A222" s="511" t="s">
        <v>1353</v>
      </c>
      <c r="B222" s="511" t="s">
        <v>1354</v>
      </c>
      <c r="C222" s="2" t="s">
        <v>1352</v>
      </c>
      <c r="D222" s="524"/>
      <c r="E222" s="2">
        <v>1.0</v>
      </c>
    </row>
    <row r="223" ht="14.25" customHeight="1">
      <c r="A223" s="511" t="s">
        <v>291</v>
      </c>
      <c r="B223" s="511" t="s">
        <v>1355</v>
      </c>
      <c r="C223" s="2" t="s">
        <v>1356</v>
      </c>
      <c r="D223" s="2">
        <v>52.07</v>
      </c>
      <c r="E223" s="2">
        <v>4.0</v>
      </c>
    </row>
    <row r="224" ht="14.25" customHeight="1">
      <c r="A224" s="2" t="s">
        <v>1357</v>
      </c>
      <c r="B224" s="2" t="s">
        <v>1358</v>
      </c>
      <c r="C224" s="2" t="s">
        <v>1359</v>
      </c>
      <c r="D224" s="2">
        <v>62.5</v>
      </c>
      <c r="E224" s="2">
        <v>2.0</v>
      </c>
    </row>
    <row r="225" ht="14.25" customHeight="1">
      <c r="A225" s="512" t="s">
        <v>1360</v>
      </c>
      <c r="B225" s="512" t="s">
        <v>1361</v>
      </c>
      <c r="C225" s="512"/>
      <c r="D225" s="2">
        <v>62.5</v>
      </c>
      <c r="E225" s="2">
        <v>2.0</v>
      </c>
    </row>
    <row r="226" ht="14.25" customHeight="1">
      <c r="A226" s="2" t="s">
        <v>288</v>
      </c>
      <c r="B226" s="2" t="s">
        <v>643</v>
      </c>
      <c r="C226" s="2" t="s">
        <v>1362</v>
      </c>
      <c r="D226" s="514"/>
      <c r="E226" s="2">
        <v>0.0</v>
      </c>
    </row>
    <row r="227" ht="14.25" customHeight="1">
      <c r="A227" s="2" t="s">
        <v>288</v>
      </c>
      <c r="B227" s="2" t="s">
        <v>1363</v>
      </c>
      <c r="C227" s="2" t="s">
        <v>1362</v>
      </c>
      <c r="E227" s="2">
        <v>0.0</v>
      </c>
    </row>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42"/>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1364</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79" t="s">
        <v>85</v>
      </c>
      <c r="C6" s="80"/>
      <c r="D6" s="81" t="s">
        <v>1365</v>
      </c>
      <c r="E6" s="526" t="s">
        <v>1366</v>
      </c>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t="s">
        <v>88</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97" t="s">
        <v>1367</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248.25"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97" t="s">
        <v>1368</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59.25"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74"/>
      <c r="L36" s="100" t="s">
        <v>93</v>
      </c>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74"/>
      <c r="L37" s="101" t="s">
        <v>94</v>
      </c>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74"/>
      <c r="L38" s="101" t="s">
        <v>95</v>
      </c>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74"/>
      <c r="L39" s="101" t="s">
        <v>96</v>
      </c>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t="s">
        <v>1369</v>
      </c>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110" t="s">
        <v>98</v>
      </c>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111"/>
      <c r="D61" s="111"/>
      <c r="E61" s="112"/>
      <c r="F61" s="91"/>
      <c r="G61" s="113"/>
      <c r="H61" s="74"/>
      <c r="I61" s="74"/>
      <c r="J61" s="74"/>
      <c r="K61" s="74"/>
      <c r="L61" s="74"/>
      <c r="M61" s="74"/>
      <c r="N61" s="74"/>
      <c r="O61" s="109"/>
      <c r="P61" s="74"/>
      <c r="Q61" s="74"/>
      <c r="R61" s="74"/>
      <c r="S61" s="74"/>
      <c r="T61" s="74"/>
      <c r="U61" s="74"/>
      <c r="V61" s="74"/>
      <c r="W61" s="74"/>
      <c r="X61" s="74"/>
      <c r="Y61" s="74"/>
      <c r="Z61" s="74"/>
    </row>
    <row r="62" ht="14.25" customHeight="1">
      <c r="A62" s="74"/>
      <c r="B62" s="114" t="s">
        <v>99</v>
      </c>
      <c r="C62" s="203"/>
      <c r="D62" s="80"/>
      <c r="E62" s="74"/>
      <c r="F62" s="74"/>
      <c r="G62" s="74"/>
      <c r="H62" s="74"/>
      <c r="I62" s="74"/>
      <c r="J62" s="74"/>
      <c r="K62" s="74"/>
      <c r="L62" s="74"/>
      <c r="M62" s="74"/>
      <c r="N62" s="74"/>
      <c r="O62" s="74"/>
      <c r="P62" s="74"/>
      <c r="Q62" s="74"/>
      <c r="R62" s="74"/>
      <c r="S62" s="74"/>
      <c r="T62" s="74"/>
      <c r="U62" s="74"/>
      <c r="V62" s="74"/>
      <c r="W62" s="74"/>
      <c r="X62" s="74"/>
      <c r="Y62" s="74"/>
      <c r="Z62" s="74"/>
    </row>
    <row r="63" ht="14.25" customHeight="1">
      <c r="A63" s="74"/>
      <c r="B63" s="121" t="s">
        <v>102</v>
      </c>
      <c r="C63" s="121" t="s">
        <v>103</v>
      </c>
      <c r="D63" s="121" t="s">
        <v>1370</v>
      </c>
      <c r="E63" s="283" t="s">
        <v>1371</v>
      </c>
      <c r="F63" s="283" t="s">
        <v>241</v>
      </c>
      <c r="G63" s="74"/>
      <c r="H63" s="118" t="s">
        <v>100</v>
      </c>
      <c r="I63" s="119"/>
      <c r="J63" s="120"/>
      <c r="K63" s="74"/>
      <c r="L63" s="74"/>
      <c r="M63" s="74"/>
      <c r="N63" s="118" t="s">
        <v>101</v>
      </c>
      <c r="O63" s="118"/>
      <c r="P63" s="74"/>
      <c r="Q63" s="74"/>
      <c r="R63" s="74"/>
      <c r="S63" s="74"/>
      <c r="T63" s="74"/>
      <c r="U63" s="74"/>
      <c r="V63" s="74"/>
      <c r="W63" s="74"/>
      <c r="X63" s="74"/>
      <c r="Y63" s="74"/>
      <c r="Z63" s="74"/>
    </row>
    <row r="64" ht="14.25" customHeight="1">
      <c r="A64" s="74"/>
      <c r="B64" s="123" t="s">
        <v>1372</v>
      </c>
      <c r="C64" s="124" t="s">
        <v>112</v>
      </c>
      <c r="D64" s="124">
        <v>3.3420409892093192</v>
      </c>
      <c r="E64" s="247">
        <v>20.0</v>
      </c>
      <c r="F64" s="285">
        <v>20.0</v>
      </c>
      <c r="G64" s="74"/>
      <c r="H64" s="121" t="s">
        <v>102</v>
      </c>
      <c r="I64" s="121" t="s">
        <v>103</v>
      </c>
      <c r="J64" s="121" t="s">
        <v>1370</v>
      </c>
      <c r="K64" s="283" t="s">
        <v>1371</v>
      </c>
      <c r="L64" s="283" t="s">
        <v>241</v>
      </c>
      <c r="M64" s="74"/>
      <c r="N64" s="118" t="s">
        <v>105</v>
      </c>
      <c r="O64" s="122"/>
      <c r="P64" s="74"/>
      <c r="Q64" s="74"/>
      <c r="R64" s="74"/>
      <c r="S64" s="74"/>
      <c r="T64" s="74"/>
      <c r="U64" s="74"/>
      <c r="V64" s="74"/>
      <c r="W64" s="74"/>
      <c r="X64" s="74"/>
      <c r="Y64" s="74"/>
      <c r="Z64" s="74"/>
    </row>
    <row r="65" ht="14.25" customHeight="1">
      <c r="A65" s="74"/>
      <c r="B65" s="123" t="s">
        <v>1373</v>
      </c>
      <c r="C65" s="124" t="s">
        <v>247</v>
      </c>
      <c r="D65" s="124">
        <v>6.614592094990161</v>
      </c>
      <c r="E65" s="247">
        <v>215.0</v>
      </c>
      <c r="F65" s="285">
        <v>21.0</v>
      </c>
      <c r="G65" s="74"/>
      <c r="H65" s="123" t="s">
        <v>1374</v>
      </c>
      <c r="I65" s="124" t="s">
        <v>1375</v>
      </c>
      <c r="J65" s="527">
        <v>1.0</v>
      </c>
      <c r="K65" s="247">
        <v>40.0</v>
      </c>
      <c r="L65" s="285">
        <v>15.0</v>
      </c>
      <c r="M65" s="74"/>
      <c r="N65" s="110" t="s">
        <v>110</v>
      </c>
      <c r="O65" s="125">
        <f>SUM(D64:D67)</f>
        <v>38.15021175</v>
      </c>
      <c r="P65" s="74"/>
      <c r="Q65" s="74"/>
      <c r="R65" s="74"/>
      <c r="S65" s="74"/>
      <c r="T65" s="74"/>
      <c r="U65" s="74"/>
      <c r="V65" s="74"/>
      <c r="W65" s="74"/>
      <c r="X65" s="74"/>
      <c r="Y65" s="74"/>
      <c r="Z65" s="74"/>
    </row>
    <row r="66" ht="14.25" customHeight="1">
      <c r="A66" s="74"/>
      <c r="B66" s="123" t="s">
        <v>106</v>
      </c>
      <c r="C66" s="124" t="s">
        <v>1376</v>
      </c>
      <c r="D66" s="124">
        <v>27.09416710186582</v>
      </c>
      <c r="E66" s="247">
        <v>15.0</v>
      </c>
      <c r="F66" s="285">
        <v>1.02</v>
      </c>
      <c r="G66" s="74"/>
      <c r="H66" s="123" t="s">
        <v>1377</v>
      </c>
      <c r="I66" s="124" t="s">
        <v>1378</v>
      </c>
      <c r="J66" s="124">
        <v>34.98</v>
      </c>
      <c r="K66" s="247">
        <v>180.0</v>
      </c>
      <c r="L66" s="285">
        <v>3.0</v>
      </c>
      <c r="M66" s="74"/>
      <c r="N66" s="110" t="s">
        <v>114</v>
      </c>
      <c r="O66" s="125">
        <f>J65</f>
        <v>1</v>
      </c>
      <c r="P66" s="74"/>
      <c r="Q66" s="74"/>
      <c r="R66" s="74"/>
      <c r="S66" s="74"/>
      <c r="T66" s="74"/>
      <c r="U66" s="74"/>
      <c r="V66" s="74"/>
      <c r="W66" s="74"/>
      <c r="X66" s="74"/>
      <c r="Y66" s="74"/>
      <c r="Z66" s="74"/>
    </row>
    <row r="67" ht="14.25" customHeight="1">
      <c r="A67" s="74"/>
      <c r="B67" s="123" t="s">
        <v>1379</v>
      </c>
      <c r="C67" s="124" t="s">
        <v>112</v>
      </c>
      <c r="D67" s="124">
        <v>1.0994115626045018</v>
      </c>
      <c r="E67" s="247">
        <v>15.0</v>
      </c>
      <c r="F67" s="285">
        <v>1.02</v>
      </c>
      <c r="G67" s="292"/>
      <c r="H67" s="123" t="s">
        <v>471</v>
      </c>
      <c r="I67" s="124" t="s">
        <v>1380</v>
      </c>
      <c r="J67" s="124">
        <v>2.16</v>
      </c>
      <c r="K67" s="247">
        <v>40.0</v>
      </c>
      <c r="L67" s="285">
        <v>1.02</v>
      </c>
      <c r="M67" s="74"/>
      <c r="N67" s="110" t="s">
        <v>117</v>
      </c>
      <c r="O67" s="125">
        <f>SUM(J66:J67)</f>
        <v>37.14</v>
      </c>
      <c r="P67" s="74"/>
      <c r="Q67" s="74"/>
      <c r="R67" s="74"/>
      <c r="S67" s="74"/>
      <c r="T67" s="74"/>
      <c r="U67" s="74"/>
      <c r="V67" s="74"/>
      <c r="W67" s="74"/>
      <c r="X67" s="74"/>
      <c r="Y67" s="74"/>
      <c r="Z67" s="74"/>
    </row>
    <row r="68" ht="14.25" customHeight="1">
      <c r="A68" s="105"/>
      <c r="B68" s="105"/>
      <c r="C68" s="108"/>
      <c r="D68" s="109"/>
      <c r="E68" s="292"/>
      <c r="F68" s="105"/>
      <c r="G68" s="105"/>
      <c r="H68" s="108"/>
      <c r="I68" s="293"/>
      <c r="J68" s="74"/>
      <c r="K68" s="74"/>
      <c r="L68" s="74"/>
      <c r="M68" s="74"/>
      <c r="N68" s="110" t="s">
        <v>101</v>
      </c>
      <c r="O68" s="125">
        <f>O65-O66-O67</f>
        <v>0.01021174867</v>
      </c>
      <c r="P68" s="74"/>
      <c r="Q68" s="74"/>
      <c r="R68" s="74"/>
      <c r="S68" s="74"/>
      <c r="T68" s="74"/>
      <c r="U68" s="74"/>
      <c r="V68" s="74"/>
      <c r="W68" s="74"/>
      <c r="X68" s="74"/>
      <c r="Y68" s="74"/>
      <c r="Z68" s="74"/>
    </row>
    <row r="69" ht="14.25" customHeight="1">
      <c r="A69" s="105"/>
      <c r="B69" s="105"/>
      <c r="C69" s="108"/>
      <c r="D69" s="109"/>
      <c r="E69" s="292"/>
      <c r="F69" s="105"/>
      <c r="G69" s="74"/>
      <c r="H69" s="105"/>
      <c r="I69" s="74"/>
      <c r="J69" s="74"/>
      <c r="K69" s="74"/>
      <c r="L69" s="74"/>
      <c r="M69" s="104"/>
      <c r="N69" s="135" t="s">
        <v>121</v>
      </c>
      <c r="O69" s="124">
        <f>(O68/O65)*100</f>
        <v>0.02676721361</v>
      </c>
      <c r="P69" s="74"/>
      <c r="Q69" s="74"/>
      <c r="R69" s="74"/>
      <c r="S69" s="74"/>
      <c r="T69" s="74"/>
      <c r="U69" s="74"/>
      <c r="V69" s="74"/>
      <c r="W69" s="74"/>
      <c r="X69" s="74"/>
      <c r="Y69" s="74"/>
      <c r="Z69" s="74"/>
    </row>
    <row r="70" ht="14.25" customHeight="1">
      <c r="A70" s="74"/>
      <c r="B70" s="74"/>
      <c r="C70" s="74"/>
      <c r="D70" s="74"/>
      <c r="E70" s="74"/>
      <c r="F70" s="74"/>
      <c r="G70" s="74"/>
      <c r="H70" s="74"/>
      <c r="I70" s="74"/>
      <c r="J70" s="74"/>
      <c r="K70" s="74"/>
      <c r="L70" s="200"/>
      <c r="M70" s="74"/>
      <c r="N70" s="104"/>
      <c r="O70" s="105"/>
      <c r="P70" s="74"/>
      <c r="Q70" s="74"/>
      <c r="R70" s="74"/>
      <c r="S70" s="74"/>
      <c r="T70" s="74"/>
      <c r="U70" s="74"/>
      <c r="V70" s="74"/>
      <c r="W70" s="74"/>
      <c r="X70" s="74"/>
      <c r="Y70" s="74"/>
      <c r="Z70" s="74"/>
    </row>
    <row r="71" ht="14.25" customHeight="1">
      <c r="A71" s="74"/>
      <c r="B71" s="89"/>
      <c r="C71" s="89"/>
      <c r="D71" s="89"/>
      <c r="E71" s="89"/>
      <c r="F71" s="89"/>
      <c r="G71" s="89"/>
      <c r="H71" s="91"/>
      <c r="I71" s="91"/>
      <c r="J71" s="91"/>
      <c r="K71" s="91"/>
      <c r="L71" s="91"/>
      <c r="M71" s="74"/>
      <c r="N71" s="74"/>
      <c r="O71" s="74"/>
      <c r="P71" s="74"/>
      <c r="Q71" s="74"/>
      <c r="R71" s="74"/>
      <c r="S71" s="74"/>
      <c r="T71" s="74"/>
      <c r="U71" s="74"/>
      <c r="V71" s="74"/>
      <c r="W71" s="74"/>
      <c r="X71" s="74"/>
      <c r="Y71" s="74"/>
      <c r="Z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4.25" customHeight="1">
      <c r="A73" s="74"/>
      <c r="B73" s="110" t="s">
        <v>122</v>
      </c>
      <c r="C73" s="117"/>
      <c r="D73" s="117"/>
      <c r="E73" s="117"/>
      <c r="F73" s="117"/>
      <c r="G73" s="117"/>
      <c r="H73" s="117"/>
      <c r="I73" s="117"/>
      <c r="J73" s="74"/>
      <c r="K73" s="74"/>
      <c r="L73" s="74"/>
      <c r="M73" s="74"/>
      <c r="N73" s="74"/>
      <c r="O73" s="74"/>
      <c r="P73" s="74"/>
      <c r="Q73" s="74"/>
      <c r="R73" s="74"/>
      <c r="S73" s="74"/>
      <c r="T73" s="74"/>
      <c r="U73" s="74"/>
      <c r="V73" s="74"/>
      <c r="W73" s="74"/>
      <c r="X73" s="74"/>
      <c r="Y73" s="74"/>
      <c r="Z73" s="74"/>
    </row>
    <row r="74" ht="14.25" customHeight="1">
      <c r="A74" s="74"/>
      <c r="B74" s="117"/>
      <c r="C74" s="117"/>
      <c r="D74" s="117"/>
      <c r="E74" s="117"/>
      <c r="F74" s="117"/>
      <c r="G74" s="117"/>
      <c r="H74" s="117"/>
      <c r="I74" s="117"/>
      <c r="J74" s="74"/>
      <c r="K74" s="89"/>
      <c r="L74" s="74"/>
      <c r="M74" s="74"/>
      <c r="N74" s="74"/>
      <c r="O74" s="74"/>
      <c r="P74" s="74"/>
      <c r="Q74" s="74"/>
      <c r="R74" s="74"/>
      <c r="S74" s="74"/>
      <c r="T74" s="74"/>
      <c r="U74" s="74"/>
      <c r="V74" s="74"/>
      <c r="W74" s="74"/>
      <c r="X74" s="74"/>
      <c r="Y74" s="74"/>
      <c r="Z74" s="74"/>
    </row>
    <row r="75" ht="14.25" customHeight="1">
      <c r="A75" s="74"/>
      <c r="B75" s="118" t="s">
        <v>3</v>
      </c>
      <c r="C75" s="528" t="s">
        <v>1381</v>
      </c>
      <c r="D75" s="528" t="s">
        <v>1382</v>
      </c>
      <c r="E75" s="142" t="s">
        <v>1383</v>
      </c>
      <c r="F75" s="142" t="s">
        <v>1384</v>
      </c>
      <c r="G75" s="143" t="s">
        <v>1385</v>
      </c>
      <c r="H75" s="143" t="s">
        <v>1386</v>
      </c>
      <c r="I75" s="144" t="s">
        <v>128</v>
      </c>
      <c r="J75" s="129"/>
      <c r="K75" s="138" t="s">
        <v>123</v>
      </c>
      <c r="L75" s="139"/>
      <c r="M75" s="140"/>
      <c r="N75" s="140"/>
      <c r="O75" s="140"/>
      <c r="P75" s="140"/>
      <c r="Q75" s="141"/>
      <c r="R75" s="74"/>
      <c r="S75" s="74"/>
      <c r="T75" s="74"/>
      <c r="U75" s="74"/>
      <c r="V75" s="74"/>
      <c r="W75" s="74"/>
      <c r="X75" s="74"/>
      <c r="Y75" s="74"/>
      <c r="Z75" s="74"/>
    </row>
    <row r="76" ht="15.0" customHeight="1">
      <c r="A76" s="74"/>
      <c r="B76" s="145" t="s">
        <v>8</v>
      </c>
      <c r="C76" s="146">
        <v>0.0</v>
      </c>
      <c r="D76" s="146">
        <v>0.0</v>
      </c>
      <c r="E76" s="146">
        <f>-461.8352/99.8</f>
        <v>-4.627607214</v>
      </c>
      <c r="F76" s="146">
        <f>-220.3/99.8</f>
        <v>-2.20741483</v>
      </c>
      <c r="G76" s="146">
        <f t="shared" ref="G76:H76" si="1">E76-C76</f>
        <v>-4.627607214</v>
      </c>
      <c r="H76" s="146">
        <f t="shared" si="1"/>
        <v>-2.20741483</v>
      </c>
      <c r="I76" s="147" t="s">
        <v>135</v>
      </c>
      <c r="J76" s="129"/>
      <c r="K76" s="118" t="s">
        <v>3</v>
      </c>
      <c r="L76" s="114" t="s">
        <v>129</v>
      </c>
      <c r="M76" s="121" t="s">
        <v>130</v>
      </c>
      <c r="N76" s="121" t="s">
        <v>131</v>
      </c>
      <c r="O76" s="121" t="s">
        <v>132</v>
      </c>
      <c r="P76" s="121" t="s">
        <v>133</v>
      </c>
      <c r="Q76" s="114" t="s">
        <v>134</v>
      </c>
      <c r="R76" s="74"/>
      <c r="S76" s="74"/>
      <c r="T76" s="74"/>
      <c r="U76" s="74"/>
      <c r="V76" s="74"/>
      <c r="W76" s="74"/>
      <c r="X76" s="74"/>
      <c r="Y76" s="74"/>
      <c r="Z76" s="74"/>
    </row>
    <row r="77" ht="15.0" customHeight="1">
      <c r="A77" s="74"/>
      <c r="B77" s="145" t="s">
        <v>10</v>
      </c>
      <c r="C77" s="146">
        <v>0.0</v>
      </c>
      <c r="D77" s="146">
        <v>0.0</v>
      </c>
      <c r="E77" s="146">
        <f>-462.2928/99.8</f>
        <v>-4.632192385</v>
      </c>
      <c r="F77" s="146">
        <f>-246/99.8</f>
        <v>-2.46492986</v>
      </c>
      <c r="G77" s="146">
        <f t="shared" ref="G77:H77" si="2">E77-C77</f>
        <v>-4.632192385</v>
      </c>
      <c r="H77" s="146">
        <f t="shared" si="2"/>
        <v>-2.46492986</v>
      </c>
      <c r="I77" s="147" t="s">
        <v>135</v>
      </c>
      <c r="J77" s="129"/>
      <c r="K77" s="148" t="s">
        <v>136</v>
      </c>
      <c r="L77" s="149" t="s">
        <v>137</v>
      </c>
      <c r="M77" s="149" t="s">
        <v>137</v>
      </c>
      <c r="N77" s="149" t="s">
        <v>137</v>
      </c>
      <c r="O77" s="149" t="s">
        <v>137</v>
      </c>
      <c r="P77" s="149" t="s">
        <v>137</v>
      </c>
      <c r="Q77" s="149" t="s">
        <v>137</v>
      </c>
      <c r="R77" s="74"/>
      <c r="S77" s="74"/>
      <c r="T77" s="74"/>
      <c r="U77" s="74"/>
      <c r="V77" s="74"/>
      <c r="W77" s="74"/>
      <c r="X77" s="74"/>
      <c r="Y77" s="74"/>
      <c r="Z77" s="74"/>
    </row>
    <row r="78" ht="15.0" customHeight="1">
      <c r="A78" s="74"/>
      <c r="B78" s="145" t="s">
        <v>11</v>
      </c>
      <c r="C78" s="146">
        <v>0.0</v>
      </c>
      <c r="D78" s="146">
        <v>0.0</v>
      </c>
      <c r="E78" s="146">
        <f>-3439.064/99.8</f>
        <v>-34.45955912</v>
      </c>
      <c r="F78" s="146">
        <f>-2106.7/99.8</f>
        <v>-21.10921844</v>
      </c>
      <c r="G78" s="146">
        <f t="shared" ref="G78:H78" si="3">E78-C78</f>
        <v>-34.45955912</v>
      </c>
      <c r="H78" s="146">
        <f t="shared" si="3"/>
        <v>-21.10921844</v>
      </c>
      <c r="I78" s="147" t="s">
        <v>135</v>
      </c>
      <c r="J78" s="129"/>
      <c r="K78" s="150" t="s">
        <v>8</v>
      </c>
      <c r="L78" s="149">
        <v>155.0</v>
      </c>
      <c r="M78" s="149">
        <v>155.0</v>
      </c>
      <c r="N78" s="151">
        <v>5.5</v>
      </c>
      <c r="O78" s="151">
        <v>5.5</v>
      </c>
      <c r="P78" s="149">
        <v>2096.77163841359</v>
      </c>
      <c r="Q78" s="149" t="s">
        <v>138</v>
      </c>
      <c r="R78" s="74"/>
      <c r="S78" s="74"/>
      <c r="T78" s="74"/>
      <c r="U78" s="74"/>
      <c r="V78" s="74"/>
      <c r="W78" s="74"/>
      <c r="X78" s="74"/>
      <c r="Y78" s="74"/>
      <c r="Z78" s="74"/>
    </row>
    <row r="79" ht="14.25" customHeight="1">
      <c r="A79" s="74"/>
      <c r="B79" s="145" t="s">
        <v>12</v>
      </c>
      <c r="C79" s="146">
        <f>915.912/99.8</f>
        <v>9.17747495</v>
      </c>
      <c r="D79" s="146">
        <f>14598/99.8</f>
        <v>146.2725451</v>
      </c>
      <c r="E79" s="146">
        <v>0.0</v>
      </c>
      <c r="F79" s="146">
        <v>0.0</v>
      </c>
      <c r="G79" s="146">
        <f t="shared" ref="G79:H79" si="4">C79</f>
        <v>9.17747495</v>
      </c>
      <c r="H79" s="146">
        <f t="shared" si="4"/>
        <v>146.2725451</v>
      </c>
      <c r="I79" s="147"/>
      <c r="J79" s="129"/>
      <c r="K79" s="118" t="s">
        <v>10</v>
      </c>
      <c r="L79" s="149">
        <v>214.0</v>
      </c>
      <c r="M79" s="149">
        <v>214.0</v>
      </c>
      <c r="N79" s="149">
        <v>21.0</v>
      </c>
      <c r="O79" s="149">
        <v>21.0</v>
      </c>
      <c r="P79" s="149">
        <v>1879.6128145344</v>
      </c>
      <c r="Q79" s="149" t="s">
        <v>138</v>
      </c>
      <c r="R79" s="74"/>
      <c r="S79" s="74"/>
      <c r="T79" s="74"/>
      <c r="U79" s="74"/>
      <c r="V79" s="74"/>
      <c r="W79" s="74"/>
      <c r="X79" s="74"/>
      <c r="Y79" s="74"/>
      <c r="Z79" s="74"/>
    </row>
    <row r="80" ht="14.25" customHeight="1">
      <c r="A80" s="74"/>
      <c r="B80" s="145" t="s">
        <v>34</v>
      </c>
      <c r="C80" s="146">
        <f>407.21368/99.8</f>
        <v>4.080297395</v>
      </c>
      <c r="D80" s="152" t="s">
        <v>1387</v>
      </c>
      <c r="E80" s="146">
        <v>0.0</v>
      </c>
      <c r="F80" s="146">
        <v>0.0</v>
      </c>
      <c r="G80" s="146">
        <f>C80</f>
        <v>4.080297395</v>
      </c>
      <c r="H80" s="152" t="s">
        <v>1387</v>
      </c>
      <c r="I80" s="147"/>
      <c r="J80" s="129"/>
      <c r="K80" s="118" t="s">
        <v>11</v>
      </c>
      <c r="L80" s="149">
        <v>265.0</v>
      </c>
      <c r="M80" s="149">
        <v>265.0</v>
      </c>
      <c r="N80" s="149">
        <v>51.0</v>
      </c>
      <c r="O80" s="149">
        <v>51.0</v>
      </c>
      <c r="P80" s="149">
        <v>1632.4494056856</v>
      </c>
      <c r="Q80" s="149" t="s">
        <v>138</v>
      </c>
      <c r="R80" s="74"/>
      <c r="S80" s="74"/>
      <c r="T80" s="74"/>
      <c r="U80" s="74"/>
      <c r="V80" s="74"/>
      <c r="W80" s="74"/>
      <c r="X80" s="74"/>
      <c r="Y80" s="74"/>
      <c r="Z80" s="74"/>
    </row>
    <row r="81" ht="14.25" customHeight="1">
      <c r="A81" s="74"/>
      <c r="B81" s="117"/>
      <c r="C81" s="117"/>
      <c r="D81" s="117"/>
      <c r="E81" s="117"/>
      <c r="F81" s="117"/>
      <c r="G81" s="117"/>
      <c r="H81" s="117"/>
      <c r="I81" s="117"/>
      <c r="J81" s="74"/>
      <c r="K81" s="118" t="s">
        <v>12</v>
      </c>
      <c r="L81" s="159">
        <v>25.0</v>
      </c>
      <c r="M81" s="159">
        <v>40.0</v>
      </c>
      <c r="N81" s="160">
        <v>1.02</v>
      </c>
      <c r="O81" s="160">
        <v>1.02</v>
      </c>
      <c r="P81" s="160">
        <f>62.74243314036/(M81-L81)</f>
        <v>4.182828876</v>
      </c>
      <c r="Q81" s="159" t="s">
        <v>143</v>
      </c>
      <c r="R81" s="74"/>
      <c r="S81" s="74"/>
      <c r="T81" s="74"/>
      <c r="U81" s="74"/>
      <c r="V81" s="74"/>
      <c r="W81" s="74"/>
      <c r="X81" s="74"/>
      <c r="Y81" s="74"/>
      <c r="Z81" s="74"/>
    </row>
    <row r="82" ht="14.2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ht="14.2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4.25" customHeight="1">
      <c r="A84" s="74"/>
      <c r="B84" s="318" t="s">
        <v>8</v>
      </c>
      <c r="C84" s="245"/>
      <c r="D84" s="245"/>
      <c r="E84" s="245"/>
      <c r="F84" s="245"/>
      <c r="G84" s="245"/>
      <c r="H84" s="318" t="s">
        <v>10</v>
      </c>
      <c r="I84" s="245"/>
      <c r="J84" s="245"/>
      <c r="K84" s="245"/>
      <c r="L84" s="245"/>
      <c r="M84" s="74"/>
      <c r="N84" s="74"/>
      <c r="O84" s="74"/>
      <c r="P84" s="74"/>
      <c r="Q84" s="74"/>
      <c r="R84" s="74"/>
      <c r="S84" s="74"/>
      <c r="T84" s="74"/>
      <c r="U84" s="74"/>
      <c r="V84" s="74"/>
      <c r="W84" s="74"/>
      <c r="X84" s="74"/>
      <c r="Y84" s="74"/>
      <c r="Z84" s="74"/>
    </row>
    <row r="85" ht="14.25" customHeight="1">
      <c r="A85" s="74"/>
      <c r="B85" s="246" t="s">
        <v>483</v>
      </c>
      <c r="C85" s="246" t="s">
        <v>485</v>
      </c>
      <c r="D85" s="246" t="s">
        <v>305</v>
      </c>
      <c r="E85" s="320" t="s">
        <v>128</v>
      </c>
      <c r="F85" s="80"/>
      <c r="G85" s="245"/>
      <c r="H85" s="246" t="s">
        <v>483</v>
      </c>
      <c r="I85" s="246" t="s">
        <v>485</v>
      </c>
      <c r="J85" s="246" t="s">
        <v>305</v>
      </c>
      <c r="K85" s="320" t="s">
        <v>128</v>
      </c>
      <c r="L85" s="80"/>
      <c r="M85" s="74"/>
      <c r="N85" s="74"/>
      <c r="O85" s="74"/>
      <c r="P85" s="74"/>
      <c r="Q85" s="74"/>
      <c r="R85" s="74"/>
      <c r="S85" s="74"/>
      <c r="T85" s="74"/>
      <c r="U85" s="74"/>
      <c r="V85" s="74"/>
      <c r="W85" s="74"/>
      <c r="X85" s="74"/>
      <c r="Y85" s="74"/>
      <c r="Z85" s="74"/>
    </row>
    <row r="86" ht="14.25" customHeight="1">
      <c r="A86" s="74"/>
      <c r="B86" s="344" t="s">
        <v>1388</v>
      </c>
      <c r="C86" s="345">
        <f>-23638.9*0.008/99.8</f>
        <v>-1.894901804</v>
      </c>
      <c r="D86" s="345">
        <f>-90.1916/99.8</f>
        <v>-0.9037234469</v>
      </c>
      <c r="E86" s="529" t="s">
        <v>297</v>
      </c>
      <c r="F86" s="94"/>
      <c r="G86" s="245"/>
      <c r="H86" s="344" t="s">
        <v>1389</v>
      </c>
      <c r="I86" s="345">
        <f>-33036.4*0.008/99.8</f>
        <v>-2.648208417</v>
      </c>
      <c r="J86" s="345">
        <f>-140.609/99.8</f>
        <v>-1.408907816</v>
      </c>
      <c r="K86" s="529" t="s">
        <v>297</v>
      </c>
      <c r="L86" s="94"/>
      <c r="M86" s="74"/>
      <c r="N86" s="74"/>
      <c r="O86" s="74"/>
      <c r="P86" s="74"/>
      <c r="Q86" s="74"/>
      <c r="R86" s="74"/>
      <c r="S86" s="74"/>
      <c r="T86" s="74"/>
      <c r="U86" s="74"/>
      <c r="V86" s="74"/>
      <c r="W86" s="74"/>
      <c r="X86" s="74"/>
      <c r="Y86" s="74"/>
      <c r="Z86" s="74"/>
    </row>
    <row r="87" ht="14.25" customHeight="1">
      <c r="A87" s="74"/>
      <c r="B87" s="344" t="s">
        <v>1390</v>
      </c>
      <c r="C87" s="345">
        <f>-34090.5*0.008/99.8</f>
        <v>-2.732705411</v>
      </c>
      <c r="D87" s="345">
        <f>-130.069/99.8</f>
        <v>-1.303296593</v>
      </c>
      <c r="E87" s="34"/>
      <c r="F87" s="38"/>
      <c r="G87" s="245"/>
      <c r="H87" s="344" t="s">
        <v>1391</v>
      </c>
      <c r="I87" s="345">
        <f>-24750.2*0.008/99.8</f>
        <v>-1.983983968</v>
      </c>
      <c r="J87" s="345">
        <f>-105.342/99.8</f>
        <v>-1.055531062</v>
      </c>
      <c r="K87" s="28"/>
      <c r="L87" s="29"/>
      <c r="M87" s="74"/>
      <c r="N87" s="74"/>
      <c r="O87" s="74"/>
      <c r="P87" s="74"/>
      <c r="Q87" s="74"/>
      <c r="R87" s="74"/>
      <c r="S87" s="74"/>
      <c r="T87" s="74"/>
      <c r="U87" s="74"/>
      <c r="V87" s="74"/>
      <c r="W87" s="74"/>
      <c r="X87" s="74"/>
      <c r="Y87" s="74"/>
      <c r="Z87" s="74"/>
    </row>
    <row r="88" ht="14.25" customHeight="1">
      <c r="A88" s="74"/>
      <c r="B88" s="344"/>
      <c r="C88" s="345"/>
      <c r="D88" s="345"/>
      <c r="E88" s="325"/>
      <c r="F88" s="80"/>
      <c r="G88" s="245"/>
      <c r="H88" s="344"/>
      <c r="I88" s="344"/>
      <c r="J88" s="345"/>
      <c r="K88" s="34"/>
      <c r="L88" s="38"/>
      <c r="M88" s="74"/>
      <c r="N88" s="74"/>
      <c r="O88" s="74"/>
      <c r="P88" s="74"/>
      <c r="Q88" s="74"/>
      <c r="R88" s="74"/>
      <c r="S88" s="74"/>
      <c r="T88" s="74"/>
      <c r="U88" s="74"/>
      <c r="V88" s="74"/>
      <c r="W88" s="74"/>
      <c r="X88" s="74"/>
      <c r="Y88" s="74"/>
      <c r="Z88" s="74"/>
    </row>
    <row r="89" ht="14.25" customHeight="1">
      <c r="A89" s="74"/>
      <c r="B89" s="344"/>
      <c r="C89" s="345"/>
      <c r="D89" s="345"/>
      <c r="E89" s="325"/>
      <c r="F89" s="80"/>
      <c r="G89" s="245"/>
      <c r="H89" s="344"/>
      <c r="I89" s="345"/>
      <c r="J89" s="345"/>
      <c r="K89" s="326"/>
      <c r="L89" s="80"/>
      <c r="M89" s="74"/>
      <c r="N89" s="74"/>
      <c r="O89" s="74"/>
      <c r="P89" s="74"/>
      <c r="Q89" s="74"/>
      <c r="R89" s="74"/>
      <c r="S89" s="74"/>
      <c r="T89" s="74"/>
      <c r="U89" s="74"/>
      <c r="V89" s="74"/>
      <c r="W89" s="74"/>
      <c r="X89" s="74"/>
      <c r="Y89" s="74"/>
      <c r="Z89" s="74"/>
    </row>
    <row r="90" ht="14.25" customHeight="1">
      <c r="A90" s="74"/>
      <c r="B90" s="245"/>
      <c r="C90" s="245"/>
      <c r="D90" s="329"/>
      <c r="E90" s="245"/>
      <c r="F90" s="245"/>
      <c r="G90" s="245"/>
      <c r="H90" s="245"/>
      <c r="I90" s="245"/>
      <c r="J90" s="329"/>
      <c r="K90" s="245"/>
      <c r="L90" s="245"/>
      <c r="M90" s="74"/>
      <c r="N90" s="74"/>
      <c r="O90" s="74"/>
      <c r="P90" s="74"/>
      <c r="Q90" s="74"/>
      <c r="R90" s="74"/>
      <c r="S90" s="74"/>
      <c r="T90" s="74"/>
      <c r="U90" s="74"/>
      <c r="V90" s="74"/>
      <c r="W90" s="74"/>
      <c r="X90" s="74"/>
      <c r="Y90" s="74"/>
      <c r="Z90" s="74"/>
    </row>
    <row r="91" ht="14.25" customHeight="1">
      <c r="A91" s="74"/>
      <c r="B91" s="318" t="s">
        <v>11</v>
      </c>
      <c r="C91" s="245"/>
      <c r="D91" s="245"/>
      <c r="E91" s="245"/>
      <c r="F91" s="245"/>
      <c r="G91" s="245"/>
      <c r="H91" s="318" t="s">
        <v>34</v>
      </c>
      <c r="I91" s="245"/>
      <c r="J91" s="245"/>
      <c r="K91" s="245"/>
      <c r="L91" s="245"/>
      <c r="M91" s="74"/>
      <c r="N91" s="74"/>
      <c r="O91" s="74"/>
      <c r="P91" s="74"/>
      <c r="Q91" s="74"/>
      <c r="R91" s="74"/>
      <c r="S91" s="74"/>
      <c r="T91" s="74"/>
      <c r="U91" s="74"/>
      <c r="V91" s="74"/>
      <c r="W91" s="74"/>
      <c r="X91" s="74"/>
      <c r="Y91" s="74"/>
      <c r="Z91" s="74"/>
    </row>
    <row r="92" ht="14.25" customHeight="1">
      <c r="A92" s="74"/>
      <c r="B92" s="246" t="s">
        <v>483</v>
      </c>
      <c r="C92" s="246" t="s">
        <v>485</v>
      </c>
      <c r="D92" s="246" t="s">
        <v>305</v>
      </c>
      <c r="E92" s="320" t="s">
        <v>128</v>
      </c>
      <c r="F92" s="80"/>
      <c r="G92" s="245"/>
      <c r="H92" s="246" t="s">
        <v>483</v>
      </c>
      <c r="I92" s="313" t="s">
        <v>485</v>
      </c>
      <c r="J92" s="246" t="s">
        <v>1392</v>
      </c>
      <c r="K92" s="320" t="s">
        <v>128</v>
      </c>
      <c r="L92" s="80"/>
      <c r="M92" s="74"/>
      <c r="N92" s="74"/>
      <c r="O92" s="74"/>
      <c r="P92" s="74"/>
      <c r="Q92" s="74"/>
      <c r="R92" s="74"/>
      <c r="S92" s="74"/>
      <c r="T92" s="74"/>
      <c r="U92" s="74"/>
      <c r="V92" s="74"/>
      <c r="W92" s="74"/>
      <c r="X92" s="74"/>
      <c r="Y92" s="74"/>
      <c r="Z92" s="74"/>
    </row>
    <row r="93" ht="14.25" customHeight="1">
      <c r="A93" s="74"/>
      <c r="B93" s="344" t="s">
        <v>1393</v>
      </c>
      <c r="C93" s="345">
        <f>-178482*0.008/99.8</f>
        <v>-14.30717435</v>
      </c>
      <c r="D93" s="345">
        <f>-874.672/99.8</f>
        <v>-8.764248497</v>
      </c>
      <c r="E93" s="529" t="s">
        <v>297</v>
      </c>
      <c r="F93" s="94"/>
      <c r="G93" s="245"/>
      <c r="H93" s="344" t="s">
        <v>1394</v>
      </c>
      <c r="I93" s="530">
        <f>1674.86*0.008/99.8</f>
        <v>0.1342573146</v>
      </c>
      <c r="J93" s="345">
        <f>465.24/99.8</f>
        <v>4.661723447</v>
      </c>
      <c r="K93" s="326"/>
      <c r="L93" s="80"/>
      <c r="M93" s="74"/>
      <c r="N93" s="74"/>
      <c r="O93" s="74"/>
      <c r="P93" s="74"/>
      <c r="Q93" s="74"/>
      <c r="R93" s="74"/>
      <c r="S93" s="74"/>
      <c r="T93" s="74"/>
      <c r="U93" s="74"/>
      <c r="V93" s="74"/>
      <c r="W93" s="74"/>
      <c r="X93" s="74"/>
      <c r="Y93" s="74"/>
      <c r="Z93" s="74"/>
    </row>
    <row r="94" ht="14.25" customHeight="1">
      <c r="A94" s="74"/>
      <c r="B94" s="344" t="s">
        <v>1395</v>
      </c>
      <c r="C94" s="345">
        <f>-251401*0.008/99.8</f>
        <v>-20.15238477</v>
      </c>
      <c r="D94" s="345">
        <f>-1232.02/99.8</f>
        <v>-12.34488978</v>
      </c>
      <c r="E94" s="34"/>
      <c r="F94" s="38"/>
      <c r="G94" s="245"/>
      <c r="H94" s="344" t="s">
        <v>1396</v>
      </c>
      <c r="I94" s="530">
        <f>49125.6*0.008/99.8</f>
        <v>3.937923848</v>
      </c>
      <c r="J94" s="345">
        <f>13646/99.8</f>
        <v>136.7334669</v>
      </c>
      <c r="K94" s="326"/>
      <c r="L94" s="80"/>
      <c r="M94" s="74"/>
      <c r="N94" s="74"/>
      <c r="O94" s="74"/>
      <c r="P94" s="74"/>
      <c r="Q94" s="74"/>
      <c r="R94" s="74"/>
      <c r="S94" s="74"/>
      <c r="T94" s="74"/>
      <c r="U94" s="74"/>
      <c r="V94" s="74"/>
      <c r="W94" s="74"/>
      <c r="X94" s="74"/>
      <c r="Y94" s="74"/>
      <c r="Z94" s="74"/>
    </row>
    <row r="95" ht="14.25" customHeight="1">
      <c r="A95" s="74"/>
      <c r="B95" s="344"/>
      <c r="C95" s="345"/>
      <c r="D95" s="345"/>
      <c r="E95" s="326"/>
      <c r="F95" s="80"/>
      <c r="G95" s="245"/>
      <c r="H95" s="344" t="s">
        <v>1397</v>
      </c>
      <c r="I95" s="531">
        <f>101.25*0.008/99.8</f>
        <v>0.008116232465</v>
      </c>
      <c r="J95" s="345">
        <f>28.125/99.8</f>
        <v>0.2818136273</v>
      </c>
      <c r="K95" s="341"/>
      <c r="L95" s="342"/>
      <c r="M95" s="74"/>
      <c r="N95" s="74"/>
      <c r="O95" s="74"/>
      <c r="P95" s="74"/>
      <c r="Q95" s="74"/>
      <c r="R95" s="74"/>
      <c r="S95" s="74"/>
      <c r="T95" s="74"/>
      <c r="U95" s="74"/>
      <c r="V95" s="74"/>
      <c r="W95" s="74"/>
      <c r="X95" s="74"/>
      <c r="Y95" s="74"/>
      <c r="Z95" s="74"/>
    </row>
    <row r="96" ht="14.25" customHeight="1">
      <c r="A96" s="74"/>
      <c r="B96" s="245"/>
      <c r="C96" s="245"/>
      <c r="D96" s="329"/>
      <c r="E96" s="245"/>
      <c r="F96" s="245"/>
      <c r="G96" s="245"/>
      <c r="H96" s="245"/>
      <c r="I96" s="329"/>
      <c r="J96" s="329"/>
      <c r="K96" s="245"/>
      <c r="L96" s="245"/>
      <c r="M96" s="74"/>
      <c r="N96" s="74"/>
      <c r="O96" s="74"/>
      <c r="P96" s="74"/>
      <c r="Q96" s="74"/>
      <c r="R96" s="74"/>
      <c r="S96" s="74"/>
      <c r="T96" s="74"/>
      <c r="U96" s="74"/>
      <c r="V96" s="74"/>
      <c r="W96" s="74"/>
      <c r="X96" s="74"/>
      <c r="Y96" s="74"/>
      <c r="Z96" s="74"/>
    </row>
    <row r="97" ht="14.25" customHeight="1">
      <c r="A97" s="74"/>
      <c r="B97" s="318" t="s">
        <v>12</v>
      </c>
      <c r="C97" s="245"/>
      <c r="D97" s="245"/>
      <c r="E97" s="245"/>
      <c r="F97" s="245"/>
      <c r="G97" s="245"/>
      <c r="H97" s="318" t="s">
        <v>1398</v>
      </c>
      <c r="I97" s="74" t="s">
        <v>1399</v>
      </c>
      <c r="J97" s="245"/>
      <c r="K97" s="245"/>
      <c r="L97" s="245"/>
      <c r="M97" s="74"/>
      <c r="N97" s="74"/>
      <c r="O97" s="74"/>
      <c r="P97" s="74"/>
      <c r="Q97" s="74"/>
      <c r="R97" s="74"/>
      <c r="S97" s="74"/>
      <c r="T97" s="74"/>
      <c r="U97" s="74"/>
      <c r="V97" s="74"/>
      <c r="W97" s="74"/>
      <c r="X97" s="74"/>
      <c r="Y97" s="74"/>
      <c r="Z97" s="74"/>
    </row>
    <row r="98" ht="14.25" customHeight="1">
      <c r="A98" s="74"/>
      <c r="B98" s="246" t="s">
        <v>483</v>
      </c>
      <c r="C98" s="246" t="s">
        <v>485</v>
      </c>
      <c r="D98" s="246" t="s">
        <v>305</v>
      </c>
      <c r="E98" s="320" t="s">
        <v>128</v>
      </c>
      <c r="F98" s="80"/>
      <c r="G98" s="245"/>
      <c r="H98" s="246" t="s">
        <v>483</v>
      </c>
      <c r="I98" s="246" t="s">
        <v>485</v>
      </c>
      <c r="J98" s="246" t="s">
        <v>305</v>
      </c>
      <c r="K98" s="320" t="s">
        <v>128</v>
      </c>
      <c r="L98" s="80"/>
      <c r="M98" s="74"/>
      <c r="N98" s="74"/>
      <c r="O98" s="74"/>
      <c r="P98" s="74"/>
      <c r="Q98" s="74"/>
      <c r="R98" s="74"/>
      <c r="S98" s="74"/>
      <c r="T98" s="74"/>
      <c r="U98" s="74"/>
      <c r="V98" s="74"/>
      <c r="W98" s="74"/>
      <c r="X98" s="74"/>
      <c r="Y98" s="74"/>
      <c r="Z98" s="74"/>
    </row>
    <row r="99" ht="14.25" customHeight="1">
      <c r="A99" s="74"/>
      <c r="B99" s="344" t="s">
        <v>1400</v>
      </c>
      <c r="C99" s="345">
        <f>114489*0.008/99.8</f>
        <v>9.17747495</v>
      </c>
      <c r="D99" s="345">
        <f>14598/99.8</f>
        <v>146.2725451</v>
      </c>
      <c r="E99" s="326"/>
      <c r="F99" s="80"/>
      <c r="G99" s="245"/>
      <c r="H99" s="344" t="s">
        <v>1401</v>
      </c>
      <c r="I99" s="345">
        <f>54346.5697779/99.8
*0.008</f>
        <v>4.356438459</v>
      </c>
      <c r="J99" s="345">
        <f t="shared" ref="J99:J100" si="5">I99/53.4</f>
        <v>0.08158124455</v>
      </c>
      <c r="K99" s="532" t="s">
        <v>1402</v>
      </c>
      <c r="L99" s="94"/>
      <c r="M99" s="74"/>
      <c r="N99" s="74"/>
      <c r="O99" s="74"/>
      <c r="P99" s="74"/>
      <c r="Q99" s="74"/>
      <c r="R99" s="74"/>
      <c r="S99" s="74"/>
      <c r="T99" s="74"/>
      <c r="U99" s="74"/>
      <c r="V99" s="74"/>
      <c r="W99" s="74"/>
      <c r="X99" s="74"/>
      <c r="Y99" s="74"/>
      <c r="Z99" s="74"/>
    </row>
    <row r="100" ht="14.25" customHeight="1">
      <c r="A100" s="74"/>
      <c r="B100" s="344"/>
      <c r="C100" s="345"/>
      <c r="D100" s="345"/>
      <c r="E100" s="326"/>
      <c r="F100" s="80"/>
      <c r="G100" s="245"/>
      <c r="H100" s="344" t="s">
        <v>1403</v>
      </c>
      <c r="I100" s="345">
        <f>3086.0843588/99.8</f>
        <v>30.92268897</v>
      </c>
      <c r="J100" s="345">
        <f t="shared" si="5"/>
        <v>0.5790765724</v>
      </c>
      <c r="K100" s="34"/>
      <c r="L100" s="38"/>
      <c r="M100" s="74"/>
      <c r="N100" s="74"/>
      <c r="O100" s="74"/>
      <c r="P100" s="74"/>
      <c r="Q100" s="74"/>
      <c r="R100" s="74"/>
      <c r="S100" s="74"/>
      <c r="T100" s="74"/>
      <c r="U100" s="74"/>
      <c r="V100" s="74"/>
      <c r="W100" s="74"/>
      <c r="X100" s="74"/>
      <c r="Y100" s="74"/>
      <c r="Z100" s="74"/>
    </row>
    <row r="101" ht="14.2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4.2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4.25" customHeight="1">
      <c r="A103" s="74"/>
      <c r="B103" s="117"/>
      <c r="C103" s="117"/>
      <c r="D103" s="117"/>
      <c r="E103" s="117"/>
      <c r="F103" s="117"/>
      <c r="G103" s="117"/>
      <c r="H103" s="74"/>
      <c r="I103" s="74"/>
      <c r="J103" s="74"/>
      <c r="K103" s="74"/>
      <c r="L103" s="74"/>
      <c r="M103" s="74"/>
      <c r="N103" s="74"/>
      <c r="O103" s="74"/>
      <c r="P103" s="74"/>
      <c r="Q103" s="74"/>
      <c r="R103" s="74"/>
      <c r="S103" s="74"/>
      <c r="T103" s="74"/>
      <c r="U103" s="74"/>
      <c r="V103" s="74"/>
      <c r="W103" s="74"/>
      <c r="X103" s="74"/>
      <c r="Y103" s="74"/>
      <c r="Z103" s="74"/>
    </row>
    <row r="104" ht="14.25" customHeight="1">
      <c r="A104" s="74"/>
      <c r="B104" s="110" t="s">
        <v>163</v>
      </c>
      <c r="C104" s="117"/>
      <c r="D104" s="117"/>
      <c r="E104" s="117"/>
      <c r="F104" s="117"/>
      <c r="G104" s="117"/>
      <c r="H104" s="74"/>
      <c r="I104" s="74"/>
      <c r="J104" s="74"/>
      <c r="K104" s="74"/>
      <c r="L104" s="74"/>
      <c r="M104" s="74"/>
      <c r="N104" s="74"/>
      <c r="O104" s="74"/>
      <c r="P104" s="74"/>
      <c r="Q104" s="74"/>
      <c r="R104" s="74"/>
      <c r="S104" s="74"/>
      <c r="T104" s="74"/>
      <c r="U104" s="74"/>
      <c r="V104" s="74"/>
      <c r="W104" s="74"/>
      <c r="X104" s="74"/>
      <c r="Y104" s="74"/>
      <c r="Z104" s="74"/>
    </row>
    <row r="105" ht="14.25" customHeight="1">
      <c r="A105" s="74"/>
      <c r="B105" s="188" t="s">
        <v>1404</v>
      </c>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4.25" customHeight="1">
      <c r="A106" s="74"/>
      <c r="B106" s="188" t="s">
        <v>165</v>
      </c>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4.25" customHeight="1">
      <c r="A107" s="74"/>
      <c r="B107" s="188" t="s">
        <v>166</v>
      </c>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4.25" customHeight="1">
      <c r="A109" s="74"/>
      <c r="B109" s="74"/>
      <c r="C109" s="74"/>
      <c r="D109" s="74"/>
      <c r="E109" s="74"/>
      <c r="F109" s="74"/>
      <c r="G109" s="74"/>
      <c r="H109" s="117"/>
      <c r="I109" s="117"/>
      <c r="J109" s="74"/>
      <c r="K109" s="74"/>
      <c r="L109" s="74"/>
      <c r="M109" s="74"/>
      <c r="N109" s="74"/>
      <c r="O109" s="74"/>
      <c r="P109" s="74"/>
      <c r="Q109" s="74"/>
      <c r="R109" s="74"/>
      <c r="S109" s="74"/>
      <c r="T109" s="74"/>
      <c r="U109" s="74"/>
      <c r="V109" s="74"/>
      <c r="W109" s="74"/>
      <c r="X109" s="74"/>
      <c r="Y109" s="74"/>
      <c r="Z109" s="74"/>
    </row>
    <row r="110" ht="14.25" customHeight="1">
      <c r="A110" s="74"/>
      <c r="B110" s="74"/>
      <c r="C110" s="74"/>
      <c r="D110" s="74"/>
      <c r="E110" s="74"/>
      <c r="F110" s="74"/>
      <c r="G110" s="74"/>
      <c r="H110" s="117"/>
      <c r="I110" s="117"/>
      <c r="J110" s="74"/>
      <c r="K110" s="74"/>
      <c r="L110" s="74"/>
      <c r="M110" s="74"/>
      <c r="N110" s="74"/>
      <c r="O110" s="74"/>
      <c r="P110" s="74"/>
      <c r="Q110" s="74"/>
      <c r="R110" s="74"/>
      <c r="S110" s="74"/>
      <c r="T110" s="74"/>
      <c r="U110" s="74"/>
      <c r="V110" s="74"/>
      <c r="W110" s="74"/>
      <c r="X110" s="74"/>
      <c r="Y110" s="74"/>
      <c r="Z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4.2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4.25" customHeight="1">
      <c r="A113" s="74"/>
      <c r="B113" s="267" t="s">
        <v>167</v>
      </c>
      <c r="C113" s="267" t="s">
        <v>168</v>
      </c>
      <c r="D113" s="267"/>
      <c r="E113" s="267"/>
      <c r="F113" s="74"/>
      <c r="G113" s="74"/>
      <c r="H113" s="74"/>
      <c r="I113" s="74"/>
      <c r="J113" s="74"/>
      <c r="K113" s="74"/>
      <c r="L113" s="74"/>
      <c r="M113" s="74"/>
      <c r="N113" s="74"/>
      <c r="O113" s="74"/>
      <c r="P113" s="74"/>
      <c r="Q113" s="74"/>
      <c r="R113" s="74"/>
      <c r="S113" s="74"/>
      <c r="T113" s="74"/>
      <c r="U113" s="74"/>
      <c r="V113" s="74"/>
      <c r="W113" s="74"/>
      <c r="X113" s="74"/>
      <c r="Y113" s="74"/>
      <c r="Z113" s="74"/>
    </row>
    <row r="114" ht="14.25" customHeight="1">
      <c r="A114" s="74"/>
      <c r="B114" s="271" t="s">
        <v>169</v>
      </c>
      <c r="C114" s="533" t="s">
        <v>1405</v>
      </c>
      <c r="D114" s="377"/>
      <c r="E114" s="324"/>
      <c r="F114" s="74"/>
      <c r="G114" s="74"/>
      <c r="H114" s="74"/>
      <c r="I114" s="74"/>
      <c r="J114" s="74"/>
      <c r="K114" s="74"/>
      <c r="L114" s="74"/>
      <c r="M114" s="74"/>
      <c r="N114" s="74"/>
      <c r="O114" s="74"/>
      <c r="P114" s="74"/>
      <c r="Q114" s="74"/>
      <c r="R114" s="74"/>
      <c r="S114" s="74"/>
      <c r="T114" s="74"/>
      <c r="U114" s="74"/>
      <c r="V114" s="74"/>
      <c r="W114" s="74"/>
      <c r="X114" s="74"/>
      <c r="Y114" s="74"/>
      <c r="Z114" s="74"/>
    </row>
    <row r="115" ht="14.25" customHeight="1">
      <c r="A115" s="74"/>
      <c r="B115" s="273" t="s">
        <v>171</v>
      </c>
      <c r="C115" s="381" t="s">
        <v>1406</v>
      </c>
      <c r="D115" s="76"/>
      <c r="E115" s="382"/>
      <c r="F115" s="74"/>
      <c r="G115" s="74"/>
      <c r="H115" s="74"/>
      <c r="I115" s="74"/>
      <c r="J115" s="74"/>
      <c r="K115" s="74"/>
      <c r="L115" s="74"/>
      <c r="M115" s="74"/>
      <c r="N115" s="74"/>
      <c r="O115" s="74"/>
      <c r="P115" s="74"/>
      <c r="Q115" s="74"/>
      <c r="R115" s="74"/>
      <c r="S115" s="74"/>
      <c r="T115" s="74"/>
      <c r="U115" s="74"/>
      <c r="V115" s="74"/>
      <c r="W115" s="74"/>
      <c r="X115" s="74"/>
      <c r="Y115" s="74"/>
      <c r="Z115" s="74"/>
    </row>
    <row r="116" ht="14.25" customHeight="1">
      <c r="A116" s="74"/>
      <c r="B116" s="273" t="s">
        <v>173</v>
      </c>
      <c r="C116" s="534" t="s">
        <v>1407</v>
      </c>
      <c r="D116" s="76"/>
      <c r="E116" s="382"/>
      <c r="F116" s="74"/>
      <c r="G116" s="74"/>
      <c r="H116" s="74"/>
      <c r="I116" s="74"/>
      <c r="J116" s="74"/>
      <c r="K116" s="74"/>
      <c r="L116" s="74"/>
      <c r="M116" s="74"/>
      <c r="N116" s="74"/>
      <c r="O116" s="74"/>
      <c r="P116" s="74"/>
      <c r="Q116" s="74"/>
      <c r="R116" s="74"/>
      <c r="S116" s="74"/>
      <c r="T116" s="74"/>
      <c r="U116" s="74"/>
      <c r="V116" s="74"/>
      <c r="W116" s="74"/>
      <c r="X116" s="74"/>
      <c r="Y116" s="74"/>
      <c r="Z116" s="74"/>
    </row>
    <row r="117" ht="14.25" customHeight="1">
      <c r="A117" s="74"/>
      <c r="B117" s="273" t="s">
        <v>175</v>
      </c>
      <c r="C117" s="515" t="s">
        <v>1408</v>
      </c>
      <c r="E117" s="29"/>
      <c r="F117" s="74"/>
      <c r="G117" s="74"/>
      <c r="H117" s="74"/>
      <c r="I117" s="74"/>
      <c r="J117" s="74"/>
      <c r="K117" s="74"/>
      <c r="L117" s="74"/>
      <c r="M117" s="74"/>
      <c r="N117" s="74"/>
      <c r="O117" s="74"/>
      <c r="P117" s="74"/>
      <c r="Q117" s="74"/>
      <c r="R117" s="74"/>
      <c r="S117" s="74"/>
      <c r="T117" s="74"/>
      <c r="U117" s="74"/>
      <c r="V117" s="74"/>
      <c r="W117" s="74"/>
      <c r="X117" s="74"/>
      <c r="Y117" s="74"/>
      <c r="Z117" s="74"/>
    </row>
    <row r="118" ht="14.25" customHeight="1">
      <c r="A118" s="74"/>
      <c r="B118" s="273" t="s">
        <v>177</v>
      </c>
      <c r="C118" s="515" t="s">
        <v>1409</v>
      </c>
      <c r="E118" s="29"/>
      <c r="F118" s="74"/>
      <c r="G118" s="74"/>
      <c r="H118" s="74"/>
      <c r="I118" s="74"/>
      <c r="J118" s="74"/>
      <c r="K118" s="74"/>
      <c r="L118" s="74"/>
      <c r="M118" s="74"/>
      <c r="N118" s="74"/>
      <c r="O118" s="74"/>
      <c r="P118" s="74"/>
      <c r="Q118" s="74"/>
      <c r="R118" s="74"/>
      <c r="S118" s="74"/>
      <c r="T118" s="74"/>
      <c r="U118" s="74"/>
      <c r="V118" s="74"/>
      <c r="W118" s="74"/>
      <c r="X118" s="74"/>
      <c r="Y118" s="74"/>
      <c r="Z118" s="74"/>
    </row>
    <row r="119" ht="14.25" customHeight="1">
      <c r="A119" s="74"/>
      <c r="B119" s="479" t="s">
        <v>179</v>
      </c>
      <c r="C119" s="535" t="s">
        <v>1410</v>
      </c>
      <c r="D119" s="95"/>
      <c r="E119" s="38"/>
      <c r="F119" s="74"/>
      <c r="G119" s="74"/>
      <c r="H119" s="74"/>
      <c r="I119" s="74"/>
      <c r="J119" s="74"/>
      <c r="K119" s="74"/>
      <c r="L119" s="74"/>
      <c r="M119" s="74"/>
      <c r="N119" s="74"/>
      <c r="O119" s="74"/>
      <c r="P119" s="74"/>
      <c r="Q119" s="74"/>
      <c r="R119" s="74"/>
      <c r="S119" s="74"/>
      <c r="T119" s="74"/>
      <c r="U119" s="74"/>
      <c r="V119" s="74"/>
      <c r="W119" s="74"/>
      <c r="X119" s="74"/>
      <c r="Y119" s="74"/>
      <c r="Z119" s="74"/>
    </row>
    <row r="120" ht="14.25" customHeight="1">
      <c r="A120" s="74"/>
      <c r="B120" s="387"/>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4.2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4.2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33">
    <mergeCell ref="B3:O3"/>
    <mergeCell ref="B4:O4"/>
    <mergeCell ref="B6:C6"/>
    <mergeCell ref="E6:O7"/>
    <mergeCell ref="B7:C7"/>
    <mergeCell ref="B10:O14"/>
    <mergeCell ref="B19:O23"/>
    <mergeCell ref="K86:L88"/>
    <mergeCell ref="K89:L89"/>
    <mergeCell ref="C62:D62"/>
    <mergeCell ref="K75:L75"/>
    <mergeCell ref="E85:F85"/>
    <mergeCell ref="K85:L85"/>
    <mergeCell ref="E86:F87"/>
    <mergeCell ref="E88:F88"/>
    <mergeCell ref="E89:F89"/>
    <mergeCell ref="E98:F98"/>
    <mergeCell ref="E99:F99"/>
    <mergeCell ref="C114:E114"/>
    <mergeCell ref="C115:E115"/>
    <mergeCell ref="C116:E116"/>
    <mergeCell ref="C117:E117"/>
    <mergeCell ref="C118:E118"/>
    <mergeCell ref="C119:E119"/>
    <mergeCell ref="E95:F95"/>
    <mergeCell ref="E100:F100"/>
    <mergeCell ref="E92:F92"/>
    <mergeCell ref="K92:L92"/>
    <mergeCell ref="E93:F94"/>
    <mergeCell ref="K93:L93"/>
    <mergeCell ref="K94:L94"/>
    <mergeCell ref="K98:L98"/>
    <mergeCell ref="K99:L100"/>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35.57"/>
    <col customWidth="1" min="4" max="4" width="30.0"/>
    <col customWidth="1" min="5" max="6" width="23.43"/>
    <col customWidth="1" min="7" max="7" width="44.0"/>
    <col customWidth="1" min="8" max="8" width="20.0"/>
    <col customWidth="1" min="9" max="9" width="19.86"/>
    <col customWidth="1" min="10" max="10" width="27.57"/>
    <col customWidth="1" min="11" max="11" width="32.14"/>
    <col customWidth="1" min="12" max="12" width="27.86"/>
    <col customWidth="1" min="13" max="13" width="17.14"/>
    <col customWidth="1" min="14" max="14" width="19.86"/>
    <col customWidth="1" min="15" max="15" width="21.57"/>
    <col customWidth="1" min="16" max="16" width="21.14"/>
    <col customWidth="1" min="17"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1411</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45.0" customHeight="1">
      <c r="A6" s="74"/>
      <c r="B6" s="79" t="s">
        <v>85</v>
      </c>
      <c r="C6" s="80"/>
      <c r="D6" s="198" t="s">
        <v>1412</v>
      </c>
      <c r="E6" s="82"/>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v>8000.0</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536" t="s">
        <v>1413</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75.0"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536" t="s">
        <v>1414</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409.5"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100" t="s">
        <v>93</v>
      </c>
      <c r="L36" s="74"/>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101" t="s">
        <v>94</v>
      </c>
      <c r="L37" s="74"/>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101" t="s">
        <v>95</v>
      </c>
      <c r="L38" s="74"/>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101" t="s">
        <v>96</v>
      </c>
      <c r="L39" s="74"/>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74"/>
      <c r="D61" s="74"/>
      <c r="E61" s="74"/>
      <c r="F61" s="74"/>
      <c r="G61" s="74"/>
      <c r="H61" s="74"/>
      <c r="I61" s="74"/>
      <c r="J61" s="74"/>
      <c r="K61" s="74"/>
      <c r="L61" s="74"/>
      <c r="M61" s="74"/>
      <c r="N61" s="74"/>
      <c r="O61" s="109"/>
      <c r="P61" s="74"/>
      <c r="Q61" s="74"/>
      <c r="R61" s="74"/>
      <c r="S61" s="74"/>
      <c r="T61" s="74"/>
      <c r="U61" s="74"/>
      <c r="V61" s="74"/>
      <c r="W61" s="74"/>
      <c r="X61" s="74"/>
      <c r="Y61" s="74"/>
      <c r="Z61" s="74"/>
    </row>
    <row r="62" ht="14.25" customHeight="1">
      <c r="A62" s="74"/>
      <c r="B62" s="74"/>
      <c r="C62" s="74"/>
      <c r="D62" s="74"/>
      <c r="E62" s="74"/>
      <c r="F62" s="74"/>
      <c r="G62" s="74"/>
      <c r="H62" s="74"/>
      <c r="I62" s="74"/>
      <c r="J62" s="74"/>
      <c r="K62" s="74"/>
      <c r="L62" s="74"/>
      <c r="M62" s="74"/>
      <c r="N62" s="74"/>
      <c r="O62" s="105"/>
      <c r="P62" s="74"/>
      <c r="Q62" s="74"/>
      <c r="R62" s="74"/>
      <c r="S62" s="74"/>
      <c r="T62" s="74"/>
      <c r="U62" s="74"/>
      <c r="V62" s="74"/>
      <c r="W62" s="74"/>
      <c r="X62" s="74"/>
      <c r="Y62" s="74"/>
      <c r="Z62" s="74"/>
    </row>
    <row r="63" ht="14.25" customHeight="1">
      <c r="A63" s="74"/>
      <c r="B63" s="74"/>
      <c r="C63" s="74"/>
      <c r="D63" s="74"/>
      <c r="E63" s="74"/>
      <c r="F63" s="74"/>
      <c r="G63" s="74"/>
      <c r="H63" s="74"/>
      <c r="I63" s="74"/>
      <c r="J63" s="74"/>
      <c r="K63" s="74"/>
      <c r="L63" s="74"/>
      <c r="M63" s="74"/>
      <c r="N63" s="74"/>
      <c r="O63" s="105"/>
      <c r="P63" s="74"/>
      <c r="Q63" s="74"/>
      <c r="R63" s="74"/>
      <c r="S63" s="74"/>
      <c r="T63" s="74"/>
      <c r="U63" s="74"/>
      <c r="V63" s="74"/>
      <c r="W63" s="74"/>
      <c r="X63" s="74"/>
      <c r="Y63" s="74"/>
      <c r="Z63" s="74"/>
    </row>
    <row r="64" ht="14.25" customHeight="1">
      <c r="A64" s="74"/>
      <c r="B64" s="74"/>
      <c r="C64" s="74"/>
      <c r="D64" s="74"/>
      <c r="E64" s="74"/>
      <c r="F64" s="74"/>
      <c r="G64" s="74"/>
      <c r="H64" s="74"/>
      <c r="I64" s="74"/>
      <c r="J64" s="74"/>
      <c r="K64" s="74"/>
      <c r="L64" s="74"/>
      <c r="M64" s="74"/>
      <c r="N64" s="74"/>
      <c r="O64" s="105"/>
      <c r="P64" s="74"/>
      <c r="Q64" s="74"/>
      <c r="R64" s="74"/>
      <c r="S64" s="74"/>
      <c r="T64" s="74"/>
      <c r="U64" s="74"/>
      <c r="V64" s="74"/>
      <c r="W64" s="74"/>
      <c r="X64" s="74"/>
      <c r="Y64" s="74"/>
      <c r="Z64" s="74"/>
    </row>
    <row r="65" ht="14.25" customHeight="1">
      <c r="A65" s="74"/>
      <c r="B65" s="74"/>
      <c r="C65" s="74"/>
      <c r="D65" s="74"/>
      <c r="E65" s="74"/>
      <c r="F65" s="74"/>
      <c r="G65" s="74"/>
      <c r="H65" s="74"/>
      <c r="I65" s="74"/>
      <c r="J65" s="74"/>
      <c r="K65" s="74"/>
      <c r="L65" s="74"/>
      <c r="M65" s="74"/>
      <c r="N65" s="74"/>
      <c r="O65" s="105"/>
      <c r="P65" s="74"/>
      <c r="Q65" s="74"/>
      <c r="R65" s="74"/>
      <c r="S65" s="74"/>
      <c r="T65" s="74"/>
      <c r="U65" s="74"/>
      <c r="V65" s="74"/>
      <c r="W65" s="74"/>
      <c r="X65" s="74"/>
      <c r="Y65" s="74"/>
      <c r="Z65" s="74"/>
    </row>
    <row r="66" ht="14.25" customHeight="1">
      <c r="A66" s="74"/>
      <c r="B66" s="74"/>
      <c r="C66" s="74"/>
      <c r="D66" s="74"/>
      <c r="E66" s="74"/>
      <c r="F66" s="74"/>
      <c r="G66" s="74"/>
      <c r="H66" s="74"/>
      <c r="I66" s="74"/>
      <c r="J66" s="74"/>
      <c r="K66" s="74"/>
      <c r="L66" s="74"/>
      <c r="M66" s="74"/>
      <c r="N66" s="74"/>
      <c r="O66" s="105"/>
      <c r="P66" s="74"/>
      <c r="Q66" s="74"/>
      <c r="R66" s="74"/>
      <c r="S66" s="74"/>
      <c r="T66" s="74"/>
      <c r="U66" s="74"/>
      <c r="V66" s="74"/>
      <c r="W66" s="74"/>
      <c r="X66" s="74"/>
      <c r="Y66" s="74"/>
      <c r="Z66" s="74"/>
    </row>
    <row r="67" ht="14.25" customHeight="1">
      <c r="A67" s="74"/>
      <c r="B67" s="74"/>
      <c r="C67" s="74"/>
      <c r="D67" s="74"/>
      <c r="E67" s="74"/>
      <c r="F67" s="74"/>
      <c r="G67" s="74"/>
      <c r="H67" s="74"/>
      <c r="I67" s="74"/>
      <c r="J67" s="74"/>
      <c r="K67" s="74"/>
      <c r="L67" s="74"/>
      <c r="M67" s="74"/>
      <c r="N67" s="74"/>
      <c r="O67" s="105"/>
      <c r="P67" s="74"/>
      <c r="Q67" s="74"/>
      <c r="R67" s="74"/>
      <c r="S67" s="74"/>
      <c r="T67" s="74"/>
      <c r="U67" s="74"/>
      <c r="V67" s="74"/>
      <c r="W67" s="74"/>
      <c r="X67" s="74"/>
      <c r="Y67" s="74"/>
      <c r="Z67" s="74"/>
    </row>
    <row r="68" ht="14.25" customHeight="1">
      <c r="A68" s="74"/>
      <c r="B68" s="74"/>
      <c r="C68" s="74"/>
      <c r="D68" s="74"/>
      <c r="E68" s="74"/>
      <c r="F68" s="74"/>
      <c r="G68" s="74"/>
      <c r="H68" s="74"/>
      <c r="I68" s="74"/>
      <c r="J68" s="74"/>
      <c r="K68" s="74"/>
      <c r="L68" s="74"/>
      <c r="M68" s="74"/>
      <c r="N68" s="74"/>
      <c r="O68" s="105"/>
      <c r="P68" s="74"/>
      <c r="Q68" s="74"/>
      <c r="R68" s="74"/>
      <c r="S68" s="74"/>
      <c r="T68" s="74"/>
      <c r="U68" s="74"/>
      <c r="V68" s="74"/>
      <c r="W68" s="74"/>
      <c r="X68" s="74"/>
      <c r="Y68" s="74"/>
      <c r="Z68" s="74"/>
    </row>
    <row r="69" ht="14.25" customHeight="1">
      <c r="A69" s="74"/>
      <c r="B69" s="74"/>
      <c r="C69" s="74"/>
      <c r="D69" s="74"/>
      <c r="E69" s="74"/>
      <c r="F69" s="74"/>
      <c r="G69" s="74"/>
      <c r="H69" s="74"/>
      <c r="I69" s="74"/>
      <c r="J69" s="74"/>
      <c r="K69" s="74"/>
      <c r="L69" s="74"/>
      <c r="M69" s="104"/>
      <c r="N69" s="109"/>
      <c r="O69" s="105"/>
      <c r="P69" s="74"/>
      <c r="Q69" s="74"/>
      <c r="R69" s="74"/>
      <c r="S69" s="74"/>
      <c r="T69" s="74"/>
      <c r="U69" s="74"/>
      <c r="V69" s="74"/>
      <c r="W69" s="74"/>
      <c r="X69" s="74"/>
      <c r="Y69" s="74"/>
      <c r="Z69" s="74"/>
    </row>
    <row r="70" ht="14.25" customHeight="1">
      <c r="A70" s="74"/>
      <c r="B70" s="74"/>
      <c r="C70" s="74"/>
      <c r="D70" s="74"/>
      <c r="E70" s="74"/>
      <c r="F70" s="74"/>
      <c r="G70" s="74"/>
      <c r="H70" s="74"/>
      <c r="I70" s="74"/>
      <c r="J70" s="74"/>
      <c r="K70" s="74"/>
      <c r="L70" s="74"/>
      <c r="M70" s="74"/>
      <c r="N70" s="104"/>
      <c r="O70" s="105"/>
      <c r="P70" s="74"/>
      <c r="Q70" s="74"/>
      <c r="R70" s="74"/>
      <c r="S70" s="74"/>
      <c r="T70" s="74"/>
      <c r="U70" s="74"/>
      <c r="V70" s="74"/>
      <c r="W70" s="74"/>
      <c r="X70" s="74"/>
      <c r="Y70" s="74"/>
      <c r="Z70" s="74"/>
    </row>
    <row r="71" ht="14.2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4.25" customHeight="1">
      <c r="A72" s="74"/>
      <c r="B72" s="74"/>
      <c r="C72" s="74"/>
      <c r="D72" s="74"/>
      <c r="E72" s="74"/>
      <c r="F72" s="74" t="s">
        <v>1415</v>
      </c>
      <c r="G72" s="74"/>
      <c r="H72" s="74"/>
      <c r="I72" s="74"/>
      <c r="J72" s="74"/>
      <c r="K72" s="74"/>
      <c r="L72" s="74"/>
      <c r="M72" s="74"/>
      <c r="N72" s="74"/>
      <c r="O72" s="74"/>
      <c r="P72" s="74"/>
      <c r="Q72" s="74"/>
      <c r="R72" s="74"/>
      <c r="S72" s="74"/>
      <c r="T72" s="74"/>
      <c r="U72" s="74"/>
      <c r="V72" s="74"/>
      <c r="W72" s="74"/>
      <c r="X72" s="74"/>
      <c r="Y72" s="74"/>
      <c r="Z72" s="74"/>
    </row>
    <row r="73" ht="14.2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ht="14.2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ht="14.2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ht="15.0" customHeight="1">
      <c r="A76" s="74"/>
      <c r="B76" s="110" t="s">
        <v>98</v>
      </c>
      <c r="C76" s="74"/>
      <c r="D76" s="74"/>
      <c r="E76" s="74"/>
      <c r="F76" s="74"/>
      <c r="G76" s="74"/>
      <c r="H76" s="74"/>
      <c r="I76" s="74"/>
      <c r="J76" s="74"/>
      <c r="K76" s="74"/>
      <c r="L76" s="74"/>
      <c r="M76" s="74"/>
      <c r="N76" s="74"/>
      <c r="O76" s="74"/>
      <c r="P76" s="74"/>
      <c r="Q76" s="74"/>
      <c r="R76" s="74"/>
      <c r="S76" s="74"/>
      <c r="T76" s="74"/>
      <c r="U76" s="74"/>
      <c r="V76" s="74"/>
      <c r="W76" s="74"/>
      <c r="X76" s="74"/>
      <c r="Y76" s="74"/>
      <c r="Z76" s="74"/>
    </row>
    <row r="77" ht="15.0"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ht="15.0" customHeight="1">
      <c r="A78" s="74"/>
      <c r="B78" s="74"/>
      <c r="C78" s="111"/>
      <c r="D78" s="111"/>
      <c r="E78" s="112"/>
      <c r="F78" s="91"/>
      <c r="G78" s="113"/>
      <c r="H78" s="74"/>
      <c r="I78" s="74"/>
      <c r="J78" s="74"/>
      <c r="K78" s="74"/>
      <c r="L78" s="74"/>
      <c r="M78" s="74"/>
      <c r="N78" s="74"/>
      <c r="O78" s="74"/>
      <c r="P78" s="74"/>
      <c r="Q78" s="74"/>
      <c r="R78" s="74"/>
      <c r="S78" s="74"/>
      <c r="T78" s="74"/>
      <c r="U78" s="74"/>
      <c r="V78" s="74"/>
      <c r="W78" s="74"/>
      <c r="X78" s="74"/>
      <c r="Y78" s="74"/>
      <c r="Z78" s="74"/>
    </row>
    <row r="79" ht="14.25" customHeight="1">
      <c r="A79" s="74"/>
      <c r="B79" s="202" t="s">
        <v>99</v>
      </c>
      <c r="C79" s="203"/>
      <c r="D79" s="80"/>
      <c r="E79" s="74"/>
      <c r="F79" s="74"/>
      <c r="G79" s="74"/>
      <c r="H79" s="118" t="s">
        <v>100</v>
      </c>
      <c r="I79" s="119"/>
      <c r="J79" s="120"/>
      <c r="K79" s="74"/>
      <c r="L79" s="74"/>
      <c r="M79" s="74"/>
      <c r="N79" s="118" t="s">
        <v>101</v>
      </c>
      <c r="O79" s="118"/>
      <c r="P79" s="74"/>
      <c r="Q79" s="74"/>
      <c r="R79" s="74"/>
      <c r="S79" s="74"/>
      <c r="T79" s="74"/>
      <c r="U79" s="74"/>
      <c r="V79" s="74"/>
      <c r="W79" s="74"/>
      <c r="X79" s="74"/>
      <c r="Y79" s="74"/>
      <c r="Z79" s="74"/>
    </row>
    <row r="80" ht="14.25" customHeight="1">
      <c r="A80" s="74"/>
      <c r="B80" s="121" t="s">
        <v>102</v>
      </c>
      <c r="C80" s="121" t="s">
        <v>103</v>
      </c>
      <c r="D80" s="121" t="s">
        <v>104</v>
      </c>
      <c r="E80" s="204" t="s">
        <v>240</v>
      </c>
      <c r="F80" s="204" t="s">
        <v>241</v>
      </c>
      <c r="G80" s="74"/>
      <c r="H80" s="121" t="s">
        <v>102</v>
      </c>
      <c r="I80" s="121" t="s">
        <v>103</v>
      </c>
      <c r="J80" s="121" t="s">
        <v>104</v>
      </c>
      <c r="K80" s="204" t="s">
        <v>240</v>
      </c>
      <c r="L80" s="204" t="s">
        <v>241</v>
      </c>
      <c r="M80" s="74"/>
      <c r="N80" s="118" t="s">
        <v>105</v>
      </c>
      <c r="O80" s="122"/>
      <c r="P80" s="74"/>
      <c r="Q80" s="74"/>
      <c r="R80" s="74"/>
      <c r="S80" s="74"/>
      <c r="T80" s="74"/>
      <c r="U80" s="74"/>
      <c r="V80" s="74"/>
      <c r="W80" s="74"/>
      <c r="X80" s="74"/>
      <c r="Y80" s="74"/>
      <c r="Z80" s="74"/>
    </row>
    <row r="81" ht="14.25" customHeight="1">
      <c r="A81" s="74"/>
      <c r="B81" s="205" t="s">
        <v>1155</v>
      </c>
      <c r="C81" s="206" t="s">
        <v>1416</v>
      </c>
      <c r="D81" s="207">
        <v>305.842</v>
      </c>
      <c r="E81" s="208">
        <v>20.0</v>
      </c>
      <c r="F81" s="208">
        <v>1.02</v>
      </c>
      <c r="G81" s="74"/>
      <c r="H81" s="205" t="s">
        <v>986</v>
      </c>
      <c r="I81" s="209" t="s">
        <v>1417</v>
      </c>
      <c r="J81" s="207">
        <v>197.76</v>
      </c>
      <c r="K81" s="208">
        <v>41.0</v>
      </c>
      <c r="L81" s="208">
        <v>3.0</v>
      </c>
      <c r="M81" s="74"/>
      <c r="N81" s="110" t="s">
        <v>110</v>
      </c>
      <c r="O81" s="125">
        <f>SUM(D81:D92)</f>
        <v>1691.39715</v>
      </c>
      <c r="P81" s="74"/>
      <c r="Q81" s="74"/>
      <c r="R81" s="74"/>
      <c r="S81" s="74"/>
      <c r="T81" s="74"/>
      <c r="U81" s="74"/>
      <c r="V81" s="74"/>
      <c r="W81" s="74"/>
      <c r="X81" s="74"/>
      <c r="Y81" s="74"/>
      <c r="Z81" s="74"/>
    </row>
    <row r="82" ht="14.25" customHeight="1">
      <c r="A82" s="74"/>
      <c r="B82" s="205" t="s">
        <v>244</v>
      </c>
      <c r="C82" s="206" t="s">
        <v>1418</v>
      </c>
      <c r="D82" s="207">
        <v>269.406</v>
      </c>
      <c r="E82" s="208">
        <v>20.0</v>
      </c>
      <c r="F82" s="208">
        <v>1.02</v>
      </c>
      <c r="G82" s="74"/>
      <c r="H82" s="205" t="s">
        <v>1419</v>
      </c>
      <c r="I82" s="209" t="s">
        <v>1420</v>
      </c>
      <c r="J82" s="207">
        <v>134.971</v>
      </c>
      <c r="K82" s="208">
        <v>40.0</v>
      </c>
      <c r="L82" s="208">
        <v>2.0</v>
      </c>
      <c r="M82" s="74"/>
      <c r="N82" s="110" t="s">
        <v>114</v>
      </c>
      <c r="O82" s="125">
        <f>SUM(J81:J87)</f>
        <v>355.71739</v>
      </c>
      <c r="P82" s="74"/>
      <c r="Q82" s="74"/>
      <c r="R82" s="74"/>
      <c r="S82" s="74"/>
      <c r="T82" s="74"/>
      <c r="U82" s="74"/>
      <c r="V82" s="74"/>
      <c r="W82" s="74"/>
      <c r="X82" s="74"/>
      <c r="Y82" s="74"/>
      <c r="Z82" s="74"/>
    </row>
    <row r="83" ht="14.25" customHeight="1">
      <c r="A83" s="74"/>
      <c r="B83" s="205" t="s">
        <v>1421</v>
      </c>
      <c r="C83" s="206" t="s">
        <v>1422</v>
      </c>
      <c r="D83" s="207">
        <v>33.4038</v>
      </c>
      <c r="E83" s="208">
        <v>40.0</v>
      </c>
      <c r="F83" s="208">
        <v>1.02</v>
      </c>
      <c r="G83" s="74"/>
      <c r="H83" s="205" t="s">
        <v>1423</v>
      </c>
      <c r="I83" s="209" t="s">
        <v>1424</v>
      </c>
      <c r="J83" s="207">
        <v>18.7039</v>
      </c>
      <c r="K83" s="208">
        <v>40.0</v>
      </c>
      <c r="L83" s="208">
        <v>2.0</v>
      </c>
      <c r="M83" s="74"/>
      <c r="N83" s="110" t="s">
        <v>117</v>
      </c>
      <c r="O83" s="125">
        <f>SUM(H90:H94)</f>
        <v>0</v>
      </c>
      <c r="P83" s="74"/>
      <c r="Q83" s="74"/>
      <c r="R83" s="74"/>
      <c r="S83" s="74"/>
      <c r="T83" s="74"/>
      <c r="U83" s="74"/>
      <c r="V83" s="74"/>
      <c r="W83" s="74"/>
      <c r="X83" s="74"/>
      <c r="Y83" s="74"/>
      <c r="Z83" s="74"/>
    </row>
    <row r="84" ht="14.25" customHeight="1">
      <c r="A84" s="74"/>
      <c r="B84" s="205" t="s">
        <v>250</v>
      </c>
      <c r="C84" s="206" t="s">
        <v>1425</v>
      </c>
      <c r="D84" s="207">
        <v>1065.16</v>
      </c>
      <c r="E84" s="208">
        <v>20.0</v>
      </c>
      <c r="F84" s="208">
        <v>1.02</v>
      </c>
      <c r="G84" s="74"/>
      <c r="H84" s="205" t="s">
        <v>1426</v>
      </c>
      <c r="I84" s="209" t="s">
        <v>1427</v>
      </c>
      <c r="J84" s="207">
        <v>2.75827</v>
      </c>
      <c r="K84" s="208">
        <v>40.0</v>
      </c>
      <c r="L84" s="208">
        <v>2.0</v>
      </c>
      <c r="M84" s="74"/>
      <c r="N84" s="74"/>
      <c r="O84" s="74"/>
      <c r="P84" s="74"/>
      <c r="Q84" s="74"/>
      <c r="R84" s="74"/>
      <c r="S84" s="74"/>
      <c r="T84" s="74"/>
      <c r="U84" s="74"/>
      <c r="V84" s="74"/>
      <c r="W84" s="74"/>
      <c r="X84" s="74"/>
      <c r="Y84" s="74"/>
      <c r="Z84" s="74"/>
    </row>
    <row r="85" ht="14.25" customHeight="1">
      <c r="A85" s="105"/>
      <c r="B85" s="205" t="s">
        <v>1428</v>
      </c>
      <c r="C85" s="206" t="s">
        <v>247</v>
      </c>
      <c r="D85" s="207">
        <v>16.0</v>
      </c>
      <c r="E85" s="208">
        <v>180.0</v>
      </c>
      <c r="F85" s="208">
        <v>5.0</v>
      </c>
      <c r="G85" s="74"/>
      <c r="H85" s="205" t="s">
        <v>1429</v>
      </c>
      <c r="I85" s="209" t="s">
        <v>1430</v>
      </c>
      <c r="J85" s="207">
        <v>1.52422</v>
      </c>
      <c r="K85" s="208">
        <v>40.0</v>
      </c>
      <c r="L85" s="208">
        <v>2.0</v>
      </c>
      <c r="M85" s="74"/>
      <c r="N85" s="110" t="s">
        <v>101</v>
      </c>
      <c r="O85" s="125">
        <f>O81-O82-O83</f>
        <v>1335.67976</v>
      </c>
      <c r="P85" s="74"/>
      <c r="Q85" s="74"/>
      <c r="R85" s="74"/>
      <c r="S85" s="74"/>
      <c r="T85" s="74"/>
      <c r="U85" s="74"/>
      <c r="V85" s="74"/>
      <c r="W85" s="74"/>
      <c r="X85" s="74"/>
      <c r="Y85" s="74"/>
      <c r="Z85" s="74"/>
    </row>
    <row r="86" ht="14.25" customHeight="1">
      <c r="A86" s="105"/>
      <c r="B86" s="205" t="s">
        <v>269</v>
      </c>
      <c r="C86" s="206" t="s">
        <v>247</v>
      </c>
      <c r="D86" s="207">
        <v>1.58535</v>
      </c>
      <c r="E86" s="208">
        <v>20.0</v>
      </c>
      <c r="F86" s="208">
        <v>1.02</v>
      </c>
      <c r="G86" s="74"/>
      <c r="H86" s="293"/>
      <c r="I86" s="293"/>
      <c r="J86" s="537"/>
      <c r="K86" s="74"/>
      <c r="L86" s="74"/>
      <c r="M86" s="74"/>
      <c r="N86" s="135" t="s">
        <v>121</v>
      </c>
      <c r="O86" s="124">
        <f>(O85/O81)*100</f>
        <v>78.96902037</v>
      </c>
      <c r="P86" s="74"/>
      <c r="Q86" s="74"/>
      <c r="R86" s="74"/>
      <c r="S86" s="74"/>
      <c r="T86" s="74"/>
      <c r="U86" s="74"/>
      <c r="V86" s="74"/>
      <c r="W86" s="74"/>
      <c r="X86" s="74"/>
      <c r="Y86" s="74"/>
      <c r="Z86" s="74"/>
    </row>
    <row r="87" ht="14.25" customHeight="1">
      <c r="A87" s="74"/>
      <c r="B87" s="293"/>
      <c r="C87" s="538"/>
      <c r="D87" s="539"/>
      <c r="E87" s="74"/>
      <c r="F87" s="74"/>
      <c r="G87" s="74"/>
      <c r="H87" s="293"/>
      <c r="I87" s="293"/>
      <c r="J87" s="537"/>
      <c r="K87" s="74"/>
      <c r="L87" s="200"/>
      <c r="M87" s="74"/>
      <c r="N87" s="74"/>
      <c r="O87" s="74"/>
      <c r="P87" s="74"/>
      <c r="Q87" s="74"/>
      <c r="R87" s="74"/>
      <c r="S87" s="74"/>
      <c r="T87" s="74"/>
      <c r="U87" s="74"/>
      <c r="V87" s="74"/>
      <c r="W87" s="74"/>
      <c r="X87" s="74"/>
      <c r="Y87" s="74"/>
      <c r="Z87" s="74"/>
    </row>
    <row r="88" ht="14.25" customHeight="1">
      <c r="A88" s="74"/>
      <c r="B88" s="293"/>
      <c r="C88" s="538"/>
      <c r="D88" s="540"/>
      <c r="E88" s="89"/>
      <c r="F88" s="74"/>
      <c r="G88" s="74"/>
      <c r="H88" s="118" t="s">
        <v>280</v>
      </c>
      <c r="I88" s="212"/>
      <c r="J88" s="213"/>
      <c r="K88" s="91"/>
      <c r="L88" s="91"/>
      <c r="M88" s="74"/>
      <c r="N88" s="74"/>
      <c r="O88" s="74"/>
      <c r="P88" s="74"/>
      <c r="Q88" s="74"/>
      <c r="R88" s="74"/>
      <c r="S88" s="74"/>
      <c r="T88" s="74"/>
      <c r="U88" s="74"/>
      <c r="V88" s="74"/>
      <c r="W88" s="74"/>
      <c r="X88" s="74"/>
      <c r="Y88" s="74"/>
      <c r="Z88" s="74"/>
    </row>
    <row r="89" ht="14.25" customHeight="1">
      <c r="A89" s="74"/>
      <c r="B89" s="293"/>
      <c r="C89" s="538"/>
      <c r="D89" s="539"/>
      <c r="E89" s="74"/>
      <c r="F89" s="74"/>
      <c r="G89" s="74"/>
      <c r="H89" s="214" t="s">
        <v>102</v>
      </c>
      <c r="I89" s="122" t="s">
        <v>281</v>
      </c>
      <c r="J89" s="121" t="s">
        <v>104</v>
      </c>
      <c r="K89" s="204" t="s">
        <v>240</v>
      </c>
      <c r="L89" s="204" t="s">
        <v>241</v>
      </c>
      <c r="M89" s="74"/>
      <c r="N89" s="74"/>
      <c r="O89" s="74"/>
      <c r="P89" s="74"/>
      <c r="Q89" s="74"/>
      <c r="R89" s="74"/>
      <c r="S89" s="74"/>
      <c r="T89" s="74"/>
      <c r="U89" s="74"/>
      <c r="V89" s="74"/>
      <c r="W89" s="74"/>
      <c r="X89" s="74"/>
      <c r="Y89" s="74"/>
      <c r="Z89" s="74"/>
    </row>
    <row r="90" ht="29.25" customHeight="1">
      <c r="A90" s="74"/>
      <c r="B90" s="293"/>
      <c r="C90" s="538"/>
      <c r="D90" s="539"/>
      <c r="E90" s="74"/>
      <c r="F90" s="74"/>
      <c r="G90" s="74"/>
      <c r="H90" s="205" t="s">
        <v>1431</v>
      </c>
      <c r="I90" s="209" t="s">
        <v>247</v>
      </c>
      <c r="J90" s="207">
        <v>1.59298</v>
      </c>
      <c r="K90" s="208">
        <v>40.0</v>
      </c>
      <c r="L90" s="208">
        <v>5.0</v>
      </c>
      <c r="M90" s="74"/>
      <c r="N90" s="74"/>
      <c r="O90" s="74"/>
      <c r="P90" s="74"/>
      <c r="Q90" s="74"/>
      <c r="R90" s="74"/>
      <c r="S90" s="74"/>
      <c r="T90" s="74"/>
      <c r="U90" s="74"/>
      <c r="V90" s="74"/>
      <c r="W90" s="74"/>
      <c r="X90" s="74"/>
      <c r="Y90" s="74"/>
      <c r="Z90" s="74"/>
    </row>
    <row r="91" ht="14.25" customHeight="1">
      <c r="A91" s="74"/>
      <c r="B91" s="293"/>
      <c r="C91" s="538"/>
      <c r="D91" s="537"/>
      <c r="E91" s="74"/>
      <c r="F91" s="74"/>
      <c r="G91" s="74"/>
      <c r="H91" s="215" t="s">
        <v>1432</v>
      </c>
      <c r="I91" s="216" t="s">
        <v>1433</v>
      </c>
      <c r="J91" s="217">
        <v>35.0097</v>
      </c>
      <c r="K91" s="218">
        <v>40.0</v>
      </c>
      <c r="L91" s="218">
        <v>2.0</v>
      </c>
      <c r="M91" s="74"/>
      <c r="N91" s="74"/>
      <c r="O91" s="74"/>
      <c r="P91" s="74"/>
      <c r="Q91" s="74"/>
      <c r="R91" s="74"/>
      <c r="S91" s="74"/>
      <c r="T91" s="74"/>
      <c r="U91" s="74"/>
      <c r="V91" s="74"/>
      <c r="W91" s="74"/>
      <c r="X91" s="74"/>
      <c r="Y91" s="74"/>
      <c r="Z91" s="74"/>
    </row>
    <row r="92" ht="73.5" customHeight="1">
      <c r="A92" s="74"/>
      <c r="B92" s="293"/>
      <c r="C92" s="538"/>
      <c r="D92" s="537"/>
      <c r="E92" s="74"/>
      <c r="F92" s="74"/>
      <c r="G92" s="74"/>
      <c r="H92" s="215" t="s">
        <v>282</v>
      </c>
      <c r="I92" s="216" t="s">
        <v>1434</v>
      </c>
      <c r="J92" s="217">
        <v>1240.46</v>
      </c>
      <c r="K92" s="218">
        <v>200.0</v>
      </c>
      <c r="L92" s="218">
        <v>1.02</v>
      </c>
      <c r="M92" s="74"/>
      <c r="N92" s="74"/>
      <c r="O92" s="74"/>
      <c r="P92" s="74"/>
      <c r="Q92" s="74"/>
      <c r="R92" s="74"/>
      <c r="S92" s="74"/>
      <c r="T92" s="74"/>
      <c r="U92" s="74"/>
      <c r="V92" s="74"/>
      <c r="W92" s="74"/>
      <c r="X92" s="74"/>
      <c r="Y92" s="74"/>
      <c r="Z92" s="74"/>
    </row>
    <row r="93" ht="14.25" customHeight="1">
      <c r="A93" s="74"/>
      <c r="B93" s="74"/>
      <c r="C93" s="74"/>
      <c r="D93" s="74"/>
      <c r="E93" s="74"/>
      <c r="F93" s="74"/>
      <c r="G93" s="74"/>
      <c r="H93" s="205" t="s">
        <v>1435</v>
      </c>
      <c r="I93" s="209" t="s">
        <v>1436</v>
      </c>
      <c r="J93" s="207">
        <f>57.3426+1.15653</f>
        <v>58.49913</v>
      </c>
      <c r="K93" s="222">
        <v>40.0</v>
      </c>
      <c r="L93" s="222">
        <v>5.0</v>
      </c>
      <c r="M93" s="74"/>
      <c r="N93" s="74"/>
      <c r="O93" s="74"/>
      <c r="P93" s="74"/>
      <c r="Q93" s="74"/>
      <c r="R93" s="74"/>
      <c r="S93" s="74"/>
      <c r="T93" s="74"/>
      <c r="U93" s="74"/>
      <c r="V93" s="74"/>
      <c r="W93" s="74"/>
      <c r="X93" s="74"/>
      <c r="Y93" s="74"/>
      <c r="Z93" s="74"/>
    </row>
    <row r="94" ht="57.0" customHeight="1">
      <c r="A94" s="74"/>
      <c r="B94" s="74"/>
      <c r="C94" s="74"/>
      <c r="D94" s="74"/>
      <c r="E94" s="74"/>
      <c r="F94" s="293"/>
      <c r="G94" s="293"/>
      <c r="H94" s="537"/>
      <c r="I94" s="74"/>
      <c r="J94" s="74"/>
      <c r="K94" s="89"/>
      <c r="L94" s="91"/>
      <c r="M94" s="74"/>
      <c r="N94" s="74"/>
      <c r="O94" s="74"/>
      <c r="P94" s="74"/>
      <c r="Q94" s="74"/>
      <c r="R94" s="74"/>
      <c r="S94" s="74"/>
      <c r="T94" s="74"/>
      <c r="U94" s="74"/>
      <c r="V94" s="74"/>
      <c r="W94" s="74"/>
      <c r="X94" s="74"/>
      <c r="Y94" s="74"/>
      <c r="Z94" s="74"/>
    </row>
    <row r="95" ht="108.7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ht="64.5" customHeight="1">
      <c r="A96" s="74"/>
      <c r="B96" s="110" t="s">
        <v>122</v>
      </c>
      <c r="C96" s="117"/>
      <c r="D96" s="117"/>
      <c r="E96" s="117"/>
      <c r="F96" s="117"/>
      <c r="G96" s="117"/>
      <c r="H96" s="117"/>
      <c r="I96" s="117"/>
      <c r="J96" s="74"/>
      <c r="K96" s="74"/>
      <c r="L96" s="74"/>
      <c r="M96" s="74"/>
      <c r="N96" s="74"/>
      <c r="O96" s="74"/>
      <c r="P96" s="74"/>
      <c r="Q96" s="74"/>
      <c r="R96" s="74"/>
      <c r="S96" s="74"/>
      <c r="T96" s="74"/>
      <c r="U96" s="74"/>
      <c r="V96" s="74"/>
      <c r="W96" s="74"/>
      <c r="X96" s="74"/>
      <c r="Y96" s="74"/>
      <c r="Z96" s="74"/>
    </row>
    <row r="97" ht="40.5" customHeight="1">
      <c r="A97" s="74"/>
      <c r="B97" s="117"/>
      <c r="C97" s="117"/>
      <c r="D97" s="117"/>
      <c r="E97" s="117"/>
      <c r="F97" s="117"/>
      <c r="G97" s="117"/>
      <c r="H97" s="117"/>
      <c r="I97" s="117"/>
      <c r="J97" s="74"/>
      <c r="K97" s="74"/>
      <c r="L97" s="74"/>
      <c r="M97" s="74"/>
      <c r="N97" s="74"/>
      <c r="O97" s="74"/>
      <c r="P97" s="74"/>
      <c r="Q97" s="74"/>
      <c r="R97" s="74"/>
      <c r="S97" s="74"/>
      <c r="T97" s="74"/>
      <c r="U97" s="74"/>
      <c r="V97" s="74"/>
      <c r="W97" s="74"/>
      <c r="X97" s="74"/>
      <c r="Y97" s="74"/>
      <c r="Z97" s="74"/>
    </row>
    <row r="98" ht="57.0" customHeight="1">
      <c r="A98" s="74"/>
      <c r="B98" s="118" t="s">
        <v>3</v>
      </c>
      <c r="C98" s="118" t="s">
        <v>4</v>
      </c>
      <c r="D98" s="118" t="s">
        <v>124</v>
      </c>
      <c r="E98" s="142" t="s">
        <v>5</v>
      </c>
      <c r="F98" s="142" t="s">
        <v>125</v>
      </c>
      <c r="G98" s="143" t="s">
        <v>126</v>
      </c>
      <c r="H98" s="143" t="s">
        <v>127</v>
      </c>
      <c r="I98" s="144" t="s">
        <v>128</v>
      </c>
      <c r="J98" s="74"/>
      <c r="K98" s="119" t="s">
        <v>123</v>
      </c>
      <c r="L98" s="541"/>
      <c r="M98" s="140"/>
      <c r="N98" s="140"/>
      <c r="O98" s="140"/>
      <c r="P98" s="140"/>
      <c r="Q98" s="141"/>
      <c r="R98" s="74"/>
      <c r="S98" s="74"/>
      <c r="T98" s="74"/>
      <c r="U98" s="74"/>
      <c r="V98" s="74"/>
      <c r="W98" s="74"/>
      <c r="X98" s="74"/>
      <c r="Y98" s="74"/>
      <c r="Z98" s="74"/>
    </row>
    <row r="99" ht="63.75" customHeight="1">
      <c r="A99" s="74"/>
      <c r="B99" s="145" t="s">
        <v>8</v>
      </c>
      <c r="C99" s="542">
        <v>3362.6960568283266</v>
      </c>
      <c r="D99" s="298">
        <v>1548.9839256</v>
      </c>
      <c r="E99" s="298">
        <v>-1561.2078890166786</v>
      </c>
      <c r="F99" s="298">
        <v>-719.1477792398068</v>
      </c>
      <c r="G99" s="298">
        <f t="shared" ref="G99:H99" si="1">C99+E99</f>
        <v>1801.488168</v>
      </c>
      <c r="H99" s="298">
        <f t="shared" si="1"/>
        <v>829.8361464</v>
      </c>
      <c r="I99" s="286"/>
      <c r="J99" s="74"/>
      <c r="K99" s="118" t="s">
        <v>3</v>
      </c>
      <c r="L99" s="114" t="s">
        <v>129</v>
      </c>
      <c r="M99" s="121" t="s">
        <v>130</v>
      </c>
      <c r="N99" s="121" t="s">
        <v>131</v>
      </c>
      <c r="O99" s="121" t="s">
        <v>132</v>
      </c>
      <c r="P99" s="121" t="s">
        <v>133</v>
      </c>
      <c r="Q99" s="114" t="s">
        <v>134</v>
      </c>
      <c r="R99" s="74"/>
      <c r="S99" s="74"/>
      <c r="T99" s="74"/>
      <c r="U99" s="74"/>
      <c r="V99" s="74"/>
      <c r="W99" s="74"/>
      <c r="X99" s="74"/>
      <c r="Y99" s="74"/>
      <c r="Z99" s="74"/>
    </row>
    <row r="100" ht="25.5" customHeight="1">
      <c r="A100" s="74"/>
      <c r="B100" s="145" t="s">
        <v>10</v>
      </c>
      <c r="C100" s="542">
        <v>7204.53441980205</v>
      </c>
      <c r="D100" s="298">
        <v>3649.594927367999</v>
      </c>
      <c r="E100" s="298">
        <v>-3266.7640989657984</v>
      </c>
      <c r="F100" s="298">
        <v>-1654.84192944</v>
      </c>
      <c r="G100" s="298">
        <f t="shared" ref="G100:H100" si="2">C100+E100</f>
        <v>3937.770321</v>
      </c>
      <c r="H100" s="298">
        <f t="shared" si="2"/>
        <v>1994.752998</v>
      </c>
      <c r="I100" s="286"/>
      <c r="J100" s="74"/>
      <c r="K100" s="150" t="s">
        <v>8</v>
      </c>
      <c r="L100" s="149">
        <v>155.0</v>
      </c>
      <c r="M100" s="149">
        <v>155.0</v>
      </c>
      <c r="N100" s="151">
        <v>5.5</v>
      </c>
      <c r="O100" s="151">
        <v>5.5</v>
      </c>
      <c r="P100" s="149">
        <v>2096.77163841359</v>
      </c>
      <c r="Q100" s="149" t="s">
        <v>138</v>
      </c>
      <c r="R100" s="74"/>
      <c r="S100" s="74"/>
      <c r="T100" s="74"/>
      <c r="U100" s="74"/>
      <c r="V100" s="74"/>
      <c r="W100" s="74"/>
      <c r="X100" s="74"/>
      <c r="Y100" s="74"/>
      <c r="Z100" s="74"/>
    </row>
    <row r="101" ht="14.25" customHeight="1">
      <c r="A101" s="74"/>
      <c r="B101" s="145" t="s">
        <v>11</v>
      </c>
      <c r="C101" s="542">
        <v>2773.9242914158076</v>
      </c>
      <c r="D101" s="542">
        <v>1365.161768</v>
      </c>
      <c r="E101" s="298">
        <v>-2106.231020014464</v>
      </c>
      <c r="F101" s="298">
        <v>-1036.56256</v>
      </c>
      <c r="G101" s="298">
        <f t="shared" ref="G101:H101" si="3">C101+E101</f>
        <v>667.6932714</v>
      </c>
      <c r="H101" s="298">
        <f t="shared" si="3"/>
        <v>328.599208</v>
      </c>
      <c r="I101" s="286"/>
      <c r="J101" s="74"/>
      <c r="K101" s="118" t="s">
        <v>10</v>
      </c>
      <c r="L101" s="149">
        <v>214.0</v>
      </c>
      <c r="M101" s="149">
        <v>214.0</v>
      </c>
      <c r="N101" s="149">
        <v>21.0</v>
      </c>
      <c r="O101" s="149">
        <v>21.0</v>
      </c>
      <c r="P101" s="149">
        <v>1879.6128145344</v>
      </c>
      <c r="Q101" s="149" t="s">
        <v>138</v>
      </c>
      <c r="R101" s="74"/>
      <c r="S101" s="74"/>
      <c r="T101" s="74"/>
      <c r="U101" s="74"/>
      <c r="V101" s="74"/>
      <c r="W101" s="74"/>
      <c r="X101" s="74"/>
      <c r="Y101" s="74"/>
      <c r="Z101" s="74"/>
    </row>
    <row r="102" ht="14.25" customHeight="1">
      <c r="A102" s="74"/>
      <c r="B102" s="145" t="s">
        <v>12</v>
      </c>
      <c r="C102" s="542">
        <v>12297.49183469728</v>
      </c>
      <c r="D102" s="298">
        <v>196204.68537243982</v>
      </c>
      <c r="E102" s="298">
        <v>0.0</v>
      </c>
      <c r="F102" s="298">
        <v>0.0</v>
      </c>
      <c r="G102" s="298">
        <f t="shared" ref="G102:H102" si="4">C102+E102</f>
        <v>12297.49183</v>
      </c>
      <c r="H102" s="298">
        <f t="shared" si="4"/>
        <v>196204.6854</v>
      </c>
      <c r="I102" s="286"/>
      <c r="J102" s="74"/>
      <c r="K102" s="118" t="s">
        <v>11</v>
      </c>
      <c r="L102" s="149">
        <v>265.0</v>
      </c>
      <c r="M102" s="149">
        <v>265.0</v>
      </c>
      <c r="N102" s="149">
        <v>51.0</v>
      </c>
      <c r="O102" s="149">
        <v>51.0</v>
      </c>
      <c r="P102" s="149">
        <v>1632.4494056856</v>
      </c>
      <c r="Q102" s="149" t="s">
        <v>138</v>
      </c>
      <c r="R102" s="74"/>
      <c r="S102" s="74"/>
      <c r="T102" s="74"/>
      <c r="U102" s="74"/>
      <c r="V102" s="74"/>
      <c r="W102" s="74"/>
      <c r="X102" s="74"/>
      <c r="Y102" s="74"/>
      <c r="Z102" s="74"/>
    </row>
    <row r="103" ht="14.25" customHeight="1">
      <c r="A103" s="74"/>
      <c r="B103" s="145" t="s">
        <v>34</v>
      </c>
      <c r="C103" s="490">
        <v>248.5220961931454</v>
      </c>
      <c r="D103" s="490" t="s">
        <v>1437</v>
      </c>
      <c r="E103" s="298">
        <v>0.0</v>
      </c>
      <c r="F103" s="543" t="s">
        <v>481</v>
      </c>
      <c r="G103" s="298">
        <f>C103+E103</f>
        <v>248.5220962</v>
      </c>
      <c r="H103" s="490" t="s">
        <v>1437</v>
      </c>
      <c r="I103" s="286"/>
      <c r="J103" s="74"/>
      <c r="K103" s="224" t="s">
        <v>17</v>
      </c>
      <c r="L103" s="154">
        <v>500.0</v>
      </c>
      <c r="M103" s="154">
        <v>311.0</v>
      </c>
      <c r="N103" s="154">
        <v>100.0</v>
      </c>
      <c r="O103" s="154">
        <v>100.0</v>
      </c>
      <c r="P103" s="544">
        <v>1967.0</v>
      </c>
      <c r="Q103" s="149" t="s">
        <v>138</v>
      </c>
      <c r="R103" s="74"/>
      <c r="S103" s="74"/>
      <c r="T103" s="74"/>
      <c r="U103" s="74"/>
      <c r="V103" s="74"/>
      <c r="W103" s="74"/>
      <c r="X103" s="74"/>
      <c r="Y103" s="74"/>
      <c r="Z103" s="74"/>
    </row>
    <row r="104" ht="14.25" customHeight="1">
      <c r="A104" s="74"/>
      <c r="B104" s="145" t="s">
        <v>17</v>
      </c>
      <c r="C104" s="145"/>
      <c r="D104" s="145"/>
      <c r="E104" s="145"/>
      <c r="F104" s="145"/>
      <c r="G104" s="146"/>
      <c r="H104" s="145"/>
      <c r="I104" s="147"/>
      <c r="J104" s="129"/>
      <c r="K104" s="118" t="s">
        <v>12</v>
      </c>
      <c r="L104" s="159">
        <v>25.0</v>
      </c>
      <c r="M104" s="159">
        <v>40.0</v>
      </c>
      <c r="N104" s="160">
        <v>1.02</v>
      </c>
      <c r="O104" s="160">
        <v>1.02</v>
      </c>
      <c r="P104" s="160">
        <f>62.74243314036/(M104-L104)</f>
        <v>4.182828876</v>
      </c>
      <c r="Q104" s="159" t="s">
        <v>143</v>
      </c>
      <c r="R104" s="74"/>
      <c r="S104" s="74"/>
      <c r="T104" s="74"/>
      <c r="U104" s="74"/>
      <c r="V104" s="74"/>
      <c r="W104" s="74"/>
      <c r="X104" s="74"/>
      <c r="Y104" s="74"/>
      <c r="Z104" s="74"/>
    </row>
    <row r="105" ht="14.25" customHeight="1">
      <c r="A105" s="74"/>
      <c r="B105" s="117"/>
      <c r="C105" s="117"/>
      <c r="D105" s="117"/>
      <c r="E105" s="117"/>
      <c r="F105" s="117"/>
      <c r="G105" s="117"/>
      <c r="H105" s="117"/>
      <c r="I105" s="117"/>
      <c r="J105" s="129"/>
      <c r="K105" s="74"/>
      <c r="L105" s="74"/>
      <c r="M105" s="74"/>
      <c r="N105" s="74"/>
      <c r="O105" s="74"/>
      <c r="P105" s="74"/>
      <c r="Q105" s="74"/>
      <c r="R105" s="74"/>
      <c r="S105" s="74"/>
      <c r="T105" s="74"/>
      <c r="U105" s="74"/>
      <c r="V105" s="74"/>
      <c r="W105" s="74"/>
      <c r="X105" s="74"/>
      <c r="Y105" s="74"/>
      <c r="Z105" s="74"/>
    </row>
    <row r="106" ht="14.25" customHeight="1">
      <c r="A106" s="74"/>
      <c r="B106" s="74"/>
      <c r="C106" s="74"/>
      <c r="D106" s="74"/>
      <c r="E106" s="74"/>
      <c r="F106" s="74"/>
      <c r="G106" s="161"/>
      <c r="H106" s="74"/>
      <c r="I106" s="74"/>
      <c r="J106" s="129"/>
      <c r="K106" s="74"/>
      <c r="L106" s="74"/>
      <c r="M106" s="74"/>
      <c r="N106" s="74"/>
      <c r="O106" s="74"/>
      <c r="P106" s="74"/>
      <c r="Q106" s="74"/>
      <c r="R106" s="74"/>
      <c r="S106" s="74"/>
      <c r="T106" s="74"/>
      <c r="U106" s="74"/>
      <c r="V106" s="74"/>
      <c r="W106" s="74"/>
      <c r="X106" s="74"/>
      <c r="Y106" s="74"/>
      <c r="Z106" s="74"/>
    </row>
    <row r="107" ht="14.25" customHeight="1">
      <c r="A107" s="74"/>
      <c r="B107" s="74"/>
      <c r="C107" s="74"/>
      <c r="D107" s="74"/>
      <c r="E107" s="74"/>
      <c r="F107" s="74"/>
      <c r="G107" s="74"/>
      <c r="H107" s="74"/>
      <c r="I107" s="74"/>
      <c r="J107" s="129"/>
      <c r="K107" s="74"/>
      <c r="L107" s="74"/>
      <c r="M107" s="74"/>
      <c r="N107" s="74"/>
      <c r="O107" s="74"/>
      <c r="P107" s="74"/>
      <c r="Q107" s="74"/>
      <c r="R107" s="74"/>
      <c r="S107" s="74"/>
      <c r="T107" s="74"/>
      <c r="U107" s="74"/>
      <c r="V107" s="74"/>
      <c r="W107" s="74"/>
      <c r="X107" s="74"/>
      <c r="Y107" s="74"/>
      <c r="Z107" s="74"/>
    </row>
    <row r="108" ht="14.25" customHeight="1">
      <c r="A108" s="74"/>
      <c r="B108" s="545" t="s">
        <v>300</v>
      </c>
      <c r="C108" s="546"/>
      <c r="D108" s="546"/>
      <c r="E108" s="546"/>
      <c r="F108" s="546"/>
      <c r="G108" s="546"/>
      <c r="H108" s="546"/>
      <c r="I108" s="546"/>
      <c r="J108" s="546"/>
      <c r="K108" s="546"/>
      <c r="L108" s="546"/>
      <c r="M108" s="546"/>
      <c r="N108" s="547"/>
      <c r="O108" s="74"/>
      <c r="P108" s="74"/>
      <c r="Q108" s="74"/>
      <c r="R108" s="74"/>
      <c r="S108" s="74"/>
      <c r="T108" s="74"/>
      <c r="U108" s="74"/>
      <c r="V108" s="74"/>
      <c r="W108" s="74"/>
      <c r="X108" s="74"/>
      <c r="Y108" s="74"/>
      <c r="Z108" s="74"/>
    </row>
    <row r="109" ht="14.25" customHeight="1">
      <c r="A109" s="74"/>
      <c r="B109" s="548" t="s">
        <v>136</v>
      </c>
      <c r="C109" s="549"/>
      <c r="D109" s="449"/>
      <c r="E109" s="449"/>
      <c r="F109" s="449"/>
      <c r="G109" s="449"/>
      <c r="H109" s="449"/>
      <c r="I109" s="550" t="s">
        <v>34</v>
      </c>
      <c r="J109" s="449"/>
      <c r="K109" s="449"/>
      <c r="L109" s="449"/>
      <c r="M109" s="449"/>
      <c r="N109" s="551"/>
      <c r="O109" s="74"/>
      <c r="P109" s="74"/>
      <c r="Q109" s="74"/>
      <c r="R109" s="74"/>
      <c r="S109" s="74"/>
      <c r="T109" s="74"/>
      <c r="U109" s="74"/>
      <c r="V109" s="74"/>
      <c r="W109" s="74"/>
      <c r="X109" s="74"/>
      <c r="Y109" s="74"/>
      <c r="Z109" s="74"/>
    </row>
    <row r="110" ht="14.25" customHeight="1">
      <c r="A110" s="74"/>
      <c r="B110" s="454" t="s">
        <v>301</v>
      </c>
      <c r="C110" s="246" t="s">
        <v>302</v>
      </c>
      <c r="D110" s="246" t="s">
        <v>303</v>
      </c>
      <c r="E110" s="246" t="s">
        <v>304</v>
      </c>
      <c r="F110" s="246" t="s">
        <v>305</v>
      </c>
      <c r="G110" s="246" t="s">
        <v>146</v>
      </c>
      <c r="H110" s="245"/>
      <c r="I110" s="246" t="s">
        <v>301</v>
      </c>
      <c r="J110" s="246" t="s">
        <v>302</v>
      </c>
      <c r="K110" s="246" t="s">
        <v>306</v>
      </c>
      <c r="L110" s="246" t="s">
        <v>307</v>
      </c>
      <c r="M110" s="246" t="s">
        <v>308</v>
      </c>
      <c r="N110" s="455" t="s">
        <v>146</v>
      </c>
      <c r="O110" s="74"/>
      <c r="P110" s="74"/>
      <c r="Q110" s="74"/>
      <c r="R110" s="74"/>
      <c r="S110" s="74"/>
      <c r="T110" s="74"/>
      <c r="U110" s="74"/>
      <c r="V110" s="74"/>
      <c r="W110" s="74"/>
      <c r="X110" s="74"/>
      <c r="Y110" s="74"/>
      <c r="Z110" s="74"/>
    </row>
    <row r="111" ht="14.25" customHeight="1">
      <c r="A111" s="74"/>
      <c r="B111" s="465" t="s">
        <v>137</v>
      </c>
      <c r="C111" s="247" t="s">
        <v>137</v>
      </c>
      <c r="D111" s="247" t="s">
        <v>137</v>
      </c>
      <c r="E111" s="247" t="s">
        <v>137</v>
      </c>
      <c r="F111" s="247" t="s">
        <v>137</v>
      </c>
      <c r="G111" s="247" t="s">
        <v>137</v>
      </c>
      <c r="H111" s="245"/>
      <c r="I111" s="248" t="s">
        <v>1438</v>
      </c>
      <c r="J111" s="249" t="s">
        <v>1439</v>
      </c>
      <c r="K111" s="250">
        <v>95.2644132</v>
      </c>
      <c r="L111" s="250" t="str">
        <f t="shared" ref="L111:L122" si="5">K111*'[2]Inputs and assumptions'!$E$19/1000000</f>
        <v>#REF!</v>
      </c>
      <c r="M111" s="250" t="str">
        <f t="shared" ref="M111:M122" si="6">L111*60*60/1000</f>
        <v>#REF!</v>
      </c>
      <c r="N111" s="457" t="s">
        <v>137</v>
      </c>
      <c r="O111" s="74"/>
      <c r="P111" s="74"/>
      <c r="Q111" s="74"/>
      <c r="R111" s="74"/>
      <c r="S111" s="74"/>
      <c r="T111" s="74"/>
      <c r="U111" s="74"/>
      <c r="V111" s="74"/>
      <c r="W111" s="74"/>
      <c r="X111" s="74"/>
      <c r="Y111" s="74"/>
      <c r="Z111" s="74"/>
    </row>
    <row r="112" ht="14.25" customHeight="1">
      <c r="A112" s="74"/>
      <c r="B112" s="459"/>
      <c r="C112" s="245"/>
      <c r="D112" s="245"/>
      <c r="E112" s="245"/>
      <c r="F112" s="245"/>
      <c r="G112" s="245"/>
      <c r="H112" s="245"/>
      <c r="I112" s="248" t="s">
        <v>1440</v>
      </c>
      <c r="J112" s="248" t="s">
        <v>1441</v>
      </c>
      <c r="K112" s="251">
        <v>1.99870128288</v>
      </c>
      <c r="L112" s="252" t="str">
        <f t="shared" si="5"/>
        <v>#REF!</v>
      </c>
      <c r="M112" s="251" t="str">
        <f t="shared" si="6"/>
        <v>#REF!</v>
      </c>
      <c r="N112" s="457" t="s">
        <v>137</v>
      </c>
      <c r="O112" s="74"/>
      <c r="P112" s="74"/>
      <c r="Q112" s="74"/>
      <c r="R112" s="74"/>
      <c r="S112" s="74"/>
      <c r="T112" s="74"/>
      <c r="U112" s="74"/>
      <c r="V112" s="74"/>
      <c r="W112" s="74"/>
      <c r="X112" s="74"/>
      <c r="Y112" s="74"/>
      <c r="Z112" s="74"/>
    </row>
    <row r="113" ht="14.25" customHeight="1">
      <c r="A113" s="74"/>
      <c r="B113" s="454" t="s">
        <v>8</v>
      </c>
      <c r="C113" s="245"/>
      <c r="D113" s="245"/>
      <c r="E113" s="245"/>
      <c r="F113" s="245"/>
      <c r="G113" s="245"/>
      <c r="H113" s="245"/>
      <c r="I113" s="248" t="s">
        <v>1442</v>
      </c>
      <c r="J113" s="248" t="s">
        <v>1443</v>
      </c>
      <c r="K113" s="251">
        <v>0.4910572157868</v>
      </c>
      <c r="L113" s="252" t="str">
        <f t="shared" si="5"/>
        <v>#REF!</v>
      </c>
      <c r="M113" s="252" t="str">
        <f t="shared" si="6"/>
        <v>#REF!</v>
      </c>
      <c r="N113" s="457" t="s">
        <v>137</v>
      </c>
      <c r="O113" s="74"/>
      <c r="P113" s="74"/>
      <c r="Q113" s="74"/>
      <c r="R113" s="74"/>
      <c r="S113" s="74"/>
      <c r="T113" s="74"/>
      <c r="U113" s="74"/>
      <c r="V113" s="74"/>
      <c r="W113" s="74"/>
      <c r="X113" s="74"/>
      <c r="Y113" s="74"/>
      <c r="Z113" s="74"/>
    </row>
    <row r="114" ht="39.0" customHeight="1">
      <c r="A114" s="74"/>
      <c r="B114" s="454" t="s">
        <v>301</v>
      </c>
      <c r="C114" s="246" t="s">
        <v>302</v>
      </c>
      <c r="D114" s="246" t="s">
        <v>303</v>
      </c>
      <c r="E114" s="246" t="s">
        <v>304</v>
      </c>
      <c r="F114" s="246" t="s">
        <v>305</v>
      </c>
      <c r="G114" s="246" t="s">
        <v>146</v>
      </c>
      <c r="H114" s="245"/>
      <c r="I114" s="247" t="s">
        <v>1444</v>
      </c>
      <c r="J114" s="247" t="s">
        <v>1445</v>
      </c>
      <c r="K114" s="253">
        <v>0.0816392861478</v>
      </c>
      <c r="L114" s="254" t="str">
        <f t="shared" si="5"/>
        <v>#REF!</v>
      </c>
      <c r="M114" s="254" t="str">
        <f t="shared" si="6"/>
        <v>#REF!</v>
      </c>
      <c r="N114" s="457" t="s">
        <v>137</v>
      </c>
      <c r="O114" s="74"/>
      <c r="P114" s="74"/>
      <c r="Q114" s="74"/>
      <c r="R114" s="74"/>
      <c r="S114" s="74"/>
      <c r="T114" s="74"/>
      <c r="U114" s="74"/>
      <c r="V114" s="74"/>
      <c r="W114" s="74"/>
      <c r="X114" s="74"/>
      <c r="Y114" s="74"/>
      <c r="Z114" s="74"/>
    </row>
    <row r="115" ht="14.25" customHeight="1">
      <c r="A115" s="74"/>
      <c r="B115" s="465" t="s">
        <v>1446</v>
      </c>
      <c r="C115" s="247" t="s">
        <v>1447</v>
      </c>
      <c r="D115" s="247">
        <v>-177601.12691472</v>
      </c>
      <c r="E115" s="247" t="str">
        <f t="shared" ref="E115:E120" si="7">D115*'[2]Inputs and assumptions'!$E$19/1000000</f>
        <v>#REF!</v>
      </c>
      <c r="F115" s="247">
        <v>-654.475073599999</v>
      </c>
      <c r="G115" s="247" t="s">
        <v>137</v>
      </c>
      <c r="H115" s="245"/>
      <c r="I115" s="247" t="s">
        <v>1448</v>
      </c>
      <c r="J115" s="247" t="s">
        <v>1449</v>
      </c>
      <c r="K115" s="247">
        <v>145.3776932754</v>
      </c>
      <c r="L115" s="258" t="str">
        <f t="shared" si="5"/>
        <v>#REF!</v>
      </c>
      <c r="M115" s="258" t="str">
        <f t="shared" si="6"/>
        <v>#REF!</v>
      </c>
      <c r="N115" s="457" t="s">
        <v>137</v>
      </c>
      <c r="O115" s="74"/>
      <c r="P115" s="74"/>
      <c r="Q115" s="74"/>
      <c r="R115" s="74"/>
      <c r="S115" s="74"/>
      <c r="T115" s="74"/>
      <c r="U115" s="74"/>
      <c r="V115" s="74"/>
      <c r="W115" s="74"/>
      <c r="X115" s="74"/>
      <c r="Y115" s="74"/>
      <c r="Z115" s="74"/>
    </row>
    <row r="116" ht="14.25" customHeight="1">
      <c r="A116" s="74"/>
      <c r="B116" s="465" t="s">
        <v>1450</v>
      </c>
      <c r="C116" s="247" t="s">
        <v>1451</v>
      </c>
      <c r="D116" s="247">
        <v>-17547.9652746</v>
      </c>
      <c r="E116" s="247" t="str">
        <f t="shared" si="7"/>
        <v>#REF!</v>
      </c>
      <c r="F116" s="247">
        <v>-64.6657263199999</v>
      </c>
      <c r="G116" s="247" t="s">
        <v>137</v>
      </c>
      <c r="H116" s="245"/>
      <c r="I116" s="247" t="s">
        <v>1452</v>
      </c>
      <c r="J116" s="247" t="s">
        <v>1453</v>
      </c>
      <c r="K116" s="247">
        <v>9.01739335032</v>
      </c>
      <c r="L116" s="255" t="str">
        <f t="shared" si="5"/>
        <v>#REF!</v>
      </c>
      <c r="M116" s="255" t="str">
        <f t="shared" si="6"/>
        <v>#REF!</v>
      </c>
      <c r="N116" s="457" t="s">
        <v>137</v>
      </c>
      <c r="O116" s="74"/>
      <c r="P116" s="74"/>
      <c r="Q116" s="74"/>
      <c r="R116" s="74"/>
      <c r="S116" s="74"/>
      <c r="T116" s="74"/>
      <c r="U116" s="74"/>
      <c r="V116" s="74"/>
      <c r="W116" s="74"/>
      <c r="X116" s="74"/>
      <c r="Y116" s="74"/>
      <c r="Z116" s="74"/>
    </row>
    <row r="117" ht="14.25" customHeight="1">
      <c r="A117" s="74"/>
      <c r="B117" s="465" t="s">
        <v>1454</v>
      </c>
      <c r="C117" s="247" t="s">
        <v>1455</v>
      </c>
      <c r="D117" s="247">
        <v>-1.89393776484048</v>
      </c>
      <c r="E117" s="253" t="str">
        <f t="shared" si="7"/>
        <v>#REF!</v>
      </c>
      <c r="F117" s="253">
        <v>-0.00697931980799999</v>
      </c>
      <c r="G117" s="247" t="s">
        <v>137</v>
      </c>
      <c r="H117" s="245"/>
      <c r="I117" s="247" t="s">
        <v>1456</v>
      </c>
      <c r="J117" s="247" t="s">
        <v>1457</v>
      </c>
      <c r="K117" s="247">
        <v>454.812258</v>
      </c>
      <c r="L117" s="258" t="str">
        <f t="shared" si="5"/>
        <v>#REF!</v>
      </c>
      <c r="M117" s="258" t="str">
        <f t="shared" si="6"/>
        <v>#REF!</v>
      </c>
      <c r="N117" s="457" t="s">
        <v>137</v>
      </c>
      <c r="O117" s="74"/>
      <c r="P117" s="74"/>
      <c r="Q117" s="74"/>
      <c r="R117" s="74"/>
      <c r="S117" s="74"/>
      <c r="T117" s="74"/>
      <c r="U117" s="74"/>
      <c r="V117" s="74"/>
      <c r="W117" s="74"/>
      <c r="X117" s="74"/>
      <c r="Y117" s="74"/>
      <c r="Z117" s="74"/>
    </row>
    <row r="118" ht="14.25" customHeight="1">
      <c r="A118" s="74"/>
      <c r="B118" s="465" t="s">
        <v>1458</v>
      </c>
      <c r="C118" s="247" t="s">
        <v>1459</v>
      </c>
      <c r="D118" s="247">
        <v>38029.2405951024</v>
      </c>
      <c r="E118" s="247" t="str">
        <f t="shared" si="7"/>
        <v>#REF!</v>
      </c>
      <c r="F118" s="247">
        <v>140.1409472</v>
      </c>
      <c r="G118" s="247" t="s">
        <v>137</v>
      </c>
      <c r="H118" s="245"/>
      <c r="I118" s="247" t="s">
        <v>1460</v>
      </c>
      <c r="J118" s="247" t="s">
        <v>1461</v>
      </c>
      <c r="K118" s="256">
        <v>0.0986671391</v>
      </c>
      <c r="L118" s="257" t="str">
        <f t="shared" si="5"/>
        <v>#REF!</v>
      </c>
      <c r="M118" s="257" t="str">
        <f t="shared" si="6"/>
        <v>#REF!</v>
      </c>
      <c r="N118" s="457" t="s">
        <v>137</v>
      </c>
      <c r="O118" s="74"/>
      <c r="P118" s="74"/>
      <c r="Q118" s="74"/>
      <c r="R118" s="74"/>
      <c r="S118" s="74"/>
      <c r="T118" s="74"/>
      <c r="U118" s="74"/>
      <c r="V118" s="74"/>
      <c r="W118" s="74"/>
      <c r="X118" s="74"/>
      <c r="Y118" s="74"/>
      <c r="Z118" s="74"/>
    </row>
    <row r="119" ht="14.25" customHeight="1">
      <c r="A119" s="74"/>
      <c r="B119" s="465" t="s">
        <v>1462</v>
      </c>
      <c r="C119" s="247" t="s">
        <v>1463</v>
      </c>
      <c r="D119" s="247">
        <v>322826.217107904</v>
      </c>
      <c r="E119" s="247" t="str">
        <f t="shared" si="7"/>
        <v>#REF!</v>
      </c>
      <c r="F119" s="247">
        <v>1189.641736</v>
      </c>
      <c r="G119" s="247" t="s">
        <v>137</v>
      </c>
      <c r="H119" s="245"/>
      <c r="I119" s="247" t="s">
        <v>1464</v>
      </c>
      <c r="J119" s="247" t="s">
        <v>1465</v>
      </c>
      <c r="K119" s="247">
        <v>3620.35176</v>
      </c>
      <c r="L119" s="258" t="str">
        <f t="shared" si="5"/>
        <v>#REF!</v>
      </c>
      <c r="M119" s="258" t="str">
        <f t="shared" si="6"/>
        <v>#REF!</v>
      </c>
      <c r="N119" s="457" t="s">
        <v>137</v>
      </c>
      <c r="O119" s="74"/>
      <c r="P119" s="74"/>
      <c r="Q119" s="74"/>
      <c r="R119" s="74"/>
      <c r="S119" s="74"/>
      <c r="T119" s="74"/>
      <c r="U119" s="74"/>
      <c r="V119" s="74"/>
      <c r="W119" s="74"/>
      <c r="X119" s="74"/>
      <c r="Y119" s="74"/>
      <c r="Z119" s="74"/>
    </row>
    <row r="120" ht="14.25" customHeight="1">
      <c r="A120" s="74"/>
      <c r="B120" s="465" t="s">
        <v>1466</v>
      </c>
      <c r="C120" s="247" t="s">
        <v>1467</v>
      </c>
      <c r="D120" s="247">
        <v>55141.5494005344</v>
      </c>
      <c r="E120" s="247" t="str">
        <f t="shared" si="7"/>
        <v>#REF!</v>
      </c>
      <c r="F120" s="247">
        <v>203.2012424</v>
      </c>
      <c r="G120" s="247" t="s">
        <v>137</v>
      </c>
      <c r="H120" s="245"/>
      <c r="I120" s="247" t="s">
        <v>1468</v>
      </c>
      <c r="J120" s="247" t="s">
        <v>1469</v>
      </c>
      <c r="K120" s="247">
        <v>3520.44039</v>
      </c>
      <c r="L120" s="258" t="str">
        <f t="shared" si="5"/>
        <v>#REF!</v>
      </c>
      <c r="M120" s="258" t="str">
        <f t="shared" si="6"/>
        <v>#REF!</v>
      </c>
      <c r="N120" s="457" t="s">
        <v>137</v>
      </c>
      <c r="O120" s="74"/>
      <c r="P120" s="74"/>
      <c r="Q120" s="74"/>
      <c r="R120" s="74"/>
      <c r="S120" s="74"/>
      <c r="T120" s="74"/>
      <c r="U120" s="74"/>
      <c r="V120" s="74"/>
      <c r="W120" s="74"/>
      <c r="X120" s="74"/>
      <c r="Y120" s="74"/>
      <c r="Z120" s="74"/>
    </row>
    <row r="121" ht="14.25" customHeight="1">
      <c r="A121" s="74"/>
      <c r="B121" s="465" t="s">
        <v>1470</v>
      </c>
      <c r="C121" s="247" t="s">
        <v>1471</v>
      </c>
      <c r="D121" s="247" t="s">
        <v>137</v>
      </c>
      <c r="E121" s="247">
        <v>34.72</v>
      </c>
      <c r="F121" s="247">
        <v>16.0</v>
      </c>
      <c r="G121" s="247" t="s">
        <v>1472</v>
      </c>
      <c r="H121" s="245"/>
      <c r="I121" s="247" t="s">
        <v>1473</v>
      </c>
      <c r="J121" s="247" t="s">
        <v>1474</v>
      </c>
      <c r="K121" s="247">
        <v>781.259044</v>
      </c>
      <c r="L121" s="258" t="str">
        <f t="shared" si="5"/>
        <v>#REF!</v>
      </c>
      <c r="M121" s="258" t="str">
        <f t="shared" si="6"/>
        <v>#REF!</v>
      </c>
      <c r="N121" s="457" t="s">
        <v>137</v>
      </c>
      <c r="O121" s="74"/>
      <c r="P121" s="74"/>
      <c r="Q121" s="74"/>
      <c r="R121" s="74"/>
      <c r="S121" s="74"/>
      <c r="T121" s="74"/>
      <c r="U121" s="74"/>
      <c r="V121" s="74"/>
      <c r="W121" s="74"/>
      <c r="X121" s="74"/>
      <c r="Y121" s="74"/>
      <c r="Z121" s="74"/>
    </row>
    <row r="122" ht="14.25" customHeight="1">
      <c r="A122" s="74"/>
      <c r="B122" s="245"/>
      <c r="C122" s="245"/>
      <c r="D122" s="245"/>
      <c r="E122" s="245"/>
      <c r="F122" s="245"/>
      <c r="G122" s="245"/>
      <c r="H122" s="245"/>
      <c r="I122" s="247" t="s">
        <v>1475</v>
      </c>
      <c r="J122" s="247" t="s">
        <v>1476</v>
      </c>
      <c r="K122" s="253">
        <v>0.04643440124616</v>
      </c>
      <c r="L122" s="260" t="str">
        <f t="shared" si="5"/>
        <v>#REF!</v>
      </c>
      <c r="M122" s="257" t="str">
        <f t="shared" si="6"/>
        <v>#REF!</v>
      </c>
      <c r="N122" s="457" t="s">
        <v>137</v>
      </c>
      <c r="O122" s="74"/>
      <c r="P122" s="74"/>
      <c r="Q122" s="74"/>
      <c r="R122" s="74"/>
      <c r="S122" s="74"/>
      <c r="T122" s="74"/>
      <c r="U122" s="74"/>
      <c r="V122" s="74"/>
      <c r="W122" s="74"/>
      <c r="X122" s="74"/>
      <c r="Y122" s="74"/>
      <c r="Z122" s="74"/>
    </row>
    <row r="123" ht="14.25" customHeight="1">
      <c r="A123" s="74"/>
      <c r="B123" s="245"/>
      <c r="C123" s="245"/>
      <c r="D123" s="245"/>
      <c r="E123" s="245"/>
      <c r="F123" s="245"/>
      <c r="G123" s="245"/>
      <c r="H123" s="245"/>
      <c r="I123" s="245"/>
      <c r="J123" s="245"/>
      <c r="K123" s="245"/>
      <c r="L123" s="245"/>
      <c r="M123" s="245"/>
      <c r="N123" s="453"/>
      <c r="O123" s="74"/>
      <c r="P123" s="74"/>
      <c r="Q123" s="74"/>
      <c r="R123" s="74"/>
      <c r="S123" s="74"/>
      <c r="T123" s="74"/>
      <c r="U123" s="74"/>
      <c r="V123" s="74"/>
      <c r="W123" s="74"/>
      <c r="X123" s="74"/>
      <c r="Y123" s="74"/>
      <c r="Z123" s="74"/>
    </row>
    <row r="124" ht="14.25" customHeight="1">
      <c r="A124" s="74"/>
      <c r="B124" s="245"/>
      <c r="C124" s="245"/>
      <c r="D124" s="245"/>
      <c r="E124" s="245"/>
      <c r="F124" s="245"/>
      <c r="G124" s="245"/>
      <c r="H124" s="245"/>
      <c r="I124" s="246" t="s">
        <v>12</v>
      </c>
      <c r="J124" s="245"/>
      <c r="K124" s="245"/>
      <c r="L124" s="245"/>
      <c r="M124" s="245"/>
      <c r="N124" s="453"/>
      <c r="O124" s="74"/>
      <c r="P124" s="74"/>
      <c r="Q124" s="74"/>
      <c r="R124" s="74"/>
      <c r="S124" s="74"/>
      <c r="T124" s="74"/>
      <c r="U124" s="74"/>
      <c r="V124" s="74"/>
      <c r="W124" s="74"/>
      <c r="X124" s="74"/>
      <c r="Y124" s="74"/>
      <c r="Z124" s="74"/>
    </row>
    <row r="125" ht="14.25" customHeight="1">
      <c r="A125" s="74"/>
      <c r="B125" s="454" t="s">
        <v>10</v>
      </c>
      <c r="C125" s="245"/>
      <c r="D125" s="245"/>
      <c r="E125" s="245"/>
      <c r="F125" s="245"/>
      <c r="G125" s="245"/>
      <c r="H125" s="245"/>
      <c r="I125" s="246" t="s">
        <v>301</v>
      </c>
      <c r="J125" s="246" t="s">
        <v>302</v>
      </c>
      <c r="K125" s="246" t="s">
        <v>303</v>
      </c>
      <c r="L125" s="246" t="s">
        <v>304</v>
      </c>
      <c r="M125" s="246" t="s">
        <v>305</v>
      </c>
      <c r="N125" s="455" t="s">
        <v>146</v>
      </c>
      <c r="O125" s="74"/>
      <c r="P125" s="74"/>
      <c r="Q125" s="74"/>
      <c r="R125" s="74"/>
      <c r="S125" s="74"/>
      <c r="T125" s="74"/>
      <c r="U125" s="74"/>
      <c r="V125" s="74"/>
      <c r="W125" s="74"/>
      <c r="X125" s="74"/>
      <c r="Y125" s="74"/>
      <c r="Z125" s="74"/>
    </row>
    <row r="126" ht="14.25" customHeight="1">
      <c r="A126" s="74"/>
      <c r="B126" s="454" t="s">
        <v>301</v>
      </c>
      <c r="C126" s="246" t="s">
        <v>302</v>
      </c>
      <c r="D126" s="246" t="s">
        <v>303</v>
      </c>
      <c r="E126" s="246" t="s">
        <v>304</v>
      </c>
      <c r="F126" s="246" t="s">
        <v>305</v>
      </c>
      <c r="G126" s="246" t="s">
        <v>146</v>
      </c>
      <c r="H126" s="245"/>
      <c r="I126" s="248" t="s">
        <v>1477</v>
      </c>
      <c r="J126" s="249" t="s">
        <v>1478</v>
      </c>
      <c r="K126" s="250">
        <v>48105.8988671664</v>
      </c>
      <c r="L126" s="250" t="str">
        <f t="shared" ref="L126:L142" si="8">K126*'[2]Inputs and assumptions'!$E$19/1000000</f>
        <v>#REF!</v>
      </c>
      <c r="M126" s="250">
        <v>6140.18068799999</v>
      </c>
      <c r="N126" s="457" t="s">
        <v>137</v>
      </c>
      <c r="O126" s="74"/>
      <c r="P126" s="74"/>
      <c r="Q126" s="74"/>
      <c r="R126" s="74"/>
      <c r="S126" s="74"/>
      <c r="T126" s="74"/>
      <c r="U126" s="74"/>
      <c r="V126" s="74"/>
      <c r="W126" s="74"/>
      <c r="X126" s="74"/>
      <c r="Y126" s="74"/>
      <c r="Z126" s="74"/>
    </row>
    <row r="127" ht="14.25" customHeight="1">
      <c r="A127" s="74"/>
      <c r="B127" s="465" t="s">
        <v>1479</v>
      </c>
      <c r="C127" s="247" t="s">
        <v>1480</v>
      </c>
      <c r="D127" s="247">
        <v>-17963.4074379408</v>
      </c>
      <c r="E127" s="247" t="str">
        <f t="shared" ref="E127:E134" si="9">D127*'[2]Inputs and assumptions'!$E$19/1000000</f>
        <v>#REF!</v>
      </c>
      <c r="F127" s="247">
        <v>-72.7976654399999</v>
      </c>
      <c r="G127" s="250" t="s">
        <v>137</v>
      </c>
      <c r="H127" s="245"/>
      <c r="I127" s="248" t="s">
        <v>1481</v>
      </c>
      <c r="J127" s="249" t="s">
        <v>1482</v>
      </c>
      <c r="K127" s="250">
        <v>4811.47598274336</v>
      </c>
      <c r="L127" s="250" t="str">
        <f t="shared" si="8"/>
        <v>#REF!</v>
      </c>
      <c r="M127" s="250">
        <v>614.131170399999</v>
      </c>
      <c r="N127" s="457" t="s">
        <v>137</v>
      </c>
      <c r="O127" s="74"/>
      <c r="P127" s="74"/>
      <c r="Q127" s="74"/>
      <c r="R127" s="74"/>
      <c r="S127" s="74"/>
      <c r="T127" s="74"/>
      <c r="U127" s="74"/>
      <c r="V127" s="74"/>
      <c r="W127" s="74"/>
      <c r="X127" s="74"/>
      <c r="Y127" s="74"/>
      <c r="Z127" s="74"/>
    </row>
    <row r="128" ht="14.25" customHeight="1">
      <c r="A128" s="74"/>
      <c r="B128" s="465" t="s">
        <v>1483</v>
      </c>
      <c r="C128" s="247" t="s">
        <v>1484</v>
      </c>
      <c r="D128" s="247">
        <v>-390382.104932784</v>
      </c>
      <c r="E128" s="247" t="str">
        <f t="shared" si="9"/>
        <v>#REF!</v>
      </c>
      <c r="F128" s="247">
        <v>-1582.044264</v>
      </c>
      <c r="G128" s="250" t="s">
        <v>137</v>
      </c>
      <c r="H128" s="245"/>
      <c r="I128" s="248" t="s">
        <v>1485</v>
      </c>
      <c r="J128" s="249" t="s">
        <v>1486</v>
      </c>
      <c r="K128" s="250">
        <v>207.190592171568</v>
      </c>
      <c r="L128" s="250" t="str">
        <f t="shared" si="8"/>
        <v>#REF!</v>
      </c>
      <c r="M128" s="250">
        <v>26.44556504</v>
      </c>
      <c r="N128" s="457" t="s">
        <v>137</v>
      </c>
      <c r="O128" s="74"/>
      <c r="P128" s="74"/>
      <c r="Q128" s="74"/>
      <c r="R128" s="74"/>
      <c r="S128" s="74"/>
      <c r="T128" s="74"/>
      <c r="U128" s="74"/>
      <c r="V128" s="74"/>
      <c r="W128" s="74"/>
      <c r="X128" s="74"/>
      <c r="Y128" s="74"/>
      <c r="Z128" s="74"/>
    </row>
    <row r="129" ht="14.25" customHeight="1">
      <c r="A129" s="74"/>
      <c r="B129" s="465" t="s">
        <v>1487</v>
      </c>
      <c r="C129" s="247" t="s">
        <v>1488</v>
      </c>
      <c r="D129" s="247">
        <v>67045.8234958704</v>
      </c>
      <c r="E129" s="247" t="str">
        <f t="shared" si="9"/>
        <v>#REF!</v>
      </c>
      <c r="F129" s="247">
        <v>271.7067704</v>
      </c>
      <c r="G129" s="250" t="s">
        <v>137</v>
      </c>
      <c r="H129" s="245"/>
      <c r="I129" s="248" t="s">
        <v>1489</v>
      </c>
      <c r="J129" s="249" t="s">
        <v>1490</v>
      </c>
      <c r="K129" s="250">
        <v>103.261551135062</v>
      </c>
      <c r="L129" s="250" t="str">
        <f t="shared" si="8"/>
        <v>#REF!</v>
      </c>
      <c r="M129" s="250">
        <v>13.18018368</v>
      </c>
      <c r="N129" s="457" t="s">
        <v>137</v>
      </c>
      <c r="O129" s="74"/>
      <c r="P129" s="74"/>
      <c r="Q129" s="74"/>
      <c r="R129" s="74"/>
      <c r="S129" s="74"/>
      <c r="T129" s="74"/>
      <c r="U129" s="74"/>
      <c r="V129" s="74"/>
      <c r="W129" s="74"/>
      <c r="X129" s="74"/>
      <c r="Y129" s="74"/>
      <c r="Z129" s="74"/>
    </row>
    <row r="130" ht="14.25" customHeight="1">
      <c r="A130" s="74"/>
      <c r="B130" s="465" t="s">
        <v>1491</v>
      </c>
      <c r="C130" s="247" t="s">
        <v>1492</v>
      </c>
      <c r="D130" s="247">
        <v>134356.038035889</v>
      </c>
      <c r="E130" s="247" t="str">
        <f t="shared" si="9"/>
        <v>#REF!</v>
      </c>
      <c r="F130" s="247">
        <v>544.484999199999</v>
      </c>
      <c r="G130" s="250" t="s">
        <v>137</v>
      </c>
      <c r="H130" s="245"/>
      <c r="I130" s="248" t="s">
        <v>1493</v>
      </c>
      <c r="J130" s="249" t="s">
        <v>1494</v>
      </c>
      <c r="K130" s="250">
        <v>219667.693608432</v>
      </c>
      <c r="L130" s="250" t="str">
        <f t="shared" si="8"/>
        <v>#REF!</v>
      </c>
      <c r="M130" s="250">
        <v>28038.12768</v>
      </c>
      <c r="N130" s="457" t="s">
        <v>137</v>
      </c>
      <c r="O130" s="74"/>
      <c r="P130" s="74"/>
      <c r="Q130" s="74"/>
      <c r="R130" s="74"/>
      <c r="S130" s="74"/>
      <c r="T130" s="74"/>
      <c r="U130" s="74"/>
      <c r="V130" s="74"/>
      <c r="W130" s="74"/>
      <c r="X130" s="74"/>
      <c r="Y130" s="74"/>
      <c r="Z130" s="74"/>
    </row>
    <row r="131" ht="14.25" customHeight="1">
      <c r="A131" s="74"/>
      <c r="B131" s="465" t="s">
        <v>1495</v>
      </c>
      <c r="C131" s="247" t="s">
        <v>1496</v>
      </c>
      <c r="D131" s="247">
        <v>14374.1074913856</v>
      </c>
      <c r="E131" s="247" t="str">
        <f t="shared" si="9"/>
        <v>#REF!</v>
      </c>
      <c r="F131" s="247">
        <v>58.25183608</v>
      </c>
      <c r="G131" s="250" t="s">
        <v>137</v>
      </c>
      <c r="H131" s="245"/>
      <c r="I131" s="248" t="s">
        <v>1491</v>
      </c>
      <c r="J131" s="249" t="s">
        <v>1492</v>
      </c>
      <c r="K131" s="250">
        <v>5630.07782083536</v>
      </c>
      <c r="L131" s="250" t="str">
        <f t="shared" si="8"/>
        <v>#REF!</v>
      </c>
      <c r="M131" s="250">
        <v>718.616551199999</v>
      </c>
      <c r="N131" s="457" t="s">
        <v>137</v>
      </c>
      <c r="O131" s="74"/>
      <c r="P131" s="74"/>
      <c r="Q131" s="74"/>
      <c r="R131" s="74"/>
      <c r="S131" s="74"/>
      <c r="T131" s="74"/>
      <c r="U131" s="74"/>
      <c r="V131" s="74"/>
      <c r="W131" s="74"/>
      <c r="X131" s="74"/>
      <c r="Y131" s="74"/>
      <c r="Z131" s="74"/>
    </row>
    <row r="132" ht="14.25" customHeight="1">
      <c r="A132" s="74"/>
      <c r="B132" s="465" t="s">
        <v>1497</v>
      </c>
      <c r="C132" s="247" t="s">
        <v>1498</v>
      </c>
      <c r="D132" s="247">
        <v>2478.4152893496</v>
      </c>
      <c r="E132" s="247" t="str">
        <f t="shared" si="9"/>
        <v>#REF!</v>
      </c>
      <c r="F132" s="247">
        <v>10.04390992</v>
      </c>
      <c r="G132" s="250" t="s">
        <v>137</v>
      </c>
      <c r="H132" s="245"/>
      <c r="I132" s="248" t="s">
        <v>1495</v>
      </c>
      <c r="J132" s="249" t="s">
        <v>1496</v>
      </c>
      <c r="K132" s="250">
        <v>17652.8995789104</v>
      </c>
      <c r="L132" s="250" t="str">
        <f t="shared" si="8"/>
        <v>#REF!</v>
      </c>
      <c r="M132" s="250">
        <v>2253.195464</v>
      </c>
      <c r="N132" s="457" t="s">
        <v>137</v>
      </c>
      <c r="O132" s="74"/>
      <c r="P132" s="74"/>
      <c r="Q132" s="74"/>
      <c r="R132" s="74"/>
      <c r="S132" s="74"/>
      <c r="T132" s="74"/>
      <c r="U132" s="74"/>
      <c r="V132" s="74"/>
      <c r="W132" s="74"/>
      <c r="X132" s="74"/>
      <c r="Y132" s="74"/>
      <c r="Z132" s="74"/>
    </row>
    <row r="133" ht="14.25" customHeight="1">
      <c r="A133" s="74"/>
      <c r="B133" s="465" t="s">
        <v>1499</v>
      </c>
      <c r="C133" s="247" t="s">
        <v>1490</v>
      </c>
      <c r="D133" s="247">
        <v>218.626557530688</v>
      </c>
      <c r="E133" s="247" t="str">
        <f t="shared" si="9"/>
        <v>#REF!</v>
      </c>
      <c r="F133" s="247">
        <v>0.885995767999999</v>
      </c>
      <c r="G133" s="250" t="s">
        <v>137</v>
      </c>
      <c r="H133" s="245"/>
      <c r="I133" s="248" t="s">
        <v>1497</v>
      </c>
      <c r="J133" s="249" t="s">
        <v>1498</v>
      </c>
      <c r="K133" s="250">
        <v>2698.21717475472</v>
      </c>
      <c r="L133" s="250" t="str">
        <f t="shared" si="8"/>
        <v>#REF!</v>
      </c>
      <c r="M133" s="250">
        <v>344.3972864</v>
      </c>
      <c r="N133" s="457" t="s">
        <v>137</v>
      </c>
      <c r="O133" s="74"/>
      <c r="P133" s="74"/>
      <c r="Q133" s="74"/>
      <c r="R133" s="74"/>
      <c r="S133" s="74"/>
      <c r="T133" s="74"/>
      <c r="U133" s="74"/>
      <c r="V133" s="74"/>
      <c r="W133" s="74"/>
      <c r="X133" s="74"/>
      <c r="Y133" s="74"/>
      <c r="Z133" s="74"/>
    </row>
    <row r="134" ht="14.25" customHeight="1">
      <c r="A134" s="74"/>
      <c r="B134" s="465" t="s">
        <v>1500</v>
      </c>
      <c r="C134" s="247" t="s">
        <v>1501</v>
      </c>
      <c r="D134" s="247">
        <v>682093.791605231</v>
      </c>
      <c r="E134" s="247" t="str">
        <f t="shared" si="9"/>
        <v>#REF!</v>
      </c>
      <c r="F134" s="247">
        <v>2764.221416</v>
      </c>
      <c r="G134" s="250" t="s">
        <v>137</v>
      </c>
      <c r="H134" s="245"/>
      <c r="I134" s="248" t="s">
        <v>1502</v>
      </c>
      <c r="J134" s="249" t="s">
        <v>1503</v>
      </c>
      <c r="K134" s="250">
        <v>531555.180443423</v>
      </c>
      <c r="L134" s="250" t="str">
        <f t="shared" si="8"/>
        <v>#REF!</v>
      </c>
      <c r="M134" s="250">
        <v>67847.0818399999</v>
      </c>
      <c r="N134" s="457" t="s">
        <v>137</v>
      </c>
      <c r="O134" s="74"/>
      <c r="P134" s="74"/>
      <c r="Q134" s="74"/>
      <c r="R134" s="74"/>
      <c r="S134" s="74"/>
      <c r="T134" s="74"/>
      <c r="U134" s="74"/>
      <c r="V134" s="74"/>
      <c r="W134" s="74"/>
      <c r="X134" s="74"/>
      <c r="Y134" s="74"/>
      <c r="Z134" s="74"/>
    </row>
    <row r="135" ht="14.25" customHeight="1">
      <c r="A135" s="74"/>
      <c r="B135" s="245"/>
      <c r="C135" s="245"/>
      <c r="D135" s="245"/>
      <c r="E135" s="245"/>
      <c r="F135" s="245"/>
      <c r="G135" s="245"/>
      <c r="H135" s="245"/>
      <c r="I135" s="248" t="s">
        <v>1504</v>
      </c>
      <c r="J135" s="249" t="s">
        <v>1505</v>
      </c>
      <c r="K135" s="250">
        <v>490956.683852448</v>
      </c>
      <c r="L135" s="250" t="str">
        <f t="shared" si="8"/>
        <v>#REF!</v>
      </c>
      <c r="M135" s="250">
        <v>62665.1371999999</v>
      </c>
      <c r="N135" s="457" t="s">
        <v>137</v>
      </c>
      <c r="O135" s="74"/>
      <c r="P135" s="74"/>
      <c r="Q135" s="74"/>
      <c r="R135" s="74"/>
      <c r="S135" s="74"/>
      <c r="T135" s="74"/>
      <c r="U135" s="74"/>
      <c r="V135" s="74"/>
      <c r="W135" s="74"/>
      <c r="X135" s="74"/>
      <c r="Y135" s="74"/>
      <c r="Z135" s="74"/>
    </row>
    <row r="136" ht="14.25" customHeight="1">
      <c r="A136" s="74"/>
      <c r="B136" s="454" t="s">
        <v>11</v>
      </c>
      <c r="C136" s="245"/>
      <c r="D136" s="245"/>
      <c r="E136" s="245"/>
      <c r="F136" s="245"/>
      <c r="G136" s="245"/>
      <c r="H136" s="245"/>
      <c r="I136" s="248" t="s">
        <v>1500</v>
      </c>
      <c r="J136" s="249" t="s">
        <v>1501</v>
      </c>
      <c r="K136" s="250">
        <v>159292.956241728</v>
      </c>
      <c r="L136" s="250" t="str">
        <f t="shared" si="8"/>
        <v>#REF!</v>
      </c>
      <c r="M136" s="250">
        <v>20331.9668</v>
      </c>
      <c r="N136" s="457" t="s">
        <v>137</v>
      </c>
      <c r="O136" s="74"/>
      <c r="P136" s="74"/>
      <c r="Q136" s="74"/>
      <c r="R136" s="74"/>
      <c r="S136" s="74"/>
      <c r="T136" s="74"/>
      <c r="U136" s="74"/>
      <c r="V136" s="74"/>
      <c r="W136" s="74"/>
      <c r="X136" s="74"/>
      <c r="Y136" s="74"/>
      <c r="Z136" s="74"/>
    </row>
    <row r="137" ht="14.25" customHeight="1">
      <c r="A137" s="74"/>
      <c r="B137" s="454" t="s">
        <v>301</v>
      </c>
      <c r="C137" s="246" t="s">
        <v>302</v>
      </c>
      <c r="D137" s="246" t="s">
        <v>303</v>
      </c>
      <c r="E137" s="246" t="s">
        <v>304</v>
      </c>
      <c r="F137" s="246" t="s">
        <v>305</v>
      </c>
      <c r="G137" s="246" t="s">
        <v>146</v>
      </c>
      <c r="H137" s="245"/>
      <c r="I137" s="248" t="s">
        <v>1466</v>
      </c>
      <c r="J137" s="249" t="s">
        <v>1467</v>
      </c>
      <c r="K137" s="250">
        <v>40539.836759688</v>
      </c>
      <c r="L137" s="250" t="str">
        <f t="shared" si="8"/>
        <v>#REF!</v>
      </c>
      <c r="M137" s="250">
        <v>5174.457368</v>
      </c>
      <c r="N137" s="457" t="s">
        <v>137</v>
      </c>
      <c r="O137" s="74"/>
      <c r="P137" s="74"/>
      <c r="Q137" s="74"/>
      <c r="R137" s="74"/>
      <c r="S137" s="74"/>
      <c r="T137" s="74"/>
      <c r="U137" s="74"/>
      <c r="V137" s="74"/>
      <c r="W137" s="74"/>
      <c r="X137" s="74"/>
      <c r="Y137" s="74"/>
      <c r="Z137" s="74"/>
    </row>
    <row r="138" ht="14.25" customHeight="1">
      <c r="A138" s="74"/>
      <c r="B138" s="465" t="s">
        <v>1506</v>
      </c>
      <c r="C138" s="247" t="s">
        <v>1507</v>
      </c>
      <c r="D138" s="247">
        <v>-263278.877501808</v>
      </c>
      <c r="E138" s="247" t="str">
        <f t="shared" ref="E138:E139" si="10">D138*'[2]Inputs and assumptions'!$E$19/10^6</f>
        <v>#REF!</v>
      </c>
      <c r="F138" s="247">
        <v>-1036.56256</v>
      </c>
      <c r="G138" s="247" t="s">
        <v>137</v>
      </c>
      <c r="H138" s="245"/>
      <c r="I138" s="248" t="s">
        <v>1464</v>
      </c>
      <c r="J138" s="249" t="s">
        <v>1465</v>
      </c>
      <c r="K138" s="250">
        <v>8447.08050206351</v>
      </c>
      <c r="L138" s="250" t="str">
        <f t="shared" si="8"/>
        <v>#REF!</v>
      </c>
      <c r="M138" s="250">
        <v>1078.17548</v>
      </c>
      <c r="N138" s="457" t="s">
        <v>137</v>
      </c>
      <c r="O138" s="74"/>
      <c r="P138" s="74"/>
      <c r="Q138" s="74"/>
      <c r="R138" s="74"/>
      <c r="S138" s="74"/>
      <c r="T138" s="74"/>
      <c r="U138" s="74"/>
      <c r="V138" s="74"/>
      <c r="W138" s="74"/>
      <c r="X138" s="74"/>
      <c r="Y138" s="74"/>
      <c r="Z138" s="74"/>
    </row>
    <row r="139" ht="63.0" customHeight="1">
      <c r="A139" s="74"/>
      <c r="B139" s="465" t="s">
        <v>1508</v>
      </c>
      <c r="C139" s="247" t="s">
        <v>1509</v>
      </c>
      <c r="D139" s="247">
        <v>346740.536426976</v>
      </c>
      <c r="E139" s="247" t="str">
        <f t="shared" si="10"/>
        <v>#REF!</v>
      </c>
      <c r="F139" s="247">
        <v>1365.161768</v>
      </c>
      <c r="G139" s="247" t="s">
        <v>137</v>
      </c>
      <c r="H139" s="245"/>
      <c r="I139" s="248" t="s">
        <v>1468</v>
      </c>
      <c r="J139" s="249" t="s">
        <v>1469</v>
      </c>
      <c r="K139" s="250">
        <v>5283.37255702608</v>
      </c>
      <c r="L139" s="250" t="str">
        <f t="shared" si="8"/>
        <v>#REF!</v>
      </c>
      <c r="M139" s="250">
        <v>674.363496799999</v>
      </c>
      <c r="N139" s="457" t="s">
        <v>137</v>
      </c>
      <c r="O139" s="74"/>
      <c r="P139" s="74"/>
      <c r="Q139" s="74"/>
      <c r="R139" s="74"/>
      <c r="S139" s="74"/>
      <c r="T139" s="74"/>
      <c r="U139" s="74"/>
      <c r="V139" s="74"/>
      <c r="W139" s="74"/>
      <c r="X139" s="74"/>
      <c r="Y139" s="74"/>
      <c r="Z139" s="74"/>
    </row>
    <row r="140" ht="49.5" customHeight="1">
      <c r="A140" s="74"/>
      <c r="B140" s="245"/>
      <c r="C140" s="245"/>
      <c r="D140" s="245"/>
      <c r="E140" s="245"/>
      <c r="F140" s="245"/>
      <c r="G140" s="245"/>
      <c r="H140" s="245"/>
      <c r="I140" s="248" t="s">
        <v>1473</v>
      </c>
      <c r="J140" s="249" t="s">
        <v>1474</v>
      </c>
      <c r="K140" s="250">
        <v>1932.23286695088</v>
      </c>
      <c r="L140" s="250" t="str">
        <f t="shared" si="8"/>
        <v>#REF!</v>
      </c>
      <c r="M140" s="250">
        <v>246.627944</v>
      </c>
      <c r="N140" s="457" t="s">
        <v>137</v>
      </c>
      <c r="O140" s="74"/>
      <c r="P140" s="74"/>
      <c r="Q140" s="74"/>
      <c r="R140" s="74"/>
      <c r="S140" s="74"/>
      <c r="T140" s="74"/>
      <c r="U140" s="74"/>
      <c r="V140" s="74"/>
      <c r="W140" s="74"/>
      <c r="X140" s="74"/>
      <c r="Y140" s="74"/>
      <c r="Z140" s="74"/>
    </row>
    <row r="141" ht="34.5" customHeight="1">
      <c r="A141" s="74"/>
      <c r="B141" s="552" t="s">
        <v>1510</v>
      </c>
      <c r="C141" s="553"/>
      <c r="D141" s="553"/>
      <c r="E141" s="553"/>
      <c r="F141" s="553"/>
      <c r="G141" s="553"/>
      <c r="H141" s="245"/>
      <c r="I141" s="248" t="s">
        <v>1511</v>
      </c>
      <c r="J141" s="249" t="s">
        <v>1512</v>
      </c>
      <c r="K141" s="250">
        <v>58.695371442216</v>
      </c>
      <c r="L141" s="252" t="str">
        <f t="shared" si="8"/>
        <v>#REF!</v>
      </c>
      <c r="M141" s="250">
        <v>7.49180859999999</v>
      </c>
      <c r="N141" s="457" t="s">
        <v>137</v>
      </c>
      <c r="O141" s="74"/>
      <c r="P141" s="74"/>
      <c r="Q141" s="74"/>
      <c r="R141" s="74"/>
      <c r="S141" s="74"/>
      <c r="T141" s="74"/>
      <c r="U141" s="74"/>
      <c r="V141" s="74"/>
      <c r="W141" s="74"/>
      <c r="X141" s="74"/>
      <c r="Y141" s="74"/>
      <c r="Z141" s="74"/>
    </row>
    <row r="142" ht="34.5" customHeight="1">
      <c r="A142" s="74"/>
      <c r="B142" s="454" t="s">
        <v>301</v>
      </c>
      <c r="C142" s="554" t="s">
        <v>302</v>
      </c>
      <c r="D142" s="554" t="s">
        <v>303</v>
      </c>
      <c r="E142" s="554" t="s">
        <v>304</v>
      </c>
      <c r="F142" s="554" t="s">
        <v>305</v>
      </c>
      <c r="G142" s="554" t="s">
        <v>146</v>
      </c>
      <c r="H142" s="245"/>
      <c r="I142" s="248" t="s">
        <v>1499</v>
      </c>
      <c r="J142" s="249" t="s">
        <v>1490</v>
      </c>
      <c r="K142" s="250">
        <v>243.72556624152</v>
      </c>
      <c r="L142" s="250" t="str">
        <f t="shared" si="8"/>
        <v>#REF!</v>
      </c>
      <c r="M142" s="250">
        <v>31.10884632</v>
      </c>
      <c r="N142" s="457" t="s">
        <v>137</v>
      </c>
      <c r="O142" s="74"/>
      <c r="P142" s="74"/>
      <c r="Q142" s="74"/>
      <c r="R142" s="74"/>
      <c r="S142" s="74"/>
      <c r="T142" s="74"/>
      <c r="U142" s="74"/>
      <c r="V142" s="74"/>
      <c r="W142" s="74"/>
      <c r="X142" s="74"/>
      <c r="Y142" s="74"/>
      <c r="Z142" s="74"/>
    </row>
    <row r="143" ht="14.25" customHeight="1">
      <c r="A143" s="74"/>
      <c r="B143" s="465" t="s">
        <v>137</v>
      </c>
      <c r="C143" s="247" t="s">
        <v>137</v>
      </c>
      <c r="D143" s="247">
        <v>0.0</v>
      </c>
      <c r="E143" s="247" t="str">
        <f>D143*'[2]Inputs and assumptions'!$E$19/10^6</f>
        <v>#REF!</v>
      </c>
      <c r="F143" s="247">
        <v>0.0</v>
      </c>
      <c r="G143" s="247" t="s">
        <v>137</v>
      </c>
      <c r="H143" s="245"/>
      <c r="I143" s="245"/>
      <c r="J143" s="245"/>
      <c r="K143" s="245"/>
      <c r="L143" s="245"/>
      <c r="M143" s="245"/>
      <c r="N143" s="453"/>
      <c r="O143" s="74"/>
      <c r="P143" s="74"/>
      <c r="Q143" s="74"/>
      <c r="R143" s="74"/>
      <c r="S143" s="74"/>
      <c r="T143" s="74"/>
      <c r="U143" s="74"/>
      <c r="V143" s="74"/>
      <c r="W143" s="74"/>
      <c r="X143" s="74"/>
      <c r="Y143" s="74"/>
      <c r="Z143" s="74"/>
    </row>
    <row r="144" ht="30.0" customHeight="1">
      <c r="A144" s="74"/>
      <c r="B144" s="459"/>
      <c r="C144" s="245"/>
      <c r="D144" s="245"/>
      <c r="E144" s="245"/>
      <c r="F144" s="245"/>
      <c r="G144" s="245"/>
      <c r="H144" s="245"/>
      <c r="I144" s="246" t="s">
        <v>688</v>
      </c>
      <c r="J144" s="245"/>
      <c r="K144" s="245"/>
      <c r="L144" s="245"/>
      <c r="M144" s="245"/>
      <c r="N144" s="453"/>
      <c r="O144" s="74"/>
      <c r="P144" s="74"/>
      <c r="Q144" s="74"/>
      <c r="R144" s="74"/>
      <c r="S144" s="74"/>
      <c r="T144" s="74"/>
      <c r="U144" s="74"/>
      <c r="V144" s="74"/>
      <c r="W144" s="74"/>
      <c r="X144" s="74"/>
      <c r="Y144" s="74"/>
      <c r="Z144" s="74"/>
    </row>
    <row r="145" ht="14.25" customHeight="1">
      <c r="A145" s="74"/>
      <c r="B145" s="454" t="s">
        <v>675</v>
      </c>
      <c r="C145" s="245"/>
      <c r="D145" s="245"/>
      <c r="E145" s="245"/>
      <c r="F145" s="245"/>
      <c r="G145" s="245"/>
      <c r="H145" s="245"/>
      <c r="I145" s="246" t="s">
        <v>301</v>
      </c>
      <c r="J145" s="246" t="s">
        <v>302</v>
      </c>
      <c r="K145" s="246" t="s">
        <v>303</v>
      </c>
      <c r="L145" s="246" t="s">
        <v>304</v>
      </c>
      <c r="M145" s="246" t="s">
        <v>305</v>
      </c>
      <c r="N145" s="455" t="s">
        <v>146</v>
      </c>
      <c r="O145" s="74"/>
      <c r="P145" s="74"/>
      <c r="Q145" s="74"/>
      <c r="R145" s="74"/>
      <c r="S145" s="74"/>
      <c r="T145" s="74"/>
      <c r="U145" s="74"/>
      <c r="V145" s="74"/>
      <c r="W145" s="74"/>
      <c r="X145" s="74"/>
      <c r="Y145" s="74"/>
      <c r="Z145" s="74"/>
    </row>
    <row r="146" ht="14.25" customHeight="1">
      <c r="A146" s="74"/>
      <c r="B146" s="454" t="s">
        <v>301</v>
      </c>
      <c r="C146" s="246" t="s">
        <v>302</v>
      </c>
      <c r="D146" s="246" t="s">
        <v>303</v>
      </c>
      <c r="E146" s="246" t="s">
        <v>304</v>
      </c>
      <c r="F146" s="246" t="s">
        <v>305</v>
      </c>
      <c r="G146" s="246" t="s">
        <v>146</v>
      </c>
      <c r="H146" s="245"/>
      <c r="I146" s="247" t="s">
        <v>1470</v>
      </c>
      <c r="J146" s="247" t="s">
        <v>1471</v>
      </c>
      <c r="K146" s="247">
        <v>49150.6793198496</v>
      </c>
      <c r="L146" s="247" t="str">
        <f t="shared" ref="L146:L147" si="11">K146*'[2]Inputs and assumptions'!$E$19/1000000</f>
        <v>#REF!</v>
      </c>
      <c r="M146" s="247">
        <v>806.291863999999</v>
      </c>
      <c r="N146" s="457" t="s">
        <v>137</v>
      </c>
      <c r="O146" s="74"/>
      <c r="P146" s="74"/>
      <c r="Q146" s="74"/>
      <c r="R146" s="74"/>
      <c r="S146" s="74"/>
      <c r="T146" s="74"/>
      <c r="U146" s="74"/>
      <c r="V146" s="74"/>
      <c r="W146" s="74"/>
      <c r="X146" s="74"/>
      <c r="Y146" s="74"/>
      <c r="Z146" s="74"/>
    </row>
    <row r="147" ht="14.25" customHeight="1">
      <c r="A147" s="74"/>
      <c r="B147" s="471" t="s">
        <v>137</v>
      </c>
      <c r="C147" s="472" t="s">
        <v>137</v>
      </c>
      <c r="D147" s="472" t="s">
        <v>137</v>
      </c>
      <c r="E147" s="472" t="s">
        <v>137</v>
      </c>
      <c r="F147" s="472" t="s">
        <v>137</v>
      </c>
      <c r="G147" s="472" t="s">
        <v>137</v>
      </c>
      <c r="H147" s="473"/>
      <c r="I147" s="472" t="s">
        <v>137</v>
      </c>
      <c r="J147" s="472" t="s">
        <v>137</v>
      </c>
      <c r="K147" s="472">
        <v>0.0</v>
      </c>
      <c r="L147" s="472" t="str">
        <f t="shared" si="11"/>
        <v>#REF!</v>
      </c>
      <c r="M147" s="472" t="s">
        <v>137</v>
      </c>
      <c r="N147" s="477" t="s">
        <v>137</v>
      </c>
      <c r="O147" s="74"/>
      <c r="P147" s="74"/>
      <c r="Q147" s="74"/>
      <c r="R147" s="74"/>
      <c r="S147" s="74"/>
      <c r="T147" s="74"/>
      <c r="U147" s="74"/>
      <c r="V147" s="74"/>
      <c r="W147" s="74"/>
      <c r="X147" s="74"/>
      <c r="Y147" s="74"/>
      <c r="Z147" s="74"/>
    </row>
    <row r="148" ht="14.25" customHeight="1">
      <c r="A148" s="74"/>
      <c r="B148" s="200"/>
      <c r="C148" s="504"/>
      <c r="D148" s="76"/>
      <c r="E148" s="77"/>
      <c r="F148" s="74"/>
      <c r="G148" s="74"/>
      <c r="H148" s="74"/>
      <c r="I148" s="74"/>
      <c r="J148" s="74"/>
      <c r="K148" s="74"/>
      <c r="L148" s="74"/>
      <c r="M148" s="74"/>
      <c r="N148" s="74"/>
      <c r="O148" s="74"/>
      <c r="P148" s="74"/>
      <c r="Q148" s="74"/>
      <c r="R148" s="74"/>
      <c r="S148" s="74"/>
      <c r="T148" s="74"/>
      <c r="U148" s="74"/>
      <c r="V148" s="74"/>
      <c r="W148" s="74"/>
      <c r="X148" s="74"/>
      <c r="Y148" s="74"/>
      <c r="Z148" s="74"/>
    </row>
    <row r="149" ht="14.25" customHeight="1">
      <c r="A149" s="74"/>
      <c r="B149" s="200"/>
      <c r="C149" s="504"/>
      <c r="D149" s="76"/>
      <c r="E149" s="77"/>
      <c r="F149" s="74"/>
      <c r="G149" s="74"/>
      <c r="H149" s="74"/>
      <c r="I149" s="74"/>
      <c r="J149" s="74"/>
      <c r="K149" s="74"/>
      <c r="L149" s="74"/>
      <c r="M149" s="74"/>
      <c r="N149" s="74"/>
      <c r="O149" s="74"/>
      <c r="P149" s="74"/>
      <c r="Q149" s="74"/>
      <c r="R149" s="74"/>
      <c r="S149" s="74"/>
      <c r="T149" s="74"/>
      <c r="U149" s="74"/>
      <c r="V149" s="74"/>
      <c r="W149" s="74"/>
      <c r="X149" s="74"/>
      <c r="Y149" s="74"/>
      <c r="Z149" s="74"/>
    </row>
    <row r="150" ht="14.25" customHeight="1">
      <c r="A150" s="74"/>
      <c r="B150" s="200"/>
      <c r="C150" s="504"/>
      <c r="D150" s="76"/>
      <c r="E150" s="77"/>
      <c r="F150" s="74"/>
      <c r="G150" s="74"/>
      <c r="H150" s="74"/>
      <c r="I150" s="74"/>
      <c r="J150" s="74"/>
      <c r="K150" s="74"/>
      <c r="L150" s="74"/>
      <c r="M150" s="74"/>
      <c r="N150" s="74"/>
      <c r="O150" s="74"/>
      <c r="P150" s="74"/>
      <c r="Q150" s="74"/>
      <c r="R150" s="74"/>
      <c r="S150" s="74"/>
      <c r="T150" s="74"/>
      <c r="U150" s="74"/>
      <c r="V150" s="74"/>
      <c r="W150" s="74"/>
      <c r="X150" s="74"/>
      <c r="Y150" s="74"/>
      <c r="Z150" s="74"/>
    </row>
    <row r="151" ht="14.25" customHeight="1">
      <c r="A151" s="74"/>
      <c r="B151" s="200"/>
      <c r="C151" s="504"/>
      <c r="D151" s="76"/>
      <c r="E151" s="77"/>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200"/>
      <c r="C152" s="504"/>
      <c r="D152" s="76"/>
      <c r="E152" s="77"/>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200"/>
      <c r="C153" s="504"/>
      <c r="D153" s="76"/>
      <c r="E153" s="77"/>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110" t="s">
        <v>163</v>
      </c>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188" t="s">
        <v>1513</v>
      </c>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188" t="s">
        <v>165</v>
      </c>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188" t="s">
        <v>166</v>
      </c>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267" t="s">
        <v>167</v>
      </c>
      <c r="C166" s="376" t="s">
        <v>168</v>
      </c>
      <c r="D166" s="377"/>
      <c r="E166" s="32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378" t="s">
        <v>169</v>
      </c>
      <c r="C167" s="555" t="s">
        <v>1514</v>
      </c>
      <c r="D167" s="377"/>
      <c r="E167" s="32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380" t="s">
        <v>171</v>
      </c>
      <c r="C168" s="556" t="s">
        <v>1515</v>
      </c>
      <c r="D168" s="76"/>
      <c r="E168" s="382"/>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380" t="s">
        <v>173</v>
      </c>
      <c r="C169" s="556" t="s">
        <v>1516</v>
      </c>
      <c r="D169" s="76"/>
      <c r="E169" s="382"/>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380" t="s">
        <v>175</v>
      </c>
      <c r="C170" s="556" t="s">
        <v>1517</v>
      </c>
      <c r="D170" s="76"/>
      <c r="E170" s="382"/>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383" t="s">
        <v>177</v>
      </c>
      <c r="C171" s="557" t="s">
        <v>1518</v>
      </c>
      <c r="D171" s="385"/>
      <c r="E171" s="386"/>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387"/>
      <c r="C172" s="504"/>
      <c r="D172" s="76"/>
      <c r="E172" s="77"/>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23">
    <mergeCell ref="B3:O3"/>
    <mergeCell ref="B4:O4"/>
    <mergeCell ref="B6:C6"/>
    <mergeCell ref="E6:O7"/>
    <mergeCell ref="B7:C7"/>
    <mergeCell ref="B10:O14"/>
    <mergeCell ref="B19:O23"/>
    <mergeCell ref="C79:D79"/>
    <mergeCell ref="B108:N108"/>
    <mergeCell ref="B109:C109"/>
    <mergeCell ref="C148:E148"/>
    <mergeCell ref="C149:E149"/>
    <mergeCell ref="C150:E150"/>
    <mergeCell ref="C151:E151"/>
    <mergeCell ref="C171:E171"/>
    <mergeCell ref="C172:E172"/>
    <mergeCell ref="C152:E152"/>
    <mergeCell ref="C153:E153"/>
    <mergeCell ref="C166:E166"/>
    <mergeCell ref="C167:E167"/>
    <mergeCell ref="C168:E168"/>
    <mergeCell ref="C169:E169"/>
    <mergeCell ref="C170:E170"/>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16" width="25.14"/>
    <col customWidth="1" min="17"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1519</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79" t="s">
        <v>85</v>
      </c>
      <c r="C6" s="80"/>
      <c r="D6" s="81" t="s">
        <v>1520</v>
      </c>
      <c r="E6" s="82"/>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t="s">
        <v>88</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21.0"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18.5" customHeight="1">
      <c r="A10" s="74"/>
      <c r="B10" s="97" t="s">
        <v>1521</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248.25"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97" t="s">
        <v>1522</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59.25"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74"/>
      <c r="L36" s="100" t="s">
        <v>93</v>
      </c>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74"/>
      <c r="L37" s="101" t="s">
        <v>94</v>
      </c>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74"/>
      <c r="L38" s="101" t="s">
        <v>95</v>
      </c>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74"/>
      <c r="L39" s="101" t="s">
        <v>96</v>
      </c>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t="s">
        <v>1523</v>
      </c>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110" t="s">
        <v>98</v>
      </c>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111"/>
      <c r="D61" s="111"/>
      <c r="E61" s="112"/>
      <c r="F61" s="91"/>
      <c r="G61" s="113"/>
      <c r="H61" s="74"/>
      <c r="I61" s="74"/>
      <c r="J61" s="74"/>
      <c r="K61" s="74"/>
      <c r="L61" s="74"/>
      <c r="M61" s="74"/>
      <c r="N61" s="74"/>
      <c r="O61" s="109"/>
      <c r="P61" s="74"/>
      <c r="Q61" s="74"/>
      <c r="R61" s="74"/>
      <c r="S61" s="74"/>
      <c r="T61" s="74"/>
      <c r="U61" s="74"/>
      <c r="V61" s="74"/>
      <c r="W61" s="74"/>
      <c r="X61" s="74"/>
      <c r="Y61" s="74"/>
      <c r="Z61" s="74"/>
    </row>
    <row r="62" ht="14.25" customHeight="1">
      <c r="A62" s="74"/>
      <c r="B62" s="114" t="s">
        <v>99</v>
      </c>
      <c r="C62" s="203"/>
      <c r="D62" s="80"/>
      <c r="E62" s="74"/>
      <c r="F62" s="74"/>
      <c r="G62" s="74"/>
      <c r="H62" s="118" t="s">
        <v>100</v>
      </c>
      <c r="I62" s="558"/>
      <c r="J62" s="559"/>
      <c r="K62" s="74"/>
      <c r="L62" s="74"/>
      <c r="M62" s="74"/>
      <c r="N62" s="118" t="s">
        <v>101</v>
      </c>
      <c r="O62" s="118"/>
      <c r="P62" s="74"/>
      <c r="Q62" s="74"/>
      <c r="R62" s="74"/>
      <c r="S62" s="74"/>
      <c r="T62" s="74"/>
      <c r="U62" s="74"/>
      <c r="V62" s="74"/>
      <c r="W62" s="74"/>
      <c r="X62" s="74"/>
      <c r="Y62" s="74"/>
      <c r="Z62" s="74"/>
    </row>
    <row r="63" ht="14.25" customHeight="1">
      <c r="A63" s="74"/>
      <c r="B63" s="121" t="s">
        <v>102</v>
      </c>
      <c r="C63" s="121" t="s">
        <v>103</v>
      </c>
      <c r="D63" s="121" t="s">
        <v>104</v>
      </c>
      <c r="E63" s="283" t="s">
        <v>1371</v>
      </c>
      <c r="F63" s="283" t="s">
        <v>241</v>
      </c>
      <c r="G63" s="74"/>
      <c r="H63" s="121" t="s">
        <v>102</v>
      </c>
      <c r="I63" s="121" t="s">
        <v>103</v>
      </c>
      <c r="J63" s="121" t="s">
        <v>104</v>
      </c>
      <c r="K63" s="283" t="s">
        <v>1371</v>
      </c>
      <c r="L63" s="283" t="s">
        <v>241</v>
      </c>
      <c r="M63" s="74"/>
      <c r="N63" s="118" t="s">
        <v>105</v>
      </c>
      <c r="O63" s="122"/>
      <c r="P63" s="74"/>
      <c r="Q63" s="74"/>
      <c r="R63" s="74"/>
      <c r="S63" s="74"/>
      <c r="T63" s="74"/>
      <c r="U63" s="74"/>
      <c r="V63" s="74"/>
      <c r="W63" s="74"/>
      <c r="X63" s="74"/>
      <c r="Y63" s="74"/>
      <c r="Z63" s="74"/>
    </row>
    <row r="64" ht="14.25" customHeight="1">
      <c r="A64" s="74"/>
      <c r="B64" s="154" t="s">
        <v>1524</v>
      </c>
      <c r="C64" s="151" t="s">
        <v>1525</v>
      </c>
      <c r="D64" s="151">
        <v>380.0</v>
      </c>
      <c r="E64" s="247">
        <v>25.0</v>
      </c>
      <c r="F64" s="285">
        <v>1.02</v>
      </c>
      <c r="G64" s="74"/>
      <c r="H64" s="154" t="s">
        <v>1526</v>
      </c>
      <c r="I64" s="151" t="s">
        <v>1527</v>
      </c>
      <c r="J64" s="151">
        <v>373.993</v>
      </c>
      <c r="K64" s="247">
        <v>30.0</v>
      </c>
      <c r="L64" s="285">
        <v>1.02</v>
      </c>
      <c r="M64" s="74"/>
      <c r="N64" s="110" t="s">
        <v>110</v>
      </c>
      <c r="O64" s="125">
        <f>SUM(D64:D68)</f>
        <v>1307.6736</v>
      </c>
      <c r="P64" s="74"/>
      <c r="Q64" s="74"/>
      <c r="R64" s="74"/>
      <c r="S64" s="74"/>
      <c r="T64" s="74"/>
      <c r="U64" s="74"/>
      <c r="V64" s="74"/>
      <c r="W64" s="74"/>
      <c r="X64" s="74"/>
      <c r="Y64" s="74"/>
      <c r="Z64" s="74"/>
    </row>
    <row r="65" ht="14.25" customHeight="1">
      <c r="A65" s="74"/>
      <c r="B65" s="154" t="s">
        <v>1528</v>
      </c>
      <c r="C65" s="151" t="s">
        <v>1529</v>
      </c>
      <c r="D65" s="151">
        <v>44.8796</v>
      </c>
      <c r="E65" s="247">
        <v>25.0</v>
      </c>
      <c r="F65" s="285">
        <v>1.02</v>
      </c>
      <c r="G65" s="74"/>
      <c r="H65" s="154" t="s">
        <v>1530</v>
      </c>
      <c r="I65" s="151" t="s">
        <v>1531</v>
      </c>
      <c r="J65" s="151">
        <v>46.2257</v>
      </c>
      <c r="K65" s="247">
        <v>30.0</v>
      </c>
      <c r="L65" s="285">
        <v>1.02</v>
      </c>
      <c r="M65" s="74"/>
      <c r="N65" s="110" t="s">
        <v>114</v>
      </c>
      <c r="O65" s="125">
        <f>J64+J65</f>
        <v>420.2187</v>
      </c>
      <c r="P65" s="74"/>
      <c r="Q65" s="74"/>
      <c r="R65" s="74"/>
      <c r="S65" s="74"/>
      <c r="T65" s="74"/>
      <c r="U65" s="74"/>
      <c r="V65" s="74"/>
      <c r="W65" s="74"/>
      <c r="X65" s="74"/>
      <c r="Y65" s="74"/>
      <c r="Z65" s="74"/>
    </row>
    <row r="66" ht="15.0" customHeight="1">
      <c r="A66" s="74"/>
      <c r="B66" s="154" t="s">
        <v>1532</v>
      </c>
      <c r="C66" s="154" t="s">
        <v>1533</v>
      </c>
      <c r="D66" s="154">
        <v>6.0</v>
      </c>
      <c r="E66" s="285">
        <v>25.0</v>
      </c>
      <c r="F66" s="285">
        <v>1.02</v>
      </c>
      <c r="G66" s="74"/>
      <c r="H66" s="560" t="s">
        <v>1534</v>
      </c>
      <c r="I66" s="377"/>
      <c r="J66" s="561"/>
      <c r="K66" s="74"/>
      <c r="L66" s="74"/>
      <c r="M66" s="74"/>
      <c r="N66" s="110" t="s">
        <v>117</v>
      </c>
      <c r="O66" s="125">
        <f>SUM(J70:J76)</f>
        <v>887.4566</v>
      </c>
      <c r="P66" s="74"/>
      <c r="Q66" s="74"/>
      <c r="R66" s="74"/>
      <c r="S66" s="74"/>
      <c r="T66" s="74"/>
      <c r="U66" s="74"/>
      <c r="V66" s="74"/>
      <c r="W66" s="74"/>
      <c r="X66" s="74"/>
      <c r="Y66" s="74"/>
      <c r="Z66" s="74"/>
    </row>
    <row r="67" ht="14.25" customHeight="1">
      <c r="A67" s="74"/>
      <c r="B67" s="154" t="s">
        <v>1535</v>
      </c>
      <c r="C67" s="154" t="s">
        <v>1536</v>
      </c>
      <c r="D67" s="151">
        <v>5.765</v>
      </c>
      <c r="E67" s="285">
        <v>25.0</v>
      </c>
      <c r="F67" s="285">
        <v>1.02</v>
      </c>
      <c r="G67" s="292"/>
      <c r="H67" s="105"/>
      <c r="I67" s="74"/>
      <c r="J67" s="74"/>
      <c r="K67" s="74"/>
      <c r="L67" s="74"/>
      <c r="M67" s="74"/>
      <c r="N67" s="74"/>
      <c r="O67" s="74"/>
      <c r="P67" s="74"/>
      <c r="Q67" s="74"/>
      <c r="R67" s="74"/>
      <c r="S67" s="74"/>
      <c r="T67" s="74"/>
      <c r="U67" s="74"/>
      <c r="V67" s="74"/>
      <c r="W67" s="74"/>
      <c r="X67" s="74"/>
      <c r="Y67" s="74"/>
      <c r="Z67" s="74"/>
    </row>
    <row r="68" ht="14.25" customHeight="1">
      <c r="A68" s="105"/>
      <c r="B68" s="154" t="s">
        <v>1537</v>
      </c>
      <c r="C68" s="154" t="s">
        <v>1538</v>
      </c>
      <c r="D68" s="151">
        <v>871.029</v>
      </c>
      <c r="E68" s="285">
        <v>25.0</v>
      </c>
      <c r="F68" s="285">
        <v>1.02</v>
      </c>
      <c r="G68" s="74"/>
      <c r="H68" s="118" t="s">
        <v>280</v>
      </c>
      <c r="I68" s="558"/>
      <c r="J68" s="559"/>
      <c r="K68" s="74"/>
      <c r="L68" s="74"/>
      <c r="M68" s="74"/>
      <c r="N68" s="110" t="s">
        <v>101</v>
      </c>
      <c r="O68" s="125">
        <f>O64-O65-O66</f>
        <v>-0.0017</v>
      </c>
      <c r="P68" s="74"/>
      <c r="Q68" s="74"/>
      <c r="R68" s="74"/>
      <c r="S68" s="74"/>
      <c r="T68" s="74"/>
      <c r="U68" s="74"/>
      <c r="V68" s="74"/>
      <c r="W68" s="74"/>
      <c r="X68" s="74"/>
      <c r="Y68" s="74"/>
      <c r="Z68" s="74"/>
    </row>
    <row r="69" ht="14.25" customHeight="1">
      <c r="A69" s="105"/>
      <c r="B69" s="105"/>
      <c r="C69" s="108"/>
      <c r="D69" s="109"/>
      <c r="E69" s="292"/>
      <c r="F69" s="74"/>
      <c r="G69" s="74"/>
      <c r="H69" s="121" t="s">
        <v>102</v>
      </c>
      <c r="I69" s="121" t="s">
        <v>103</v>
      </c>
      <c r="J69" s="121" t="s">
        <v>104</v>
      </c>
      <c r="K69" s="283" t="s">
        <v>1371</v>
      </c>
      <c r="L69" s="283" t="s">
        <v>241</v>
      </c>
      <c r="M69" s="74"/>
      <c r="N69" s="135" t="s">
        <v>121</v>
      </c>
      <c r="O69" s="124">
        <f>(O68/O64)*100</f>
        <v>-0.0001300018598</v>
      </c>
      <c r="P69" s="74"/>
      <c r="Q69" s="74"/>
      <c r="R69" s="74"/>
      <c r="S69" s="74"/>
      <c r="T69" s="74"/>
      <c r="U69" s="74"/>
      <c r="V69" s="74"/>
      <c r="W69" s="74"/>
      <c r="X69" s="74"/>
      <c r="Y69" s="74"/>
      <c r="Z69" s="74"/>
    </row>
    <row r="70" ht="14.25" customHeight="1">
      <c r="A70" s="74"/>
      <c r="B70" s="74"/>
      <c r="C70" s="74"/>
      <c r="D70" s="74"/>
      <c r="E70" s="74"/>
      <c r="F70" s="74"/>
      <c r="G70" s="74"/>
      <c r="H70" s="154" t="s">
        <v>1539</v>
      </c>
      <c r="I70" s="151" t="s">
        <v>1540</v>
      </c>
      <c r="J70" s="151">
        <v>165.518</v>
      </c>
      <c r="K70" s="247">
        <v>30.0</v>
      </c>
      <c r="L70" s="285">
        <v>1.02</v>
      </c>
      <c r="M70" s="74"/>
      <c r="N70" s="104"/>
      <c r="O70" s="105"/>
      <c r="P70" s="74"/>
      <c r="Q70" s="74"/>
      <c r="R70" s="74"/>
      <c r="S70" s="74"/>
      <c r="T70" s="74"/>
      <c r="U70" s="74"/>
      <c r="V70" s="74"/>
      <c r="W70" s="74"/>
      <c r="X70" s="74"/>
      <c r="Y70" s="74"/>
      <c r="Z70" s="74"/>
    </row>
    <row r="71" ht="14.25" customHeight="1">
      <c r="A71" s="74"/>
      <c r="B71" s="89"/>
      <c r="C71" s="89"/>
      <c r="D71" s="89"/>
      <c r="E71" s="89"/>
      <c r="F71" s="74"/>
      <c r="G71" s="74"/>
      <c r="H71" s="154" t="s">
        <v>1541</v>
      </c>
      <c r="I71" s="151" t="s">
        <v>1542</v>
      </c>
      <c r="J71" s="151">
        <v>1.272</v>
      </c>
      <c r="K71" s="247">
        <v>30.0</v>
      </c>
      <c r="L71" s="285">
        <v>1.02</v>
      </c>
      <c r="M71" s="74"/>
      <c r="N71" s="74"/>
      <c r="O71" s="74"/>
      <c r="P71" s="74"/>
      <c r="Q71" s="74"/>
      <c r="R71" s="74"/>
      <c r="S71" s="74"/>
      <c r="T71" s="74"/>
      <c r="U71" s="74"/>
      <c r="V71" s="74"/>
      <c r="W71" s="74"/>
      <c r="X71" s="74"/>
      <c r="Y71" s="74"/>
      <c r="Z71" s="74"/>
    </row>
    <row r="72" ht="14.25" customHeight="1">
      <c r="A72" s="74"/>
      <c r="B72" s="74"/>
      <c r="C72" s="74"/>
      <c r="D72" s="74"/>
      <c r="E72" s="74"/>
      <c r="F72" s="74"/>
      <c r="G72" s="74"/>
      <c r="H72" s="154" t="s">
        <v>1543</v>
      </c>
      <c r="I72" s="151" t="s">
        <v>1544</v>
      </c>
      <c r="J72" s="151">
        <v>1.289</v>
      </c>
      <c r="K72" s="247">
        <v>30.0</v>
      </c>
      <c r="L72" s="285">
        <v>1.02</v>
      </c>
      <c r="M72" s="74"/>
      <c r="N72" s="74"/>
      <c r="O72" s="74"/>
      <c r="P72" s="74"/>
      <c r="Q72" s="74"/>
      <c r="R72" s="74"/>
      <c r="S72" s="74"/>
      <c r="T72" s="74"/>
      <c r="U72" s="74"/>
      <c r="V72" s="74"/>
      <c r="W72" s="74"/>
      <c r="X72" s="74"/>
      <c r="Y72" s="74"/>
      <c r="Z72" s="74"/>
    </row>
    <row r="73" ht="14.25" customHeight="1">
      <c r="A73" s="74"/>
      <c r="B73" s="74"/>
      <c r="C73" s="74"/>
      <c r="D73" s="74"/>
      <c r="E73" s="74"/>
      <c r="F73" s="74"/>
      <c r="G73" s="74"/>
      <c r="H73" s="154" t="s">
        <v>1545</v>
      </c>
      <c r="I73" s="151" t="s">
        <v>1546</v>
      </c>
      <c r="J73" s="151">
        <v>638.75</v>
      </c>
      <c r="K73" s="247">
        <v>40.0</v>
      </c>
      <c r="L73" s="285">
        <v>1.02</v>
      </c>
      <c r="M73" s="74"/>
      <c r="N73" s="74"/>
      <c r="O73" s="74"/>
      <c r="P73" s="74"/>
      <c r="Q73" s="74"/>
      <c r="R73" s="74"/>
      <c r="S73" s="74"/>
      <c r="T73" s="74"/>
      <c r="U73" s="74"/>
      <c r="V73" s="74"/>
      <c r="W73" s="74"/>
      <c r="X73" s="74"/>
      <c r="Y73" s="74"/>
      <c r="Z73" s="74"/>
    </row>
    <row r="74" ht="14.25" customHeight="1">
      <c r="A74" s="74"/>
      <c r="B74" s="74"/>
      <c r="C74" s="74"/>
      <c r="D74" s="74"/>
      <c r="E74" s="74"/>
      <c r="F74" s="74"/>
      <c r="G74" s="74"/>
      <c r="H74" s="154" t="s">
        <v>1547</v>
      </c>
      <c r="I74" s="151" t="s">
        <v>1548</v>
      </c>
      <c r="J74" s="151">
        <v>72.3276</v>
      </c>
      <c r="K74" s="247">
        <v>40.0</v>
      </c>
      <c r="L74" s="285">
        <v>1.02</v>
      </c>
      <c r="M74" s="74"/>
      <c r="N74" s="74"/>
      <c r="O74" s="74"/>
      <c r="P74" s="74"/>
      <c r="Q74" s="74"/>
      <c r="R74" s="74"/>
      <c r="S74" s="74"/>
      <c r="T74" s="74"/>
      <c r="U74" s="74"/>
      <c r="V74" s="74"/>
      <c r="W74" s="74"/>
      <c r="X74" s="74"/>
      <c r="Y74" s="74"/>
      <c r="Z74" s="74"/>
    </row>
    <row r="75" ht="14.25" customHeight="1">
      <c r="A75" s="74"/>
      <c r="B75" s="74"/>
      <c r="C75" s="74"/>
      <c r="D75" s="74"/>
      <c r="E75" s="74"/>
      <c r="F75" s="74"/>
      <c r="G75" s="74"/>
      <c r="H75" s="128" t="s">
        <v>1549</v>
      </c>
      <c r="I75" s="124" t="s">
        <v>1550</v>
      </c>
      <c r="J75" s="124">
        <v>7.1</v>
      </c>
      <c r="K75" s="562">
        <v>110.0</v>
      </c>
      <c r="L75" s="285">
        <v>1.02</v>
      </c>
      <c r="M75" s="74"/>
      <c r="N75" s="74"/>
      <c r="O75" s="74"/>
      <c r="P75" s="74"/>
      <c r="Q75" s="74"/>
      <c r="R75" s="74"/>
      <c r="S75" s="74"/>
      <c r="T75" s="74"/>
      <c r="U75" s="74"/>
      <c r="V75" s="74"/>
      <c r="W75" s="74"/>
      <c r="X75" s="74"/>
      <c r="Y75" s="74"/>
      <c r="Z75" s="74"/>
    </row>
    <row r="76" ht="25.5" customHeight="1">
      <c r="A76" s="74"/>
      <c r="B76" s="74"/>
      <c r="C76" s="74"/>
      <c r="D76" s="74"/>
      <c r="E76" s="74"/>
      <c r="F76" s="74"/>
      <c r="G76" s="74"/>
      <c r="H76" s="154" t="s">
        <v>1551</v>
      </c>
      <c r="I76" s="151" t="s">
        <v>1552</v>
      </c>
      <c r="J76" s="151">
        <v>1.2</v>
      </c>
      <c r="K76" s="247">
        <v>40.0</v>
      </c>
      <c r="L76" s="285">
        <v>1.02</v>
      </c>
      <c r="M76" s="74"/>
      <c r="N76" s="74"/>
      <c r="O76" s="74"/>
      <c r="P76" s="74"/>
      <c r="Q76" s="74"/>
      <c r="R76" s="74"/>
      <c r="S76" s="74"/>
      <c r="T76" s="74"/>
      <c r="U76" s="74"/>
      <c r="V76" s="74"/>
      <c r="W76" s="74"/>
      <c r="X76" s="74"/>
      <c r="Y76" s="74"/>
      <c r="Z76" s="74"/>
    </row>
    <row r="77" ht="15.0" customHeight="1">
      <c r="A77" s="74"/>
      <c r="B77" s="110" t="s">
        <v>122</v>
      </c>
      <c r="C77" s="117"/>
      <c r="D77" s="117"/>
      <c r="E77" s="117"/>
      <c r="F77" s="117"/>
      <c r="G77" s="117"/>
      <c r="H77" s="117"/>
      <c r="I77" s="117"/>
      <c r="J77" s="129"/>
      <c r="K77" s="89"/>
      <c r="L77" s="91"/>
      <c r="M77" s="74"/>
      <c r="N77" s="74"/>
      <c r="O77" s="74"/>
      <c r="P77" s="74"/>
      <c r="Q77" s="74"/>
      <c r="R77" s="74"/>
      <c r="S77" s="74"/>
      <c r="T77" s="74"/>
      <c r="U77" s="74"/>
      <c r="V77" s="74"/>
      <c r="W77" s="74"/>
      <c r="X77" s="74"/>
      <c r="Y77" s="74"/>
      <c r="Z77" s="74"/>
    </row>
    <row r="78" ht="15.0" customHeight="1">
      <c r="A78" s="74"/>
      <c r="B78" s="117"/>
      <c r="C78" s="117"/>
      <c r="D78" s="117"/>
      <c r="E78" s="117"/>
      <c r="F78" s="117"/>
      <c r="G78" s="117"/>
      <c r="H78" s="117"/>
      <c r="I78" s="117"/>
      <c r="J78" s="129"/>
      <c r="K78" s="89"/>
      <c r="L78" s="91"/>
      <c r="M78" s="74"/>
      <c r="N78" s="74"/>
      <c r="O78" s="74"/>
      <c r="P78" s="74"/>
      <c r="Q78" s="74"/>
      <c r="R78" s="74"/>
      <c r="S78" s="74"/>
      <c r="T78" s="74"/>
      <c r="U78" s="74"/>
      <c r="V78" s="74"/>
      <c r="W78" s="74"/>
      <c r="X78" s="74"/>
      <c r="Y78" s="74"/>
      <c r="Z78" s="74"/>
    </row>
    <row r="79" ht="14.25" customHeight="1">
      <c r="A79" s="74"/>
      <c r="B79" s="118" t="s">
        <v>3</v>
      </c>
      <c r="C79" s="118" t="s">
        <v>4</v>
      </c>
      <c r="D79" s="118" t="s">
        <v>124</v>
      </c>
      <c r="E79" s="142" t="s">
        <v>5</v>
      </c>
      <c r="F79" s="142" t="s">
        <v>125</v>
      </c>
      <c r="G79" s="143" t="s">
        <v>126</v>
      </c>
      <c r="H79" s="143" t="s">
        <v>127</v>
      </c>
      <c r="I79" s="144" t="s">
        <v>128</v>
      </c>
      <c r="J79" s="129"/>
      <c r="K79" s="138" t="s">
        <v>123</v>
      </c>
      <c r="L79" s="139"/>
      <c r="M79" s="140"/>
      <c r="N79" s="140"/>
      <c r="O79" s="140"/>
      <c r="P79" s="140"/>
      <c r="Q79" s="141"/>
      <c r="R79" s="74"/>
      <c r="S79" s="74"/>
      <c r="T79" s="74"/>
      <c r="U79" s="74"/>
      <c r="V79" s="74"/>
      <c r="W79" s="74"/>
      <c r="X79" s="74"/>
      <c r="Y79" s="74"/>
      <c r="Z79" s="74"/>
    </row>
    <row r="80" ht="14.25" customHeight="1">
      <c r="A80" s="74"/>
      <c r="B80" s="145" t="s">
        <v>8</v>
      </c>
      <c r="C80" s="146">
        <v>2002.0180134547586</v>
      </c>
      <c r="D80" s="146">
        <v>922.2389035199999</v>
      </c>
      <c r="E80" s="146">
        <v>0.0</v>
      </c>
      <c r="F80" s="146">
        <v>0.0</v>
      </c>
      <c r="G80" s="146">
        <v>2002.0180134547586</v>
      </c>
      <c r="H80" s="146">
        <f t="shared" ref="H80:H84" si="1">D80</f>
        <v>922.2389035</v>
      </c>
      <c r="I80" s="147"/>
      <c r="J80" s="129"/>
      <c r="K80" s="118" t="s">
        <v>3</v>
      </c>
      <c r="L80" s="114" t="s">
        <v>129</v>
      </c>
      <c r="M80" s="121" t="s">
        <v>130</v>
      </c>
      <c r="N80" s="121" t="s">
        <v>131</v>
      </c>
      <c r="O80" s="121" t="s">
        <v>132</v>
      </c>
      <c r="P80" s="121" t="s">
        <v>133</v>
      </c>
      <c r="Q80" s="114" t="s">
        <v>134</v>
      </c>
      <c r="R80" s="74"/>
      <c r="S80" s="74"/>
      <c r="T80" s="74"/>
      <c r="U80" s="74"/>
      <c r="V80" s="74"/>
      <c r="W80" s="74"/>
      <c r="X80" s="74"/>
      <c r="Y80" s="74"/>
      <c r="Z80" s="74"/>
    </row>
    <row r="81" ht="14.25" customHeight="1">
      <c r="A81" s="74"/>
      <c r="B81" s="145" t="s">
        <v>10</v>
      </c>
      <c r="C81" s="146">
        <v>407.568</v>
      </c>
      <c r="D81" s="146">
        <v>205.890332</v>
      </c>
      <c r="E81" s="146">
        <v>0.0</v>
      </c>
      <c r="F81" s="146">
        <v>0.0</v>
      </c>
      <c r="G81" s="146">
        <v>407.568</v>
      </c>
      <c r="H81" s="146">
        <f t="shared" si="1"/>
        <v>205.890332</v>
      </c>
      <c r="I81" s="147"/>
      <c r="J81" s="74"/>
      <c r="K81" s="148" t="s">
        <v>136</v>
      </c>
      <c r="L81" s="149" t="s">
        <v>137</v>
      </c>
      <c r="M81" s="149" t="s">
        <v>137</v>
      </c>
      <c r="N81" s="149" t="s">
        <v>137</v>
      </c>
      <c r="O81" s="149" t="s">
        <v>137</v>
      </c>
      <c r="P81" s="149" t="s">
        <v>137</v>
      </c>
      <c r="Q81" s="149" t="s">
        <v>137</v>
      </c>
      <c r="R81" s="74"/>
      <c r="S81" s="74"/>
      <c r="T81" s="74"/>
      <c r="U81" s="74"/>
      <c r="V81" s="74"/>
      <c r="W81" s="74"/>
      <c r="X81" s="74"/>
      <c r="Y81" s="74"/>
      <c r="Z81" s="74"/>
    </row>
    <row r="82" ht="14.25" customHeight="1">
      <c r="A82" s="74"/>
      <c r="B82" s="145" t="s">
        <v>11</v>
      </c>
      <c r="C82" s="146">
        <v>0.0</v>
      </c>
      <c r="D82" s="146">
        <v>0.0</v>
      </c>
      <c r="E82" s="146">
        <v>0.0</v>
      </c>
      <c r="F82" s="146">
        <v>0.0</v>
      </c>
      <c r="G82" s="146">
        <v>0.0</v>
      </c>
      <c r="H82" s="146">
        <f t="shared" si="1"/>
        <v>0</v>
      </c>
      <c r="I82" s="147"/>
      <c r="J82" s="74"/>
      <c r="K82" s="150" t="s">
        <v>8</v>
      </c>
      <c r="L82" s="149">
        <v>155.0</v>
      </c>
      <c r="M82" s="149">
        <v>155.0</v>
      </c>
      <c r="N82" s="151">
        <v>5.5</v>
      </c>
      <c r="O82" s="151">
        <v>5.5</v>
      </c>
      <c r="P82" s="149">
        <v>2096.77163841359</v>
      </c>
      <c r="Q82" s="149" t="s">
        <v>138</v>
      </c>
      <c r="R82" s="74"/>
      <c r="S82" s="74"/>
      <c r="T82" s="74"/>
      <c r="U82" s="74"/>
      <c r="V82" s="74"/>
      <c r="W82" s="74"/>
      <c r="X82" s="74"/>
      <c r="Y82" s="74"/>
      <c r="Z82" s="74"/>
    </row>
    <row r="83" ht="14.25" customHeight="1">
      <c r="A83" s="74"/>
      <c r="B83" s="145" t="s">
        <v>12</v>
      </c>
      <c r="C83" s="146">
        <v>2456.3923870587405</v>
      </c>
      <c r="D83" s="146">
        <v>117667.20148823988</v>
      </c>
      <c r="E83" s="146">
        <v>0.0</v>
      </c>
      <c r="F83" s="146">
        <v>0.0</v>
      </c>
      <c r="G83" s="146">
        <v>2456.3923870587405</v>
      </c>
      <c r="H83" s="146">
        <f t="shared" si="1"/>
        <v>117667.2015</v>
      </c>
      <c r="I83" s="147"/>
      <c r="J83" s="74"/>
      <c r="K83" s="118" t="s">
        <v>10</v>
      </c>
      <c r="L83" s="149">
        <v>214.0</v>
      </c>
      <c r="M83" s="149">
        <v>214.0</v>
      </c>
      <c r="N83" s="149">
        <v>21.0</v>
      </c>
      <c r="O83" s="149">
        <v>21.0</v>
      </c>
      <c r="P83" s="149">
        <v>1879.6128145344</v>
      </c>
      <c r="Q83" s="149" t="s">
        <v>138</v>
      </c>
      <c r="R83" s="74"/>
      <c r="S83" s="74"/>
      <c r="T83" s="74"/>
      <c r="U83" s="74"/>
      <c r="V83" s="74"/>
      <c r="W83" s="74"/>
      <c r="X83" s="74"/>
      <c r="Y83" s="74"/>
      <c r="Z83" s="74"/>
    </row>
    <row r="84" ht="14.25" customHeight="1">
      <c r="A84" s="74"/>
      <c r="B84" s="145" t="s">
        <v>34</v>
      </c>
      <c r="C84" s="146">
        <v>0.10514848285247386</v>
      </c>
      <c r="D84" s="152" t="s">
        <v>1553</v>
      </c>
      <c r="E84" s="146">
        <v>0.0</v>
      </c>
      <c r="F84" s="146">
        <v>0.0</v>
      </c>
      <c r="G84" s="146">
        <v>0.10514848285247386</v>
      </c>
      <c r="H84" s="152" t="str">
        <f t="shared" si="1"/>
        <v>3,65 kW*</v>
      </c>
      <c r="I84" s="147"/>
      <c r="J84" s="74"/>
      <c r="K84" s="118" t="s">
        <v>11</v>
      </c>
      <c r="L84" s="149">
        <v>265.0</v>
      </c>
      <c r="M84" s="149">
        <v>265.0</v>
      </c>
      <c r="N84" s="149">
        <v>51.0</v>
      </c>
      <c r="O84" s="149">
        <v>51.0</v>
      </c>
      <c r="P84" s="149">
        <v>1632.4494056856</v>
      </c>
      <c r="Q84" s="149" t="s">
        <v>138</v>
      </c>
      <c r="R84" s="74"/>
      <c r="S84" s="74"/>
      <c r="T84" s="74"/>
      <c r="U84" s="74"/>
      <c r="V84" s="74"/>
      <c r="W84" s="74"/>
      <c r="X84" s="74"/>
      <c r="Y84" s="74"/>
      <c r="Z84" s="74"/>
    </row>
    <row r="85" ht="14.25" customHeight="1">
      <c r="A85" s="74"/>
      <c r="B85" s="117"/>
      <c r="C85" s="117"/>
      <c r="D85" s="117"/>
      <c r="E85" s="117"/>
      <c r="F85" s="117"/>
      <c r="G85" s="117"/>
      <c r="H85" s="117"/>
      <c r="I85" s="117"/>
      <c r="J85" s="74"/>
      <c r="K85" s="118" t="s">
        <v>12</v>
      </c>
      <c r="L85" s="159">
        <v>25.0</v>
      </c>
      <c r="M85" s="159">
        <v>40.0</v>
      </c>
      <c r="N85" s="160">
        <v>1.02</v>
      </c>
      <c r="O85" s="160">
        <v>1.02</v>
      </c>
      <c r="P85" s="160">
        <f>62.74243314036/(M85-L85)</f>
        <v>4.182828876</v>
      </c>
      <c r="Q85" s="159" t="s">
        <v>143</v>
      </c>
      <c r="R85" s="74"/>
      <c r="S85" s="74"/>
      <c r="T85" s="74"/>
      <c r="U85" s="74"/>
      <c r="V85" s="74"/>
      <c r="W85" s="74"/>
      <c r="X85" s="74"/>
      <c r="Y85" s="74"/>
      <c r="Z85" s="74"/>
    </row>
    <row r="86" ht="14.25" customHeight="1">
      <c r="A86" s="245"/>
      <c r="B86" s="313" t="s">
        <v>300</v>
      </c>
      <c r="C86" s="315"/>
      <c r="D86" s="245"/>
      <c r="E86" s="245"/>
      <c r="F86" s="245"/>
      <c r="G86" s="245"/>
      <c r="H86" s="245"/>
      <c r="I86" s="245"/>
      <c r="J86" s="316"/>
      <c r="K86" s="317"/>
      <c r="L86" s="317"/>
      <c r="M86" s="317"/>
      <c r="N86" s="317"/>
      <c r="O86" s="563"/>
      <c r="P86" s="317"/>
      <c r="Q86" s="317"/>
      <c r="R86" s="245"/>
      <c r="S86" s="245"/>
      <c r="T86" s="245"/>
      <c r="U86" s="245"/>
      <c r="V86" s="245"/>
      <c r="W86" s="245"/>
      <c r="X86" s="245"/>
      <c r="Y86" s="245"/>
      <c r="Z86" s="245"/>
    </row>
    <row r="87" ht="14.25" customHeight="1">
      <c r="A87" s="245"/>
      <c r="B87" s="318" t="s">
        <v>8</v>
      </c>
      <c r="C87" s="245"/>
      <c r="D87" s="245"/>
      <c r="E87" s="245"/>
      <c r="F87" s="245"/>
      <c r="G87" s="245"/>
      <c r="H87" s="318" t="s">
        <v>10</v>
      </c>
      <c r="I87" s="245"/>
      <c r="J87" s="245"/>
      <c r="K87" s="245"/>
      <c r="L87" s="245"/>
      <c r="M87" s="245"/>
      <c r="N87" s="245"/>
      <c r="O87" s="245"/>
      <c r="P87" s="245"/>
      <c r="Q87" s="245"/>
      <c r="R87" s="245"/>
      <c r="S87" s="245"/>
      <c r="T87" s="245"/>
      <c r="U87" s="245"/>
      <c r="V87" s="245"/>
      <c r="W87" s="245"/>
      <c r="X87" s="245"/>
      <c r="Y87" s="245"/>
      <c r="Z87" s="245"/>
    </row>
    <row r="88" ht="14.25" customHeight="1">
      <c r="A88" s="245"/>
      <c r="B88" s="246" t="s">
        <v>483</v>
      </c>
      <c r="C88" s="246" t="s">
        <v>485</v>
      </c>
      <c r="D88" s="246" t="s">
        <v>305</v>
      </c>
      <c r="E88" s="320" t="s">
        <v>128</v>
      </c>
      <c r="F88" s="80"/>
      <c r="G88" s="245"/>
      <c r="H88" s="246" t="s">
        <v>483</v>
      </c>
      <c r="I88" s="246" t="s">
        <v>485</v>
      </c>
      <c r="J88" s="246" t="s">
        <v>305</v>
      </c>
      <c r="K88" s="320" t="s">
        <v>128</v>
      </c>
      <c r="L88" s="80"/>
      <c r="M88" s="245"/>
      <c r="N88" s="245"/>
      <c r="O88" s="245"/>
      <c r="P88" s="245"/>
      <c r="Q88" s="245"/>
      <c r="R88" s="245"/>
      <c r="S88" s="245"/>
      <c r="T88" s="245"/>
      <c r="U88" s="245"/>
      <c r="V88" s="245"/>
      <c r="W88" s="245"/>
      <c r="X88" s="245"/>
      <c r="Y88" s="245"/>
      <c r="Z88" s="245"/>
    </row>
    <row r="89" ht="14.25" customHeight="1">
      <c r="A89" s="245"/>
      <c r="B89" s="344" t="s">
        <v>1554</v>
      </c>
      <c r="C89" s="345">
        <v>265.99315833791997</v>
      </c>
      <c r="D89" s="345">
        <v>122.5309848</v>
      </c>
      <c r="E89" s="326"/>
      <c r="F89" s="80"/>
      <c r="G89" s="245"/>
      <c r="H89" s="344" t="s">
        <v>1555</v>
      </c>
      <c r="I89" s="345">
        <f>50946*0.008</f>
        <v>407.568</v>
      </c>
      <c r="J89" s="345">
        <v>205.890332</v>
      </c>
      <c r="K89" s="325"/>
      <c r="L89" s="80"/>
      <c r="M89" s="245"/>
      <c r="N89" s="245"/>
      <c r="O89" s="245"/>
      <c r="P89" s="245"/>
      <c r="Q89" s="245"/>
      <c r="R89" s="245"/>
      <c r="S89" s="245"/>
      <c r="T89" s="245"/>
      <c r="U89" s="245"/>
      <c r="V89" s="245"/>
      <c r="W89" s="245"/>
      <c r="X89" s="245"/>
      <c r="Y89" s="245"/>
      <c r="Z89" s="245"/>
    </row>
    <row r="90" ht="14.25" customHeight="1">
      <c r="A90" s="245"/>
      <c r="B90" s="344" t="s">
        <v>1556</v>
      </c>
      <c r="C90" s="345">
        <v>1330.398998880768</v>
      </c>
      <c r="D90" s="345">
        <v>612.8544832</v>
      </c>
      <c r="E90" s="564"/>
      <c r="F90" s="324"/>
      <c r="G90" s="245"/>
      <c r="H90" s="344"/>
      <c r="I90" s="345"/>
      <c r="J90" s="345"/>
      <c r="K90" s="325"/>
      <c r="L90" s="80"/>
      <c r="M90" s="245"/>
      <c r="N90" s="245"/>
      <c r="O90" s="245"/>
      <c r="P90" s="245"/>
      <c r="Q90" s="245"/>
      <c r="R90" s="245"/>
      <c r="S90" s="245"/>
      <c r="T90" s="245"/>
      <c r="U90" s="245"/>
      <c r="V90" s="245"/>
      <c r="W90" s="245"/>
      <c r="X90" s="245"/>
      <c r="Y90" s="245"/>
      <c r="Z90" s="245"/>
    </row>
    <row r="91" ht="14.25" customHeight="1">
      <c r="A91" s="245"/>
      <c r="B91" s="344" t="s">
        <v>1557</v>
      </c>
      <c r="C91" s="345">
        <v>80.04146572304641</v>
      </c>
      <c r="D91" s="345">
        <v>36.87147312</v>
      </c>
      <c r="E91" s="564"/>
      <c r="F91" s="324"/>
      <c r="G91" s="245"/>
      <c r="H91" s="344"/>
      <c r="I91" s="345"/>
      <c r="J91" s="345"/>
      <c r="K91" s="326"/>
      <c r="L91" s="80"/>
      <c r="M91" s="245"/>
      <c r="N91" s="245"/>
      <c r="O91" s="245"/>
      <c r="P91" s="245"/>
      <c r="Q91" s="245"/>
      <c r="R91" s="245"/>
      <c r="S91" s="245"/>
      <c r="T91" s="245"/>
      <c r="U91" s="245"/>
      <c r="V91" s="245"/>
      <c r="W91" s="245"/>
      <c r="X91" s="245"/>
      <c r="Y91" s="245"/>
      <c r="Z91" s="245"/>
    </row>
    <row r="92" ht="14.25" customHeight="1">
      <c r="A92" s="245"/>
      <c r="B92" s="344" t="s">
        <v>1558</v>
      </c>
      <c r="C92" s="345">
        <v>325.584390513024</v>
      </c>
      <c r="D92" s="345">
        <v>149.9819624</v>
      </c>
      <c r="E92" s="564"/>
      <c r="F92" s="324"/>
      <c r="G92" s="245"/>
      <c r="H92" s="344"/>
      <c r="I92" s="345"/>
      <c r="J92" s="345"/>
      <c r="K92" s="326"/>
      <c r="L92" s="80"/>
      <c r="M92" s="245"/>
      <c r="N92" s="245"/>
      <c r="O92" s="245"/>
      <c r="P92" s="245"/>
      <c r="Q92" s="245"/>
      <c r="R92" s="245"/>
      <c r="S92" s="245"/>
      <c r="T92" s="245"/>
      <c r="U92" s="245"/>
      <c r="V92" s="245"/>
      <c r="W92" s="245"/>
      <c r="X92" s="245"/>
      <c r="Y92" s="245"/>
      <c r="Z92" s="245"/>
    </row>
    <row r="93" ht="14.25" customHeight="1">
      <c r="A93" s="245"/>
      <c r="B93" s="344"/>
      <c r="C93" s="345"/>
      <c r="D93" s="345"/>
      <c r="E93" s="564"/>
      <c r="F93" s="324"/>
      <c r="G93" s="245"/>
      <c r="H93" s="344"/>
      <c r="I93" s="345"/>
      <c r="J93" s="345"/>
      <c r="K93" s="341"/>
      <c r="L93" s="342"/>
      <c r="M93" s="245"/>
      <c r="N93" s="245"/>
      <c r="O93" s="245"/>
      <c r="P93" s="245"/>
      <c r="Q93" s="245"/>
      <c r="R93" s="245"/>
      <c r="S93" s="245"/>
      <c r="T93" s="245"/>
      <c r="U93" s="245"/>
      <c r="V93" s="245"/>
      <c r="W93" s="245"/>
      <c r="X93" s="245"/>
      <c r="Y93" s="245"/>
      <c r="Z93" s="245"/>
    </row>
    <row r="94" ht="14.25" customHeight="1">
      <c r="A94" s="245"/>
      <c r="B94" s="245"/>
      <c r="C94" s="245"/>
      <c r="D94" s="329"/>
      <c r="E94" s="245"/>
      <c r="F94" s="245"/>
      <c r="G94" s="245"/>
      <c r="H94" s="245"/>
      <c r="I94" s="245"/>
      <c r="J94" s="245"/>
      <c r="K94" s="245"/>
      <c r="L94" s="245"/>
      <c r="M94" s="245"/>
      <c r="N94" s="245"/>
      <c r="O94" s="245"/>
      <c r="P94" s="245"/>
      <c r="Q94" s="245"/>
      <c r="R94" s="245"/>
      <c r="S94" s="245"/>
      <c r="T94" s="245"/>
      <c r="U94" s="245"/>
      <c r="V94" s="245"/>
      <c r="W94" s="245"/>
      <c r="X94" s="245"/>
      <c r="Y94" s="245"/>
      <c r="Z94" s="245"/>
    </row>
    <row r="95" ht="14.25" customHeight="1">
      <c r="A95" s="245"/>
      <c r="B95" s="318" t="s">
        <v>11</v>
      </c>
      <c r="C95" s="245"/>
      <c r="D95" s="245"/>
      <c r="E95" s="245"/>
      <c r="F95" s="245"/>
      <c r="G95" s="245"/>
      <c r="H95" s="318" t="s">
        <v>34</v>
      </c>
      <c r="I95" s="245"/>
      <c r="J95" s="245"/>
      <c r="K95" s="245"/>
      <c r="L95" s="245"/>
      <c r="M95" s="245"/>
      <c r="N95" s="245"/>
      <c r="O95" s="245"/>
      <c r="P95" s="245"/>
      <c r="Q95" s="245"/>
      <c r="R95" s="245"/>
      <c r="S95" s="245"/>
      <c r="T95" s="245"/>
      <c r="U95" s="245"/>
      <c r="V95" s="245"/>
      <c r="W95" s="245"/>
      <c r="X95" s="245"/>
      <c r="Y95" s="245"/>
      <c r="Z95" s="245"/>
    </row>
    <row r="96" ht="14.25" customHeight="1">
      <c r="A96" s="245"/>
      <c r="B96" s="246" t="s">
        <v>483</v>
      </c>
      <c r="C96" s="246" t="s">
        <v>485</v>
      </c>
      <c r="D96" s="246" t="s">
        <v>305</v>
      </c>
      <c r="E96" s="320" t="s">
        <v>128</v>
      </c>
      <c r="F96" s="80"/>
      <c r="G96" s="245"/>
      <c r="H96" s="246" t="s">
        <v>483</v>
      </c>
      <c r="I96" s="331" t="s">
        <v>485</v>
      </c>
      <c r="J96" s="332" t="s">
        <v>499</v>
      </c>
      <c r="K96" s="320" t="s">
        <v>128</v>
      </c>
      <c r="L96" s="80"/>
      <c r="M96" s="245"/>
      <c r="N96" s="245"/>
      <c r="O96" s="245"/>
      <c r="P96" s="245"/>
      <c r="Q96" s="245"/>
      <c r="R96" s="245"/>
      <c r="S96" s="245"/>
      <c r="T96" s="245"/>
      <c r="U96" s="245"/>
      <c r="V96" s="245"/>
      <c r="W96" s="245"/>
      <c r="X96" s="245"/>
      <c r="Y96" s="245"/>
      <c r="Z96" s="245"/>
    </row>
    <row r="97" ht="14.25" customHeight="1">
      <c r="A97" s="245"/>
      <c r="B97" s="246"/>
      <c r="C97" s="246"/>
      <c r="D97" s="246"/>
      <c r="E97" s="333"/>
      <c r="F97" s="334"/>
      <c r="G97" s="245"/>
      <c r="H97" s="344" t="s">
        <v>1559</v>
      </c>
      <c r="I97" s="565">
        <v>0.01905818825055744</v>
      </c>
      <c r="J97" s="566">
        <v>0.661742647</v>
      </c>
      <c r="K97" s="336"/>
      <c r="L97" s="337"/>
      <c r="M97" s="245"/>
      <c r="N97" s="245"/>
      <c r="O97" s="245"/>
      <c r="P97" s="245"/>
      <c r="Q97" s="245"/>
      <c r="R97" s="245"/>
      <c r="S97" s="245"/>
      <c r="T97" s="245"/>
      <c r="U97" s="245"/>
      <c r="V97" s="245"/>
      <c r="W97" s="245"/>
      <c r="X97" s="245"/>
      <c r="Y97" s="245"/>
      <c r="Z97" s="245"/>
    </row>
    <row r="98" ht="14.25" customHeight="1">
      <c r="A98" s="245"/>
      <c r="B98" s="246"/>
      <c r="C98" s="246"/>
      <c r="D98" s="246"/>
      <c r="E98" s="333"/>
      <c r="F98" s="334"/>
      <c r="G98" s="245"/>
      <c r="H98" s="344" t="s">
        <v>1560</v>
      </c>
      <c r="I98" s="565">
        <v>0.040582850633256964</v>
      </c>
      <c r="J98" s="566">
        <v>1.40912676</v>
      </c>
      <c r="K98" s="336"/>
      <c r="L98" s="337"/>
      <c r="M98" s="245"/>
      <c r="N98" s="245"/>
      <c r="O98" s="245"/>
      <c r="P98" s="245"/>
      <c r="Q98" s="245"/>
      <c r="R98" s="245"/>
      <c r="S98" s="245"/>
      <c r="T98" s="245"/>
      <c r="U98" s="245"/>
      <c r="V98" s="245"/>
      <c r="W98" s="245"/>
      <c r="X98" s="245"/>
      <c r="Y98" s="245"/>
      <c r="Z98" s="245"/>
    </row>
    <row r="99" ht="14.25" customHeight="1">
      <c r="A99" s="245"/>
      <c r="B99" s="344"/>
      <c r="C99" s="345"/>
      <c r="D99" s="345"/>
      <c r="E99" s="326"/>
      <c r="F99" s="80"/>
      <c r="G99" s="245"/>
      <c r="H99" s="344" t="s">
        <v>1561</v>
      </c>
      <c r="I99" s="565">
        <v>0.005032032649714936</v>
      </c>
      <c r="J99" s="566">
        <v>0.174723356</v>
      </c>
      <c r="K99" s="326"/>
      <c r="L99" s="80"/>
      <c r="M99" s="245"/>
      <c r="N99" s="245"/>
      <c r="O99" s="245"/>
      <c r="P99" s="245"/>
      <c r="Q99" s="245"/>
      <c r="R99" s="245"/>
      <c r="S99" s="245"/>
      <c r="T99" s="245"/>
      <c r="U99" s="245"/>
      <c r="V99" s="245"/>
      <c r="W99" s="245"/>
      <c r="X99" s="245"/>
      <c r="Y99" s="245"/>
      <c r="Z99" s="245"/>
    </row>
    <row r="100" ht="14.25" customHeight="1">
      <c r="A100" s="245"/>
      <c r="B100" s="344"/>
      <c r="C100" s="345"/>
      <c r="D100" s="345"/>
      <c r="E100" s="341"/>
      <c r="F100" s="342"/>
      <c r="G100" s="245"/>
      <c r="H100" s="344" t="s">
        <v>1562</v>
      </c>
      <c r="I100" s="565">
        <v>0.002528389926588672</v>
      </c>
      <c r="J100" s="566">
        <v>0.0877913171</v>
      </c>
      <c r="K100" s="341"/>
      <c r="L100" s="342"/>
      <c r="M100" s="245"/>
      <c r="N100" s="245"/>
      <c r="O100" s="245"/>
      <c r="P100" s="245"/>
      <c r="Q100" s="245"/>
      <c r="R100" s="245"/>
      <c r="S100" s="245"/>
      <c r="T100" s="245"/>
      <c r="U100" s="245"/>
      <c r="V100" s="245"/>
      <c r="W100" s="245"/>
      <c r="X100" s="245"/>
      <c r="Y100" s="245"/>
      <c r="Z100" s="245"/>
    </row>
    <row r="101" ht="14.25" customHeight="1">
      <c r="A101" s="245"/>
      <c r="B101" s="344"/>
      <c r="C101" s="345"/>
      <c r="D101" s="345"/>
      <c r="E101" s="341"/>
      <c r="F101" s="342"/>
      <c r="G101" s="245"/>
      <c r="H101" s="344" t="s">
        <v>1563</v>
      </c>
      <c r="I101" s="565">
        <v>0.03794702139235585</v>
      </c>
      <c r="J101" s="566">
        <v>1.31760491</v>
      </c>
      <c r="K101" s="341"/>
      <c r="L101" s="342"/>
      <c r="M101" s="245"/>
      <c r="N101" s="245"/>
      <c r="O101" s="245"/>
      <c r="P101" s="245"/>
      <c r="Q101" s="245"/>
      <c r="R101" s="245"/>
      <c r="S101" s="245"/>
      <c r="T101" s="245"/>
      <c r="U101" s="245"/>
      <c r="V101" s="245"/>
      <c r="W101" s="245"/>
      <c r="X101" s="245"/>
      <c r="Y101" s="245"/>
      <c r="Z101" s="245"/>
    </row>
    <row r="102" ht="14.25" customHeight="1">
      <c r="A102" s="245"/>
      <c r="B102" s="344"/>
      <c r="C102" s="345"/>
      <c r="D102" s="345"/>
      <c r="E102" s="341"/>
      <c r="F102" s="342"/>
      <c r="G102" s="245"/>
      <c r="H102" s="344"/>
      <c r="I102" s="530"/>
      <c r="J102" s="345"/>
      <c r="K102" s="326"/>
      <c r="L102" s="80"/>
      <c r="M102" s="245"/>
      <c r="N102" s="245"/>
      <c r="O102" s="245"/>
      <c r="P102" s="245"/>
      <c r="Q102" s="245"/>
      <c r="R102" s="245"/>
      <c r="S102" s="245"/>
      <c r="T102" s="245"/>
      <c r="U102" s="245"/>
      <c r="V102" s="245"/>
      <c r="W102" s="245"/>
      <c r="X102" s="245"/>
      <c r="Y102" s="245"/>
      <c r="Z102" s="245"/>
    </row>
    <row r="103" ht="14.25" customHeight="1">
      <c r="A103" s="245"/>
      <c r="B103" s="245"/>
      <c r="C103" s="245"/>
      <c r="D103" s="245"/>
      <c r="E103" s="245"/>
      <c r="F103" s="245"/>
      <c r="G103" s="245"/>
      <c r="H103" s="245"/>
      <c r="I103" s="245"/>
      <c r="J103" s="329"/>
      <c r="K103" s="245"/>
      <c r="L103" s="245"/>
      <c r="M103" s="245"/>
      <c r="N103" s="245"/>
      <c r="O103" s="245"/>
      <c r="P103" s="245"/>
      <c r="Q103" s="245"/>
      <c r="R103" s="245"/>
      <c r="S103" s="245"/>
      <c r="T103" s="245"/>
      <c r="U103" s="245"/>
      <c r="V103" s="245"/>
      <c r="W103" s="245"/>
      <c r="X103" s="245"/>
      <c r="Y103" s="245"/>
      <c r="Z103" s="245"/>
    </row>
    <row r="104" ht="14.25" customHeight="1">
      <c r="A104" s="245"/>
      <c r="B104" s="318" t="s">
        <v>12</v>
      </c>
      <c r="C104" s="245"/>
      <c r="D104" s="245"/>
      <c r="E104" s="245"/>
      <c r="F104" s="245"/>
      <c r="G104" s="245"/>
      <c r="H104" s="264"/>
      <c r="I104" s="245"/>
      <c r="J104" s="245"/>
      <c r="K104" s="245"/>
      <c r="L104" s="245"/>
      <c r="M104" s="245"/>
      <c r="N104" s="245"/>
      <c r="O104" s="245"/>
      <c r="P104" s="245"/>
      <c r="Q104" s="245"/>
      <c r="R104" s="245"/>
      <c r="S104" s="245"/>
      <c r="T104" s="245"/>
      <c r="U104" s="245"/>
      <c r="V104" s="245"/>
      <c r="W104" s="245"/>
      <c r="X104" s="245"/>
      <c r="Y104" s="245"/>
      <c r="Z104" s="245"/>
    </row>
    <row r="105" ht="14.25" customHeight="1">
      <c r="A105" s="245"/>
      <c r="B105" s="246" t="s">
        <v>483</v>
      </c>
      <c r="C105" s="246" t="s">
        <v>485</v>
      </c>
      <c r="D105" s="246" t="s">
        <v>305</v>
      </c>
      <c r="E105" s="320" t="s">
        <v>128</v>
      </c>
      <c r="F105" s="80"/>
      <c r="G105" s="245"/>
      <c r="H105" s="264"/>
      <c r="I105" s="264"/>
      <c r="J105" s="264"/>
      <c r="K105" s="567"/>
      <c r="L105" s="77"/>
      <c r="M105" s="245"/>
      <c r="N105" s="245"/>
      <c r="O105" s="245"/>
      <c r="P105" s="245"/>
      <c r="Q105" s="245"/>
      <c r="R105" s="245"/>
      <c r="S105" s="245"/>
      <c r="T105" s="245"/>
      <c r="U105" s="245"/>
      <c r="V105" s="245"/>
      <c r="W105" s="245"/>
      <c r="X105" s="245"/>
      <c r="Y105" s="245"/>
      <c r="Z105" s="245"/>
    </row>
    <row r="106" ht="14.25" customHeight="1">
      <c r="A106" s="245"/>
      <c r="B106" s="344" t="s">
        <v>1564</v>
      </c>
      <c r="C106" s="345">
        <v>427.2898633346304</v>
      </c>
      <c r="D106" s="345">
        <v>20468.22928</v>
      </c>
      <c r="E106" s="326"/>
      <c r="F106" s="80"/>
      <c r="G106" s="245"/>
      <c r="H106" s="245"/>
      <c r="I106" s="329"/>
      <c r="J106" s="329"/>
      <c r="K106" s="330"/>
      <c r="L106" s="77"/>
      <c r="M106" s="245"/>
      <c r="N106" s="245"/>
      <c r="O106" s="245"/>
      <c r="P106" s="245"/>
      <c r="Q106" s="245"/>
      <c r="R106" s="245"/>
      <c r="S106" s="245"/>
      <c r="T106" s="245"/>
      <c r="U106" s="245"/>
      <c r="V106" s="245"/>
      <c r="W106" s="245"/>
      <c r="X106" s="245"/>
      <c r="Y106" s="245"/>
      <c r="Z106" s="245"/>
    </row>
    <row r="107" ht="14.25" customHeight="1">
      <c r="A107" s="245"/>
      <c r="B107" s="344" t="s">
        <v>1565</v>
      </c>
      <c r="C107" s="345">
        <f>8602.86897708191*0.008</f>
        <v>68.82295182</v>
      </c>
      <c r="D107" s="345">
        <v>3296.787672</v>
      </c>
      <c r="E107" s="341"/>
      <c r="F107" s="342"/>
      <c r="G107" s="245"/>
      <c r="H107" s="245"/>
      <c r="I107" s="329"/>
      <c r="J107" s="329"/>
      <c r="K107" s="568"/>
      <c r="L107" s="568"/>
      <c r="M107" s="245"/>
      <c r="N107" s="245"/>
      <c r="O107" s="245"/>
      <c r="P107" s="245"/>
      <c r="Q107" s="245"/>
      <c r="R107" s="245"/>
      <c r="S107" s="245"/>
      <c r="T107" s="245"/>
      <c r="U107" s="245"/>
      <c r="V107" s="245"/>
      <c r="W107" s="245"/>
      <c r="X107" s="245"/>
      <c r="Y107" s="245"/>
      <c r="Z107" s="245"/>
    </row>
    <row r="108" ht="14.25" customHeight="1">
      <c r="A108" s="245"/>
      <c r="B108" s="344" t="s">
        <v>1566</v>
      </c>
      <c r="C108" s="345">
        <v>2.776485298695552</v>
      </c>
      <c r="D108" s="345">
        <v>133.0004344</v>
      </c>
      <c r="E108" s="326"/>
      <c r="F108" s="80"/>
      <c r="G108" s="245"/>
      <c r="H108" s="245"/>
      <c r="I108" s="329"/>
      <c r="J108" s="329"/>
      <c r="K108" s="330"/>
      <c r="L108" s="77"/>
      <c r="M108" s="245"/>
      <c r="N108" s="245"/>
      <c r="O108" s="245"/>
      <c r="P108" s="245"/>
      <c r="Q108" s="245"/>
      <c r="R108" s="245"/>
      <c r="S108" s="245"/>
      <c r="T108" s="245"/>
      <c r="U108" s="245"/>
      <c r="V108" s="245"/>
      <c r="W108" s="245"/>
      <c r="X108" s="245"/>
      <c r="Y108" s="245"/>
      <c r="Z108" s="245"/>
    </row>
    <row r="109" ht="14.25" customHeight="1">
      <c r="A109" s="245"/>
      <c r="B109" s="344" t="s">
        <v>1567</v>
      </c>
      <c r="C109" s="345">
        <v>0.3605007888340992</v>
      </c>
      <c r="D109" s="345">
        <v>17.26886928</v>
      </c>
      <c r="E109" s="341"/>
      <c r="F109" s="342"/>
      <c r="G109" s="245"/>
      <c r="H109" s="245"/>
      <c r="I109" s="329"/>
      <c r="J109" s="329"/>
      <c r="K109" s="569"/>
      <c r="L109" s="77"/>
      <c r="M109" s="245"/>
      <c r="N109" s="245"/>
      <c r="O109" s="245"/>
      <c r="P109" s="245"/>
      <c r="Q109" s="245"/>
      <c r="R109" s="245"/>
      <c r="S109" s="245"/>
      <c r="T109" s="245"/>
      <c r="U109" s="245"/>
      <c r="V109" s="245"/>
      <c r="W109" s="245"/>
      <c r="X109" s="245"/>
      <c r="Y109" s="245"/>
      <c r="Z109" s="245"/>
    </row>
    <row r="110" ht="14.25" customHeight="1">
      <c r="A110" s="245"/>
      <c r="B110" s="344" t="s">
        <v>1568</v>
      </c>
      <c r="C110" s="345">
        <v>18.695963276121603</v>
      </c>
      <c r="D110" s="345">
        <v>895.582351999999</v>
      </c>
      <c r="E110" s="326"/>
      <c r="F110" s="80"/>
      <c r="G110" s="245"/>
      <c r="H110" s="245"/>
      <c r="I110" s="329"/>
      <c r="J110" s="329"/>
      <c r="K110" s="569"/>
      <c r="L110" s="77"/>
      <c r="M110" s="245"/>
      <c r="N110" s="245"/>
      <c r="O110" s="245"/>
      <c r="P110" s="245"/>
      <c r="Q110" s="245"/>
      <c r="R110" s="245"/>
      <c r="S110" s="245"/>
      <c r="T110" s="245"/>
      <c r="U110" s="245"/>
      <c r="V110" s="245"/>
      <c r="W110" s="245"/>
      <c r="X110" s="245"/>
      <c r="Y110" s="245"/>
      <c r="Z110" s="245"/>
    </row>
    <row r="111" ht="14.25" customHeight="1">
      <c r="A111" s="245"/>
      <c r="B111" s="344" t="s">
        <v>1569</v>
      </c>
      <c r="C111" s="345">
        <v>1588.1565420887039</v>
      </c>
      <c r="D111" s="345">
        <v>76076.5815199999</v>
      </c>
      <c r="E111" s="326"/>
      <c r="F111" s="80"/>
      <c r="G111" s="245"/>
      <c r="H111" s="245"/>
      <c r="I111" s="329"/>
      <c r="J111" s="329"/>
      <c r="K111" s="348"/>
      <c r="L111" s="348"/>
      <c r="M111" s="245"/>
      <c r="N111" s="245"/>
      <c r="O111" s="245"/>
      <c r="P111" s="245"/>
      <c r="Q111" s="245"/>
      <c r="R111" s="245"/>
      <c r="S111" s="245"/>
      <c r="T111" s="245"/>
      <c r="U111" s="245"/>
      <c r="V111" s="245"/>
      <c r="W111" s="245"/>
      <c r="X111" s="245"/>
      <c r="Y111" s="245"/>
      <c r="Z111" s="245"/>
    </row>
    <row r="112" ht="14.25" customHeight="1">
      <c r="A112" s="245"/>
      <c r="B112" s="344" t="s">
        <v>1570</v>
      </c>
      <c r="C112" s="345">
        <v>0.2286274880458368</v>
      </c>
      <c r="D112" s="345">
        <v>10.95181576</v>
      </c>
      <c r="E112" s="326"/>
      <c r="F112" s="80"/>
      <c r="G112" s="245"/>
      <c r="H112" s="245"/>
      <c r="I112" s="245"/>
      <c r="J112" s="245"/>
      <c r="K112" s="569"/>
      <c r="L112" s="77"/>
      <c r="M112" s="245"/>
      <c r="N112" s="245"/>
      <c r="O112" s="245"/>
      <c r="P112" s="245"/>
      <c r="Q112" s="245"/>
      <c r="R112" s="245"/>
      <c r="S112" s="245"/>
      <c r="T112" s="245"/>
      <c r="U112" s="245"/>
      <c r="V112" s="245"/>
      <c r="W112" s="245"/>
      <c r="X112" s="245"/>
      <c r="Y112" s="245"/>
      <c r="Z112" s="245"/>
    </row>
    <row r="113" ht="14.25" customHeight="1">
      <c r="A113" s="245"/>
      <c r="B113" s="344" t="s">
        <v>1571</v>
      </c>
      <c r="C113" s="345">
        <v>15.603068555170559</v>
      </c>
      <c r="D113" s="345">
        <v>747.425132799999</v>
      </c>
      <c r="E113" s="326"/>
      <c r="F113" s="80"/>
      <c r="G113" s="245"/>
      <c r="H113" s="245"/>
      <c r="I113" s="245"/>
      <c r="J113" s="245"/>
      <c r="K113" s="569"/>
      <c r="L113" s="77"/>
      <c r="M113" s="245"/>
      <c r="N113" s="245"/>
      <c r="O113" s="245"/>
      <c r="P113" s="245"/>
      <c r="Q113" s="245"/>
      <c r="R113" s="245"/>
      <c r="S113" s="245"/>
      <c r="T113" s="245"/>
      <c r="U113" s="245"/>
      <c r="V113" s="245"/>
      <c r="W113" s="245"/>
      <c r="X113" s="245"/>
      <c r="Y113" s="245"/>
      <c r="Z113" s="245"/>
    </row>
    <row r="114" ht="14.25" customHeight="1">
      <c r="A114" s="245"/>
      <c r="B114" s="344" t="s">
        <v>1558</v>
      </c>
      <c r="C114" s="345">
        <v>294.3594173847168</v>
      </c>
      <c r="D114" s="345">
        <v>14100.53584</v>
      </c>
      <c r="E114" s="326"/>
      <c r="F114" s="80"/>
      <c r="G114" s="245"/>
      <c r="H114" s="245"/>
      <c r="I114" s="245"/>
      <c r="J114" s="245"/>
      <c r="K114" s="569"/>
      <c r="L114" s="77"/>
      <c r="M114" s="245"/>
      <c r="N114" s="245"/>
      <c r="O114" s="245"/>
      <c r="P114" s="245"/>
      <c r="Q114" s="245"/>
      <c r="R114" s="245"/>
      <c r="S114" s="245"/>
      <c r="T114" s="245"/>
      <c r="U114" s="245"/>
      <c r="V114" s="245"/>
      <c r="W114" s="245"/>
      <c r="X114" s="245"/>
      <c r="Y114" s="245"/>
      <c r="Z114" s="245"/>
    </row>
    <row r="115" ht="14.25" customHeight="1">
      <c r="A115" s="245"/>
      <c r="B115" s="344" t="s">
        <v>1572</v>
      </c>
      <c r="C115" s="345">
        <v>31.64783927181696</v>
      </c>
      <c r="D115" s="345">
        <v>1516.008888</v>
      </c>
      <c r="E115" s="326"/>
      <c r="F115" s="80"/>
      <c r="G115" s="245"/>
      <c r="H115" s="245"/>
      <c r="I115" s="245"/>
      <c r="J115" s="245"/>
      <c r="K115" s="245"/>
      <c r="L115" s="245"/>
      <c r="M115" s="245"/>
      <c r="N115" s="245"/>
      <c r="O115" s="245"/>
      <c r="P115" s="245"/>
      <c r="Q115" s="245"/>
      <c r="R115" s="245"/>
      <c r="S115" s="245"/>
      <c r="T115" s="245"/>
      <c r="U115" s="245"/>
      <c r="V115" s="245"/>
      <c r="W115" s="245"/>
      <c r="X115" s="245"/>
      <c r="Y115" s="245"/>
      <c r="Z115" s="245"/>
    </row>
    <row r="116" ht="14.25" customHeight="1">
      <c r="A116" s="245"/>
      <c r="B116" s="344" t="s">
        <v>1573</v>
      </c>
      <c r="C116" s="345">
        <v>6.356832945754745</v>
      </c>
      <c r="D116" s="345">
        <v>304.5078416</v>
      </c>
      <c r="E116" s="326"/>
      <c r="F116" s="80"/>
      <c r="G116" s="245"/>
      <c r="H116" s="245"/>
      <c r="I116" s="245"/>
      <c r="J116" s="245"/>
      <c r="K116" s="245"/>
      <c r="L116" s="245"/>
      <c r="M116" s="245"/>
      <c r="N116" s="245"/>
      <c r="O116" s="245"/>
      <c r="P116" s="245"/>
      <c r="Q116" s="245"/>
      <c r="R116" s="245"/>
      <c r="S116" s="245"/>
      <c r="T116" s="245"/>
      <c r="U116" s="245"/>
      <c r="V116" s="245"/>
      <c r="W116" s="245"/>
      <c r="X116" s="245"/>
      <c r="Y116" s="245"/>
      <c r="Z116" s="245"/>
    </row>
    <row r="117" ht="14.25" customHeight="1">
      <c r="A117" s="245"/>
      <c r="B117" s="344" t="s">
        <v>1574</v>
      </c>
      <c r="C117" s="345">
        <v>2.09429480959488</v>
      </c>
      <c r="D117" s="345">
        <v>100.3218424</v>
      </c>
      <c r="E117" s="570"/>
      <c r="F117" s="80"/>
      <c r="G117" s="245"/>
      <c r="H117" s="245"/>
      <c r="I117" s="245"/>
      <c r="J117" s="245"/>
      <c r="K117" s="245"/>
      <c r="L117" s="245"/>
      <c r="M117" s="245"/>
      <c r="N117" s="245"/>
      <c r="O117" s="245"/>
      <c r="P117" s="245"/>
      <c r="Q117" s="245"/>
      <c r="R117" s="245"/>
      <c r="S117" s="245"/>
      <c r="T117" s="245"/>
      <c r="U117" s="245"/>
      <c r="V117" s="245"/>
      <c r="W117" s="245"/>
      <c r="X117" s="245"/>
      <c r="Y117" s="245"/>
      <c r="Z117" s="245"/>
    </row>
    <row r="118" ht="15.0" customHeight="1">
      <c r="A118" s="245"/>
      <c r="B118" s="245"/>
      <c r="C118" s="329"/>
      <c r="D118" s="329"/>
      <c r="E118" s="569"/>
      <c r="F118" s="77"/>
      <c r="G118" s="245"/>
      <c r="H118" s="245"/>
      <c r="I118" s="245"/>
      <c r="J118" s="245"/>
      <c r="K118" s="245"/>
      <c r="L118" s="245"/>
      <c r="M118" s="245"/>
      <c r="N118" s="245"/>
      <c r="O118" s="245"/>
      <c r="P118" s="245"/>
      <c r="Q118" s="245"/>
      <c r="R118" s="245"/>
      <c r="S118" s="245"/>
      <c r="T118" s="245"/>
      <c r="U118" s="245"/>
      <c r="V118" s="245"/>
      <c r="W118" s="245"/>
      <c r="X118" s="245"/>
      <c r="Y118" s="245"/>
      <c r="Z118" s="245"/>
    </row>
    <row r="119" ht="14.25" customHeight="1">
      <c r="A119" s="245"/>
      <c r="B119" s="245"/>
      <c r="C119" s="571"/>
      <c r="D119" s="77"/>
      <c r="E119" s="569"/>
      <c r="F119" s="77"/>
      <c r="G119" s="245"/>
      <c r="H119" s="245"/>
      <c r="I119" s="245"/>
      <c r="J119" s="245"/>
      <c r="K119" s="245"/>
      <c r="L119" s="245"/>
      <c r="M119" s="245"/>
      <c r="N119" s="245"/>
      <c r="O119" s="245"/>
      <c r="P119" s="245"/>
      <c r="Q119" s="245"/>
      <c r="R119" s="245"/>
      <c r="S119" s="245"/>
      <c r="T119" s="245"/>
      <c r="U119" s="245"/>
      <c r="V119" s="245"/>
      <c r="W119" s="245"/>
      <c r="X119" s="245"/>
      <c r="Y119" s="245"/>
      <c r="Z119" s="245"/>
    </row>
    <row r="120" ht="18.0"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24.0" customHeight="1">
      <c r="A121" s="74"/>
      <c r="B121" s="110" t="s">
        <v>163</v>
      </c>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22.5" customHeight="1">
      <c r="A122" s="74"/>
      <c r="B122" s="188" t="s">
        <v>1575</v>
      </c>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22.5" customHeight="1">
      <c r="A123" s="74"/>
      <c r="B123" s="188" t="s">
        <v>165</v>
      </c>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22.5" customHeight="1">
      <c r="A124" s="74"/>
      <c r="B124" s="188" t="s">
        <v>166</v>
      </c>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34.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37.5" customHeight="1">
      <c r="A126" s="74"/>
      <c r="B126" s="267" t="s">
        <v>167</v>
      </c>
      <c r="C126" s="376" t="s">
        <v>168</v>
      </c>
      <c r="D126" s="377"/>
      <c r="E126" s="324"/>
      <c r="F126" s="74"/>
      <c r="G126" s="74"/>
      <c r="H126" s="74"/>
      <c r="I126" s="74"/>
      <c r="J126" s="74"/>
      <c r="K126" s="74"/>
      <c r="L126" s="74"/>
      <c r="M126" s="74"/>
      <c r="N126" s="74"/>
      <c r="O126" s="74"/>
      <c r="P126" s="74"/>
      <c r="Q126" s="74"/>
      <c r="R126" s="74"/>
      <c r="S126" s="74"/>
      <c r="T126" s="74"/>
      <c r="U126" s="74"/>
      <c r="V126" s="74"/>
      <c r="W126" s="74"/>
      <c r="X126" s="74"/>
      <c r="Y126" s="74"/>
      <c r="Z126" s="74"/>
    </row>
    <row r="127" ht="48.75" customHeight="1">
      <c r="A127" s="74"/>
      <c r="B127" s="271">
        <v>1.0</v>
      </c>
      <c r="C127" s="367" t="s">
        <v>1576</v>
      </c>
      <c r="D127" s="93"/>
      <c r="E127" s="94"/>
      <c r="F127" s="74"/>
      <c r="G127" s="74"/>
      <c r="H127" s="74"/>
      <c r="I127" s="74"/>
      <c r="J127" s="74"/>
      <c r="K127" s="74"/>
      <c r="L127" s="74"/>
      <c r="M127" s="74"/>
      <c r="N127" s="74"/>
      <c r="O127" s="74"/>
      <c r="P127" s="74"/>
      <c r="Q127" s="74"/>
      <c r="R127" s="74"/>
      <c r="S127" s="74"/>
      <c r="T127" s="74"/>
      <c r="U127" s="74"/>
      <c r="V127" s="74"/>
      <c r="W127" s="74"/>
      <c r="X127" s="74"/>
      <c r="Y127" s="74"/>
      <c r="Z127" s="74"/>
    </row>
    <row r="128" ht="42.0" customHeight="1">
      <c r="A128" s="74"/>
      <c r="B128" s="273">
        <v>2.0</v>
      </c>
      <c r="C128" s="368" t="s">
        <v>1577</v>
      </c>
      <c r="E128" s="29"/>
      <c r="F128" s="74"/>
      <c r="G128" s="74"/>
      <c r="H128" s="74"/>
      <c r="I128" s="74"/>
      <c r="J128" s="74"/>
      <c r="K128" s="74"/>
      <c r="L128" s="74"/>
      <c r="M128" s="74"/>
      <c r="N128" s="74"/>
      <c r="O128" s="74"/>
      <c r="P128" s="74"/>
      <c r="Q128" s="74"/>
      <c r="R128" s="74"/>
      <c r="S128" s="74"/>
      <c r="T128" s="74"/>
      <c r="U128" s="74"/>
      <c r="V128" s="74"/>
      <c r="W128" s="74"/>
      <c r="X128" s="74"/>
      <c r="Y128" s="74"/>
      <c r="Z128" s="74"/>
    </row>
    <row r="129" ht="42.0" customHeight="1">
      <c r="A129" s="74"/>
      <c r="B129" s="273">
        <v>3.0</v>
      </c>
      <c r="C129" s="368" t="s">
        <v>1578</v>
      </c>
      <c r="E129" s="29"/>
      <c r="F129" s="74"/>
      <c r="G129" s="74"/>
      <c r="H129" s="74"/>
      <c r="I129" s="74"/>
      <c r="J129" s="74"/>
      <c r="K129" s="74"/>
      <c r="L129" s="74"/>
      <c r="M129" s="74"/>
      <c r="N129" s="74"/>
      <c r="O129" s="74"/>
      <c r="P129" s="74"/>
      <c r="Q129" s="74"/>
      <c r="R129" s="74"/>
      <c r="S129" s="74"/>
      <c r="T129" s="74"/>
      <c r="U129" s="74"/>
      <c r="V129" s="74"/>
      <c r="W129" s="74"/>
      <c r="X129" s="74"/>
      <c r="Y129" s="74"/>
      <c r="Z129" s="74"/>
    </row>
    <row r="130" ht="48.75" customHeight="1">
      <c r="A130" s="74"/>
      <c r="B130" s="273">
        <v>4.0</v>
      </c>
      <c r="C130" s="368" t="s">
        <v>1579</v>
      </c>
      <c r="E130" s="29"/>
      <c r="F130" s="74"/>
      <c r="G130" s="74"/>
      <c r="H130" s="74"/>
      <c r="I130" s="74"/>
      <c r="J130" s="74"/>
      <c r="K130" s="74"/>
      <c r="L130" s="74"/>
      <c r="M130" s="74"/>
      <c r="N130" s="74"/>
      <c r="O130" s="74"/>
      <c r="P130" s="74"/>
      <c r="Q130" s="74"/>
      <c r="R130" s="74"/>
      <c r="S130" s="74"/>
      <c r="T130" s="74"/>
      <c r="U130" s="74"/>
      <c r="V130" s="74"/>
      <c r="W130" s="74"/>
      <c r="X130" s="74"/>
      <c r="Y130" s="74"/>
      <c r="Z130" s="74"/>
    </row>
    <row r="131" ht="42.0" customHeight="1">
      <c r="A131" s="74"/>
      <c r="B131" s="273">
        <v>5.0</v>
      </c>
      <c r="C131" s="368" t="s">
        <v>1580</v>
      </c>
      <c r="E131" s="29"/>
      <c r="F131" s="74"/>
      <c r="G131" s="74"/>
      <c r="H131" s="74"/>
      <c r="I131" s="74"/>
      <c r="J131" s="74"/>
      <c r="K131" s="74"/>
      <c r="L131" s="74"/>
      <c r="M131" s="74"/>
      <c r="N131" s="74"/>
      <c r="O131" s="74"/>
      <c r="P131" s="74"/>
      <c r="Q131" s="74"/>
      <c r="R131" s="74"/>
      <c r="S131" s="74"/>
      <c r="T131" s="74"/>
      <c r="U131" s="74"/>
      <c r="V131" s="74"/>
      <c r="W131" s="74"/>
      <c r="X131" s="74"/>
      <c r="Y131" s="74"/>
      <c r="Z131" s="74"/>
    </row>
    <row r="132" ht="66.0" customHeight="1">
      <c r="A132" s="74"/>
      <c r="B132" s="273">
        <v>6.0</v>
      </c>
      <c r="C132" s="368" t="s">
        <v>1581</v>
      </c>
      <c r="E132" s="29"/>
      <c r="F132" s="74"/>
      <c r="G132" s="74"/>
      <c r="H132" s="74"/>
      <c r="I132" s="74"/>
      <c r="J132" s="74"/>
      <c r="K132" s="74"/>
      <c r="L132" s="74"/>
      <c r="M132" s="74"/>
      <c r="N132" s="74"/>
      <c r="O132" s="74"/>
      <c r="P132" s="74"/>
      <c r="Q132" s="74"/>
      <c r="R132" s="74"/>
      <c r="S132" s="74"/>
      <c r="T132" s="74"/>
      <c r="U132" s="74"/>
      <c r="V132" s="74"/>
      <c r="W132" s="74"/>
      <c r="X132" s="74"/>
      <c r="Y132" s="74"/>
      <c r="Z132" s="74"/>
    </row>
    <row r="133" ht="42.0" customHeight="1">
      <c r="A133" s="74"/>
      <c r="B133" s="273">
        <v>7.0</v>
      </c>
      <c r="C133" s="572" t="s">
        <v>1582</v>
      </c>
      <c r="E133" s="29"/>
      <c r="F133" s="74"/>
      <c r="G133" s="74"/>
      <c r="H133" s="74"/>
      <c r="I133" s="74"/>
      <c r="J133" s="74"/>
      <c r="K133" s="74"/>
      <c r="L133" s="74"/>
      <c r="M133" s="74"/>
      <c r="N133" s="74"/>
      <c r="O133" s="74"/>
      <c r="P133" s="74"/>
      <c r="Q133" s="74"/>
      <c r="R133" s="74"/>
      <c r="S133" s="74"/>
      <c r="T133" s="74"/>
      <c r="U133" s="74"/>
      <c r="V133" s="74"/>
      <c r="W133" s="74"/>
      <c r="X133" s="74"/>
      <c r="Y133" s="74"/>
      <c r="Z133" s="74"/>
    </row>
    <row r="134" ht="42.0" customHeight="1">
      <c r="A134" s="74"/>
      <c r="B134" s="273">
        <v>8.0</v>
      </c>
      <c r="C134" s="573" t="s">
        <v>1583</v>
      </c>
      <c r="E134" s="29"/>
      <c r="F134" s="74"/>
      <c r="G134" s="74"/>
      <c r="H134" s="74"/>
      <c r="I134" s="74"/>
      <c r="J134" s="74"/>
      <c r="K134" s="74"/>
      <c r="L134" s="74"/>
      <c r="M134" s="74"/>
      <c r="N134" s="74"/>
      <c r="O134" s="74"/>
      <c r="P134" s="74"/>
      <c r="Q134" s="74"/>
      <c r="R134" s="74"/>
      <c r="S134" s="74"/>
      <c r="T134" s="74"/>
      <c r="U134" s="74"/>
      <c r="V134" s="74"/>
      <c r="W134" s="74"/>
      <c r="X134" s="74"/>
      <c r="Y134" s="74"/>
      <c r="Z134" s="74"/>
    </row>
    <row r="135" ht="42.0" customHeight="1">
      <c r="A135" s="74"/>
      <c r="B135" s="273">
        <v>9.0</v>
      </c>
      <c r="C135" s="572" t="s">
        <v>1584</v>
      </c>
      <c r="E135" s="29"/>
      <c r="F135" s="74"/>
      <c r="G135" s="74"/>
      <c r="H135" s="74"/>
      <c r="I135" s="74"/>
      <c r="J135" s="74"/>
      <c r="K135" s="74"/>
      <c r="L135" s="74"/>
      <c r="M135" s="74"/>
      <c r="N135" s="74"/>
      <c r="O135" s="74"/>
      <c r="P135" s="74"/>
      <c r="Q135" s="74"/>
      <c r="R135" s="74"/>
      <c r="S135" s="74"/>
      <c r="T135" s="74"/>
      <c r="U135" s="74"/>
      <c r="V135" s="74"/>
      <c r="W135" s="74"/>
      <c r="X135" s="74"/>
      <c r="Y135" s="74"/>
      <c r="Z135" s="74"/>
    </row>
    <row r="136" ht="42.0" customHeight="1">
      <c r="A136" s="74"/>
      <c r="B136" s="479">
        <v>10.0</v>
      </c>
      <c r="C136" s="574" t="s">
        <v>1585</v>
      </c>
      <c r="D136" s="95"/>
      <c r="E136" s="38"/>
      <c r="F136" s="74"/>
      <c r="G136" s="74"/>
      <c r="H136" s="74"/>
      <c r="I136" s="74"/>
      <c r="J136" s="74"/>
      <c r="K136" s="74"/>
      <c r="L136" s="74"/>
      <c r="M136" s="74"/>
      <c r="N136" s="74"/>
      <c r="O136" s="74"/>
      <c r="P136" s="74"/>
      <c r="Q136" s="74"/>
      <c r="R136" s="74"/>
      <c r="S136" s="74"/>
      <c r="T136" s="74"/>
      <c r="U136" s="74"/>
      <c r="V136" s="74"/>
      <c r="W136" s="74"/>
      <c r="X136" s="74"/>
      <c r="Y136" s="74"/>
      <c r="Z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59">
    <mergeCell ref="K113:L113"/>
    <mergeCell ref="K114:L114"/>
    <mergeCell ref="E110:F110"/>
    <mergeCell ref="K110:L110"/>
    <mergeCell ref="E111:F111"/>
    <mergeCell ref="E112:F112"/>
    <mergeCell ref="K112:L112"/>
    <mergeCell ref="E113:F113"/>
    <mergeCell ref="E114:F114"/>
    <mergeCell ref="C134:E134"/>
    <mergeCell ref="C135:E135"/>
    <mergeCell ref="C136:E136"/>
    <mergeCell ref="C127:E127"/>
    <mergeCell ref="C128:E128"/>
    <mergeCell ref="C129:E129"/>
    <mergeCell ref="C130:E130"/>
    <mergeCell ref="C131:E131"/>
    <mergeCell ref="C132:E132"/>
    <mergeCell ref="C133:E133"/>
    <mergeCell ref="B3:O3"/>
    <mergeCell ref="B4:O4"/>
    <mergeCell ref="B6:C6"/>
    <mergeCell ref="E6:O7"/>
    <mergeCell ref="B7:C7"/>
    <mergeCell ref="B10:O14"/>
    <mergeCell ref="B19:O23"/>
    <mergeCell ref="K89:L89"/>
    <mergeCell ref="K90:L90"/>
    <mergeCell ref="C62:D62"/>
    <mergeCell ref="H66:J66"/>
    <mergeCell ref="K79:L79"/>
    <mergeCell ref="E88:F88"/>
    <mergeCell ref="K88:L88"/>
    <mergeCell ref="E89:F89"/>
    <mergeCell ref="E90:F90"/>
    <mergeCell ref="E91:F91"/>
    <mergeCell ref="K91:L91"/>
    <mergeCell ref="E92:F92"/>
    <mergeCell ref="K92:L92"/>
    <mergeCell ref="E93:F93"/>
    <mergeCell ref="E96:F96"/>
    <mergeCell ref="K96:L96"/>
    <mergeCell ref="K106:L106"/>
    <mergeCell ref="K108:L108"/>
    <mergeCell ref="K109:L109"/>
    <mergeCell ref="E99:F99"/>
    <mergeCell ref="K99:L99"/>
    <mergeCell ref="K102:L102"/>
    <mergeCell ref="E105:F105"/>
    <mergeCell ref="K105:L105"/>
    <mergeCell ref="E106:F106"/>
    <mergeCell ref="E108:F108"/>
    <mergeCell ref="E115:F115"/>
    <mergeCell ref="E116:F116"/>
    <mergeCell ref="E117:F117"/>
    <mergeCell ref="E118:F118"/>
    <mergeCell ref="C119:D119"/>
    <mergeCell ref="E119:F119"/>
    <mergeCell ref="C126:E126"/>
  </mergeCells>
  <hyperlinks>
    <hyperlink r:id="rId1" ref="C134"/>
  </hyperlinks>
  <printOptions/>
  <pageMargins bottom="1.0" footer="0.0" header="0.0" left="0.75" right="0.75" top="1.0"/>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49.57"/>
    <col customWidth="1" min="4" max="4" width="32.57"/>
    <col customWidth="1" min="5" max="5" width="26.0"/>
    <col customWidth="1" min="6" max="6" width="25.43"/>
    <col customWidth="1" min="7" max="7" width="30.14"/>
    <col customWidth="1" min="8" max="8" width="20.0"/>
    <col customWidth="1" min="9" max="9" width="19.86"/>
    <col customWidth="1" min="10" max="10" width="27.57"/>
    <col customWidth="1" min="11" max="11" width="35.43"/>
    <col customWidth="1" min="12" max="12" width="27.86"/>
    <col customWidth="1" min="13" max="13" width="13.43"/>
    <col customWidth="1" min="14" max="14" width="19.86"/>
    <col customWidth="1" min="15" max="15" width="21.57"/>
    <col customWidth="1" min="16" max="16" width="18.86"/>
    <col customWidth="1" min="17"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1586</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79" t="s">
        <v>85</v>
      </c>
      <c r="C6" s="80"/>
      <c r="D6" s="81" t="s">
        <v>1587</v>
      </c>
      <c r="E6" s="82" t="s">
        <v>1588</v>
      </c>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t="s">
        <v>88</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97" t="s">
        <v>1589</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136.5"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575" t="s">
        <v>1590</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95.25" customHeight="1">
      <c r="A22" s="74"/>
      <c r="B22" s="28"/>
      <c r="O22" s="29"/>
      <c r="P22" s="74"/>
      <c r="Q22" s="74"/>
      <c r="R22" s="74"/>
      <c r="S22" s="74"/>
      <c r="T22" s="74"/>
      <c r="U22" s="74"/>
      <c r="V22" s="74"/>
      <c r="W22" s="74"/>
      <c r="X22" s="74"/>
      <c r="Y22" s="74"/>
      <c r="Z22" s="74"/>
    </row>
    <row r="23" ht="391.5"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74"/>
      <c r="L36" s="113"/>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74"/>
      <c r="D61" s="74"/>
      <c r="E61" s="74"/>
      <c r="F61" s="74"/>
      <c r="G61" s="74"/>
      <c r="H61" s="74"/>
      <c r="I61" s="74"/>
      <c r="J61" s="74"/>
      <c r="K61" s="74"/>
      <c r="L61" s="74"/>
      <c r="M61" s="74"/>
      <c r="N61" s="74"/>
      <c r="O61" s="109"/>
      <c r="P61" s="74"/>
      <c r="Q61" s="74"/>
      <c r="R61" s="74"/>
      <c r="S61" s="74"/>
      <c r="T61" s="74"/>
      <c r="U61" s="74"/>
      <c r="V61" s="74"/>
      <c r="W61" s="74"/>
      <c r="X61" s="74"/>
      <c r="Y61" s="74"/>
      <c r="Z61" s="74"/>
    </row>
    <row r="62" ht="14.25" customHeight="1">
      <c r="A62" s="74"/>
      <c r="B62" s="74"/>
      <c r="C62" s="74"/>
      <c r="D62" s="74"/>
      <c r="E62" s="74"/>
      <c r="F62" s="74"/>
      <c r="G62" s="74"/>
      <c r="H62" s="74"/>
      <c r="I62" s="74"/>
      <c r="J62" s="74"/>
      <c r="K62" s="74"/>
      <c r="L62" s="74"/>
      <c r="M62" s="74"/>
      <c r="N62" s="74"/>
      <c r="O62" s="105"/>
      <c r="P62" s="74"/>
      <c r="Q62" s="74"/>
      <c r="R62" s="74"/>
      <c r="S62" s="74"/>
      <c r="T62" s="74"/>
      <c r="U62" s="74"/>
      <c r="V62" s="74"/>
      <c r="W62" s="74"/>
      <c r="X62" s="74"/>
      <c r="Y62" s="74"/>
      <c r="Z62" s="74"/>
    </row>
    <row r="63" ht="14.25" customHeight="1">
      <c r="A63" s="74"/>
      <c r="B63" s="74"/>
      <c r="C63" s="74"/>
      <c r="D63" s="74"/>
      <c r="E63" s="74"/>
      <c r="F63" s="74"/>
      <c r="G63" s="74"/>
      <c r="H63" s="74"/>
      <c r="I63" s="74"/>
      <c r="J63" s="74"/>
      <c r="K63" s="74"/>
      <c r="L63" s="74"/>
      <c r="M63" s="74"/>
      <c r="N63" s="74"/>
      <c r="O63" s="105"/>
      <c r="P63" s="74"/>
      <c r="Q63" s="74"/>
      <c r="R63" s="74"/>
      <c r="S63" s="74"/>
      <c r="T63" s="74"/>
      <c r="U63" s="74"/>
      <c r="V63" s="74"/>
      <c r="W63" s="74"/>
      <c r="X63" s="74"/>
      <c r="Y63" s="74"/>
      <c r="Z63" s="74"/>
    </row>
    <row r="64" ht="14.25" customHeight="1">
      <c r="A64" s="74"/>
      <c r="B64" s="74"/>
      <c r="C64" s="74"/>
      <c r="D64" s="74"/>
      <c r="E64" s="74"/>
      <c r="F64" s="74"/>
      <c r="G64" s="74"/>
      <c r="H64" s="74"/>
      <c r="I64" s="74"/>
      <c r="J64" s="74"/>
      <c r="K64" s="74"/>
      <c r="L64" s="74"/>
      <c r="M64" s="74"/>
      <c r="N64" s="74"/>
      <c r="O64" s="105"/>
      <c r="P64" s="74"/>
      <c r="Q64" s="74"/>
      <c r="R64" s="74"/>
      <c r="S64" s="74"/>
      <c r="T64" s="74"/>
      <c r="U64" s="74"/>
      <c r="V64" s="74"/>
      <c r="W64" s="74"/>
      <c r="X64" s="74"/>
      <c r="Y64" s="74"/>
      <c r="Z64" s="74"/>
    </row>
    <row r="65" ht="14.25" customHeight="1">
      <c r="A65" s="74"/>
      <c r="B65" s="74"/>
      <c r="C65" s="74"/>
      <c r="D65" s="74"/>
      <c r="E65" s="74"/>
      <c r="F65" s="74"/>
      <c r="G65" s="74"/>
      <c r="H65" s="74"/>
      <c r="I65" s="74"/>
      <c r="J65" s="74"/>
      <c r="K65" s="74"/>
      <c r="L65" s="74"/>
      <c r="M65" s="74"/>
      <c r="N65" s="74"/>
      <c r="O65" s="105"/>
      <c r="P65" s="74"/>
      <c r="Q65" s="74"/>
      <c r="R65" s="74"/>
      <c r="S65" s="74"/>
      <c r="T65" s="74"/>
      <c r="U65" s="74"/>
      <c r="V65" s="74"/>
      <c r="W65" s="74"/>
      <c r="X65" s="74"/>
      <c r="Y65" s="74"/>
      <c r="Z65" s="74"/>
    </row>
    <row r="66" ht="14.25" customHeight="1">
      <c r="A66" s="74"/>
      <c r="B66" s="74"/>
      <c r="C66" s="74" t="s">
        <v>1591</v>
      </c>
      <c r="D66" s="74"/>
      <c r="E66" s="74"/>
      <c r="F66" s="74"/>
      <c r="G66" s="74"/>
      <c r="H66" s="74"/>
      <c r="I66" s="74"/>
      <c r="J66" s="74"/>
      <c r="K66" s="74" t="s">
        <v>1592</v>
      </c>
      <c r="L66" s="74"/>
      <c r="M66" s="74"/>
      <c r="N66" s="74"/>
      <c r="O66" s="105"/>
      <c r="P66" s="74"/>
      <c r="Q66" s="74"/>
      <c r="R66" s="74"/>
      <c r="S66" s="74"/>
      <c r="T66" s="74"/>
      <c r="U66" s="74"/>
      <c r="V66" s="74"/>
      <c r="W66" s="74"/>
      <c r="X66" s="74"/>
      <c r="Y66" s="74"/>
      <c r="Z66" s="74"/>
    </row>
    <row r="67" ht="14.25" customHeight="1">
      <c r="A67" s="74"/>
      <c r="B67" s="74"/>
      <c r="C67" s="74"/>
      <c r="D67" s="74"/>
      <c r="E67" s="74"/>
      <c r="F67" s="201"/>
      <c r="G67" s="200"/>
      <c r="H67" s="74"/>
      <c r="I67" s="74"/>
      <c r="J67" s="74"/>
      <c r="K67" s="74"/>
      <c r="L67" s="74"/>
      <c r="M67" s="74"/>
      <c r="N67" s="74"/>
      <c r="O67" s="105"/>
      <c r="P67" s="74"/>
      <c r="Q67" s="74"/>
      <c r="R67" s="74"/>
      <c r="S67" s="74"/>
      <c r="T67" s="74"/>
      <c r="U67" s="74"/>
      <c r="V67" s="74"/>
      <c r="W67" s="74"/>
      <c r="X67" s="74"/>
      <c r="Y67" s="74"/>
      <c r="Z67" s="74"/>
    </row>
    <row r="68" ht="14.25" customHeight="1">
      <c r="A68" s="74"/>
      <c r="B68" s="74"/>
      <c r="C68" s="74"/>
      <c r="D68" s="74"/>
      <c r="E68" s="74"/>
      <c r="F68" s="74"/>
      <c r="G68" s="74"/>
      <c r="H68" s="74"/>
      <c r="I68" s="74"/>
      <c r="J68" s="74"/>
      <c r="K68" s="74"/>
      <c r="L68" s="74"/>
      <c r="M68" s="74"/>
      <c r="N68" s="74"/>
      <c r="O68" s="105"/>
      <c r="P68" s="74"/>
      <c r="Q68" s="74"/>
      <c r="R68" s="74"/>
      <c r="S68" s="74"/>
      <c r="T68" s="74"/>
      <c r="U68" s="74"/>
      <c r="V68" s="74"/>
      <c r="W68" s="74"/>
      <c r="X68" s="74"/>
      <c r="Y68" s="74"/>
      <c r="Z68" s="74"/>
    </row>
    <row r="69" ht="14.25" customHeight="1">
      <c r="A69" s="74"/>
      <c r="B69" s="74"/>
      <c r="C69" s="74"/>
      <c r="D69" s="74"/>
      <c r="E69" s="74"/>
      <c r="F69" s="74"/>
      <c r="G69" s="74"/>
      <c r="H69" s="74"/>
      <c r="I69" s="74"/>
      <c r="J69" s="74"/>
      <c r="K69" s="74"/>
      <c r="L69" s="74"/>
      <c r="M69" s="74"/>
      <c r="N69" s="74"/>
      <c r="O69" s="105"/>
      <c r="P69" s="74"/>
      <c r="Q69" s="74"/>
      <c r="R69" s="74"/>
      <c r="S69" s="74"/>
      <c r="T69" s="74"/>
      <c r="U69" s="74"/>
      <c r="V69" s="74"/>
      <c r="W69" s="74"/>
      <c r="X69" s="74"/>
      <c r="Y69" s="74"/>
      <c r="Z69" s="74"/>
    </row>
    <row r="70" ht="14.25" customHeight="1">
      <c r="A70" s="74"/>
      <c r="B70" s="74"/>
      <c r="C70" s="74"/>
      <c r="D70" s="74"/>
      <c r="E70" s="74"/>
      <c r="F70" s="74"/>
      <c r="G70" s="74"/>
      <c r="H70" s="74"/>
      <c r="I70" s="74"/>
      <c r="J70" s="74"/>
      <c r="K70" s="74"/>
      <c r="L70" s="74"/>
      <c r="M70" s="74"/>
      <c r="N70" s="74"/>
      <c r="O70" s="105"/>
      <c r="P70" s="74"/>
      <c r="Q70" s="74"/>
      <c r="R70" s="74"/>
      <c r="S70" s="74"/>
      <c r="T70" s="74"/>
      <c r="U70" s="74"/>
      <c r="V70" s="74"/>
      <c r="W70" s="74"/>
      <c r="X70" s="74"/>
      <c r="Y70" s="74"/>
      <c r="Z70" s="74"/>
    </row>
    <row r="71" ht="14.25" customHeight="1">
      <c r="A71" s="74"/>
      <c r="B71" s="110" t="s">
        <v>98</v>
      </c>
      <c r="C71" s="74"/>
      <c r="D71" s="74"/>
      <c r="E71" s="74"/>
      <c r="F71" s="74"/>
      <c r="G71" s="74"/>
      <c r="H71" s="74"/>
      <c r="I71" s="74"/>
      <c r="J71" s="74"/>
      <c r="K71" s="74"/>
      <c r="L71" s="74"/>
      <c r="M71" s="104"/>
      <c r="N71" s="109"/>
      <c r="O71" s="74"/>
      <c r="P71" s="74"/>
      <c r="Q71" s="74"/>
      <c r="R71" s="74"/>
      <c r="S71" s="74"/>
      <c r="T71" s="74"/>
      <c r="U71" s="74"/>
      <c r="V71" s="74"/>
      <c r="W71" s="74"/>
      <c r="X71" s="74"/>
      <c r="Y71" s="74"/>
      <c r="Z71" s="74"/>
    </row>
    <row r="72" ht="14.25" customHeight="1">
      <c r="A72" s="74"/>
      <c r="B72" s="74"/>
      <c r="C72" s="74"/>
      <c r="D72" s="74"/>
      <c r="E72" s="74"/>
      <c r="F72" s="74"/>
      <c r="G72" s="74"/>
      <c r="H72" s="74"/>
      <c r="I72" s="74"/>
      <c r="J72" s="74"/>
      <c r="K72" s="74"/>
      <c r="L72" s="74"/>
      <c r="M72" s="74"/>
      <c r="N72" s="104"/>
      <c r="O72" s="74"/>
      <c r="P72" s="74"/>
      <c r="Q72" s="74"/>
      <c r="R72" s="74"/>
      <c r="S72" s="74"/>
      <c r="T72" s="74"/>
      <c r="U72" s="74"/>
      <c r="V72" s="74"/>
      <c r="W72" s="74"/>
      <c r="X72" s="74"/>
      <c r="Y72" s="74"/>
      <c r="Z72" s="74"/>
    </row>
    <row r="73" ht="14.25" customHeight="1">
      <c r="A73" s="74"/>
      <c r="B73" s="113" t="s">
        <v>1593</v>
      </c>
      <c r="C73" s="111"/>
      <c r="D73" s="111"/>
      <c r="E73" s="112"/>
      <c r="F73" s="91"/>
      <c r="G73" s="113"/>
      <c r="H73" s="118" t="s">
        <v>100</v>
      </c>
      <c r="I73" s="119"/>
      <c r="J73" s="120"/>
      <c r="K73" s="74"/>
      <c r="L73" s="74"/>
      <c r="M73" s="74"/>
      <c r="N73" s="74"/>
      <c r="O73" s="74"/>
      <c r="P73" s="74"/>
      <c r="Q73" s="74"/>
      <c r="R73" s="74"/>
      <c r="S73" s="74"/>
      <c r="T73" s="74"/>
      <c r="U73" s="74"/>
      <c r="V73" s="74"/>
      <c r="W73" s="74"/>
      <c r="X73" s="74"/>
      <c r="Y73" s="74"/>
      <c r="Z73" s="74"/>
    </row>
    <row r="74" ht="14.25" customHeight="1">
      <c r="A74" s="74"/>
      <c r="B74" s="114" t="s">
        <v>99</v>
      </c>
      <c r="C74" s="115"/>
      <c r="D74" s="116"/>
      <c r="E74" s="74"/>
      <c r="F74" s="74"/>
      <c r="G74" s="74"/>
      <c r="H74" s="121" t="s">
        <v>102</v>
      </c>
      <c r="I74" s="121" t="s">
        <v>103</v>
      </c>
      <c r="J74" s="121" t="s">
        <v>1594</v>
      </c>
      <c r="K74" s="204" t="s">
        <v>240</v>
      </c>
      <c r="L74" s="204" t="s">
        <v>241</v>
      </c>
      <c r="M74" s="74"/>
      <c r="N74" s="118" t="s">
        <v>101</v>
      </c>
      <c r="O74" s="118"/>
      <c r="P74" s="74"/>
      <c r="Q74" s="74"/>
      <c r="R74" s="74"/>
      <c r="S74" s="74"/>
      <c r="T74" s="74"/>
      <c r="U74" s="74"/>
      <c r="V74" s="74"/>
      <c r="W74" s="74"/>
      <c r="X74" s="74"/>
      <c r="Y74" s="74"/>
      <c r="Z74" s="74"/>
    </row>
    <row r="75" ht="14.25" customHeight="1">
      <c r="A75" s="74"/>
      <c r="B75" s="121" t="s">
        <v>102</v>
      </c>
      <c r="C75" s="121" t="s">
        <v>103</v>
      </c>
      <c r="D75" s="121" t="s">
        <v>1594</v>
      </c>
      <c r="E75" s="204" t="s">
        <v>240</v>
      </c>
      <c r="F75" s="204" t="s">
        <v>241</v>
      </c>
      <c r="G75" s="74"/>
      <c r="H75" s="209" t="s">
        <v>1595</v>
      </c>
      <c r="I75" s="209" t="s">
        <v>1596</v>
      </c>
      <c r="J75" s="210">
        <f>347.350538028326/347</f>
        <v>1.001010196</v>
      </c>
      <c r="K75" s="208">
        <v>80.0</v>
      </c>
      <c r="L75" s="208">
        <v>2.0</v>
      </c>
      <c r="M75" s="74"/>
      <c r="N75" s="118" t="s">
        <v>105</v>
      </c>
      <c r="O75" s="122"/>
      <c r="P75" s="74"/>
      <c r="Q75" s="74"/>
      <c r="R75" s="74"/>
      <c r="S75" s="74"/>
      <c r="T75" s="74"/>
      <c r="U75" s="74"/>
      <c r="V75" s="74"/>
      <c r="W75" s="74"/>
      <c r="X75" s="74"/>
      <c r="Y75" s="74"/>
      <c r="Z75" s="74"/>
    </row>
    <row r="76" ht="33.0" customHeight="1">
      <c r="A76" s="74"/>
      <c r="B76" s="205" t="s">
        <v>1233</v>
      </c>
      <c r="C76" s="206" t="s">
        <v>1597</v>
      </c>
      <c r="D76" s="210">
        <f>231.444932/347</f>
        <v>0.6669882767</v>
      </c>
      <c r="E76" s="208">
        <v>22.0</v>
      </c>
      <c r="F76" s="208">
        <v>1.02</v>
      </c>
      <c r="G76" s="74"/>
      <c r="H76" s="371"/>
      <c r="I76" s="132"/>
      <c r="J76" s="132"/>
      <c r="K76" s="74"/>
      <c r="L76" s="74"/>
      <c r="M76" s="74"/>
      <c r="N76" s="110" t="s">
        <v>110</v>
      </c>
      <c r="O76" s="125">
        <f>SUM(D76:D81)</f>
        <v>4.168914586</v>
      </c>
      <c r="P76" s="74"/>
      <c r="Q76" s="74"/>
      <c r="R76" s="74"/>
      <c r="S76" s="74"/>
      <c r="T76" s="74"/>
      <c r="U76" s="74"/>
      <c r="V76" s="74"/>
      <c r="W76" s="74"/>
      <c r="X76" s="74"/>
      <c r="Y76" s="74"/>
      <c r="Z76" s="74"/>
    </row>
    <row r="77" ht="15.0" customHeight="1">
      <c r="A77" s="74"/>
      <c r="B77" s="205" t="s">
        <v>423</v>
      </c>
      <c r="C77" s="206" t="s">
        <v>1598</v>
      </c>
      <c r="D77" s="210">
        <f>13.6440636959997/347</f>
        <v>0.03932006829</v>
      </c>
      <c r="E77" s="208">
        <v>15.0</v>
      </c>
      <c r="F77" s="208">
        <v>1.02</v>
      </c>
      <c r="G77" s="74"/>
      <c r="H77" s="118" t="s">
        <v>280</v>
      </c>
      <c r="I77" s="119"/>
      <c r="J77" s="120"/>
      <c r="K77" s="372"/>
      <c r="L77" s="74"/>
      <c r="M77" s="74"/>
      <c r="N77" s="110" t="s">
        <v>114</v>
      </c>
      <c r="O77" s="125">
        <f>J75</f>
        <v>1.001010196</v>
      </c>
      <c r="P77" s="74"/>
      <c r="Q77" s="74"/>
      <c r="R77" s="74"/>
      <c r="S77" s="74"/>
      <c r="T77" s="74"/>
      <c r="U77" s="74"/>
      <c r="V77" s="74"/>
      <c r="W77" s="74"/>
      <c r="X77" s="74"/>
      <c r="Y77" s="74"/>
      <c r="Z77" s="74"/>
    </row>
    <row r="78" ht="14.25" customHeight="1">
      <c r="A78" s="74"/>
      <c r="B78" s="205" t="s">
        <v>1599</v>
      </c>
      <c r="C78" s="206" t="s">
        <v>1600</v>
      </c>
      <c r="D78" s="210">
        <f>900.595674510858/347</f>
        <v>2.595376584</v>
      </c>
      <c r="E78" s="208">
        <v>15.0</v>
      </c>
      <c r="F78" s="208">
        <v>1.02</v>
      </c>
      <c r="G78" s="74"/>
      <c r="H78" s="121" t="s">
        <v>102</v>
      </c>
      <c r="I78" s="121" t="s">
        <v>103</v>
      </c>
      <c r="J78" s="121" t="s">
        <v>1594</v>
      </c>
      <c r="K78" s="204" t="s">
        <v>240</v>
      </c>
      <c r="L78" s="204" t="s">
        <v>241</v>
      </c>
      <c r="M78" s="74"/>
      <c r="N78" s="110" t="s">
        <v>117</v>
      </c>
      <c r="O78" s="125">
        <f>SUM(J79:J81)</f>
        <v>3.167895137</v>
      </c>
      <c r="P78" s="74"/>
      <c r="Q78" s="74"/>
      <c r="R78" s="74"/>
      <c r="S78" s="74"/>
      <c r="T78" s="74"/>
      <c r="U78" s="74"/>
      <c r="V78" s="74"/>
      <c r="W78" s="74"/>
      <c r="X78" s="74"/>
      <c r="Y78" s="74"/>
      <c r="Z78" s="74"/>
    </row>
    <row r="79" ht="14.25" customHeight="1">
      <c r="A79" s="74"/>
      <c r="B79" s="205" t="s">
        <v>1601</v>
      </c>
      <c r="C79" s="206" t="s">
        <v>247</v>
      </c>
      <c r="D79" s="210">
        <f>219.0436808934/347</f>
        <v>0.6312498008</v>
      </c>
      <c r="E79" s="208">
        <v>15.0</v>
      </c>
      <c r="F79" s="208">
        <v>1.02</v>
      </c>
      <c r="G79" s="74"/>
      <c r="H79" s="205" t="s">
        <v>1602</v>
      </c>
      <c r="I79" s="209" t="s">
        <v>1603</v>
      </c>
      <c r="J79" s="210">
        <f>30.0133586017961/347</f>
        <v>0.08649382882</v>
      </c>
      <c r="K79" s="208">
        <v>40.0</v>
      </c>
      <c r="L79" s="208">
        <v>20.0</v>
      </c>
      <c r="M79" s="74"/>
      <c r="N79" s="74"/>
      <c r="O79" s="74"/>
      <c r="P79" s="74"/>
      <c r="Q79" s="74"/>
      <c r="R79" s="74"/>
      <c r="S79" s="74"/>
      <c r="T79" s="74"/>
      <c r="U79" s="74"/>
      <c r="V79" s="74"/>
      <c r="W79" s="74"/>
      <c r="X79" s="74"/>
      <c r="Y79" s="74"/>
      <c r="Z79" s="74"/>
    </row>
    <row r="80" ht="42.0" customHeight="1">
      <c r="A80" s="105"/>
      <c r="B80" s="205" t="s">
        <v>1006</v>
      </c>
      <c r="C80" s="206" t="s">
        <v>1375</v>
      </c>
      <c r="D80" s="576">
        <f>0.178450329647011/347</f>
        <v>0.0005142660797</v>
      </c>
      <c r="E80" s="208">
        <v>40.0</v>
      </c>
      <c r="F80" s="208">
        <v>15.0</v>
      </c>
      <c r="G80" s="74"/>
      <c r="H80" s="205" t="s">
        <v>1604</v>
      </c>
      <c r="I80" s="209" t="s">
        <v>1605</v>
      </c>
      <c r="J80" s="210">
        <f>843.451574342191/347</f>
        <v>2.43069618</v>
      </c>
      <c r="K80" s="208">
        <v>46.0</v>
      </c>
      <c r="L80" s="208">
        <v>1.02</v>
      </c>
      <c r="M80" s="74"/>
      <c r="N80" s="110" t="s">
        <v>101</v>
      </c>
      <c r="O80" s="125">
        <f>O76-O77-O78</f>
        <v>0.000009253495072</v>
      </c>
      <c r="P80" s="74"/>
      <c r="Q80" s="74"/>
      <c r="R80" s="74"/>
      <c r="S80" s="74"/>
      <c r="T80" s="74"/>
      <c r="U80" s="74"/>
      <c r="V80" s="74"/>
      <c r="W80" s="74"/>
      <c r="X80" s="74"/>
      <c r="Y80" s="74"/>
      <c r="Z80" s="74"/>
    </row>
    <row r="81" ht="87.75" customHeight="1">
      <c r="A81" s="105"/>
      <c r="B81" s="205" t="s">
        <v>1606</v>
      </c>
      <c r="C81" s="206" t="s">
        <v>1607</v>
      </c>
      <c r="D81" s="210">
        <f>81.7065600000001/347</f>
        <v>0.2354655908</v>
      </c>
      <c r="E81" s="208">
        <v>40.0</v>
      </c>
      <c r="F81" s="208">
        <v>1.02</v>
      </c>
      <c r="G81" s="74"/>
      <c r="H81" s="219" t="s">
        <v>1608</v>
      </c>
      <c r="I81" s="220" t="s">
        <v>1609</v>
      </c>
      <c r="J81" s="577">
        <f>225.794679494802/347</f>
        <v>0.6507051282</v>
      </c>
      <c r="K81" s="222">
        <v>40.0</v>
      </c>
      <c r="L81" s="222">
        <v>2.0</v>
      </c>
      <c r="M81" s="74"/>
      <c r="N81" s="135" t="s">
        <v>121</v>
      </c>
      <c r="O81" s="124">
        <f>(O80/O76)*100</f>
        <v>0.0002219641319</v>
      </c>
      <c r="P81" s="74"/>
      <c r="Q81" s="74"/>
      <c r="R81" s="74"/>
      <c r="S81" s="74"/>
      <c r="T81" s="74"/>
      <c r="U81" s="74"/>
      <c r="V81" s="74"/>
      <c r="W81" s="74"/>
      <c r="X81" s="74"/>
      <c r="Y81" s="74"/>
      <c r="Z81" s="74"/>
    </row>
    <row r="82" ht="14.25" customHeight="1">
      <c r="A82" s="74"/>
      <c r="B82" s="74"/>
      <c r="C82" s="74"/>
      <c r="D82" s="74"/>
      <c r="E82" s="74"/>
      <c r="F82" s="74"/>
      <c r="G82" s="74"/>
      <c r="H82" s="89"/>
      <c r="I82" s="89"/>
      <c r="J82" s="91"/>
      <c r="K82" s="91"/>
      <c r="L82" s="74"/>
      <c r="M82" s="74"/>
      <c r="N82" s="74"/>
      <c r="O82" s="74"/>
      <c r="P82" s="74"/>
      <c r="Q82" s="74"/>
      <c r="R82" s="74"/>
      <c r="S82" s="74"/>
      <c r="T82" s="74"/>
      <c r="U82" s="74"/>
      <c r="V82" s="74"/>
      <c r="W82" s="74"/>
      <c r="X82" s="74"/>
      <c r="Y82" s="74"/>
      <c r="Z82" s="74"/>
    </row>
    <row r="83" ht="14.25" customHeight="1">
      <c r="A83" s="74"/>
      <c r="B83" s="74"/>
      <c r="C83" s="74"/>
      <c r="D83" s="74"/>
      <c r="E83" s="74"/>
      <c r="F83" s="74"/>
      <c r="G83" s="74"/>
      <c r="H83" s="74"/>
      <c r="I83" s="74"/>
      <c r="J83" s="74"/>
      <c r="K83" s="74"/>
      <c r="L83" s="74"/>
      <c r="M83" s="74"/>
      <c r="N83" s="91"/>
      <c r="O83" s="91"/>
      <c r="P83" s="74"/>
      <c r="Q83" s="74"/>
      <c r="R83" s="74"/>
      <c r="S83" s="74"/>
      <c r="T83" s="74"/>
      <c r="U83" s="74"/>
      <c r="V83" s="74"/>
      <c r="W83" s="74"/>
      <c r="X83" s="74"/>
      <c r="Y83" s="74"/>
      <c r="Z83" s="74"/>
    </row>
    <row r="84" ht="14.25" customHeight="1">
      <c r="A84" s="74"/>
      <c r="B84" s="74"/>
      <c r="C84" s="74"/>
      <c r="D84" s="74"/>
      <c r="E84" s="74"/>
      <c r="F84" s="74"/>
      <c r="G84" s="74"/>
      <c r="H84" s="117"/>
      <c r="I84" s="117"/>
      <c r="J84" s="117"/>
      <c r="K84" s="117"/>
      <c r="L84" s="74"/>
      <c r="M84" s="74"/>
      <c r="N84" s="74"/>
      <c r="O84" s="74"/>
      <c r="P84" s="74"/>
      <c r="Q84" s="74"/>
      <c r="R84" s="74"/>
      <c r="S84" s="74"/>
      <c r="T84" s="74"/>
      <c r="U84" s="74"/>
      <c r="V84" s="74"/>
      <c r="W84" s="74"/>
      <c r="X84" s="74"/>
      <c r="Y84" s="74"/>
      <c r="Z84" s="74"/>
    </row>
    <row r="85" ht="14.25" customHeight="1">
      <c r="A85" s="74"/>
      <c r="B85" s="74"/>
      <c r="C85" s="74"/>
      <c r="D85" s="74"/>
      <c r="E85" s="74"/>
      <c r="F85" s="74"/>
      <c r="G85" s="74"/>
      <c r="H85" s="117"/>
      <c r="I85" s="117"/>
      <c r="J85" s="117"/>
      <c r="K85" s="117"/>
      <c r="L85" s="74"/>
      <c r="M85" s="74"/>
      <c r="N85" s="74"/>
      <c r="O85" s="74"/>
      <c r="P85" s="74"/>
      <c r="Q85" s="74"/>
      <c r="R85" s="74"/>
      <c r="S85" s="74"/>
      <c r="T85" s="74"/>
      <c r="U85" s="74"/>
      <c r="V85" s="74"/>
      <c r="W85" s="74"/>
      <c r="X85" s="74"/>
      <c r="Y85" s="74"/>
      <c r="Z85" s="74"/>
    </row>
    <row r="86" ht="14.25" customHeight="1">
      <c r="A86" s="74"/>
      <c r="B86" s="89"/>
      <c r="C86" s="89"/>
      <c r="D86" s="89"/>
      <c r="E86" s="89"/>
      <c r="F86" s="74"/>
      <c r="G86" s="74"/>
      <c r="H86" s="89"/>
      <c r="I86" s="89"/>
      <c r="J86" s="89"/>
      <c r="K86" s="374"/>
      <c r="L86" s="74"/>
      <c r="M86" s="74"/>
      <c r="N86" s="74"/>
      <c r="O86" s="89"/>
      <c r="P86" s="74"/>
      <c r="Q86" s="74"/>
      <c r="R86" s="74"/>
      <c r="S86" s="74"/>
      <c r="T86" s="74"/>
      <c r="U86" s="74"/>
      <c r="V86" s="74"/>
      <c r="W86" s="74"/>
      <c r="X86" s="74"/>
      <c r="Y86" s="74"/>
      <c r="Z86" s="74"/>
    </row>
    <row r="87" ht="14.25" customHeight="1">
      <c r="A87" s="74"/>
      <c r="B87" s="74"/>
      <c r="C87" s="74"/>
      <c r="D87" s="74"/>
      <c r="E87" s="74"/>
      <c r="F87" s="74"/>
      <c r="G87" s="74"/>
      <c r="H87" s="74"/>
      <c r="I87" s="74"/>
      <c r="J87" s="74"/>
      <c r="K87" s="74"/>
      <c r="L87" s="74"/>
      <c r="M87" s="74"/>
      <c r="N87" s="129"/>
      <c r="O87" s="89"/>
      <c r="P87" s="74"/>
      <c r="Q87" s="74"/>
      <c r="R87" s="74"/>
      <c r="S87" s="74"/>
      <c r="T87" s="74"/>
      <c r="U87" s="74"/>
      <c r="V87" s="74"/>
      <c r="W87" s="74"/>
      <c r="X87" s="74"/>
      <c r="Y87" s="74"/>
      <c r="Z87" s="74"/>
    </row>
    <row r="88" ht="14.25" customHeight="1">
      <c r="A88" s="74"/>
      <c r="B88" s="113" t="s">
        <v>1610</v>
      </c>
      <c r="C88" s="74"/>
      <c r="D88" s="74"/>
      <c r="E88" s="74"/>
      <c r="F88" s="74"/>
      <c r="G88" s="74"/>
      <c r="H88" s="118" t="s">
        <v>100</v>
      </c>
      <c r="I88" s="119"/>
      <c r="J88" s="120"/>
      <c r="K88" s="74"/>
      <c r="L88" s="74"/>
      <c r="M88" s="74"/>
      <c r="N88" s="74"/>
      <c r="O88" s="89"/>
      <c r="P88" s="74"/>
      <c r="Q88" s="74"/>
      <c r="R88" s="74"/>
      <c r="S88" s="74"/>
      <c r="T88" s="74"/>
      <c r="U88" s="74"/>
      <c r="V88" s="74"/>
      <c r="W88" s="74"/>
      <c r="X88" s="74"/>
      <c r="Y88" s="74"/>
      <c r="Z88" s="74"/>
    </row>
    <row r="89" ht="14.25" customHeight="1">
      <c r="A89" s="74"/>
      <c r="B89" s="114" t="s">
        <v>99</v>
      </c>
      <c r="C89" s="115"/>
      <c r="D89" s="116"/>
      <c r="E89" s="74"/>
      <c r="F89" s="74"/>
      <c r="G89" s="74"/>
      <c r="H89" s="121" t="s">
        <v>102</v>
      </c>
      <c r="I89" s="121" t="s">
        <v>103</v>
      </c>
      <c r="J89" s="121" t="s">
        <v>1611</v>
      </c>
      <c r="K89" s="204" t="s">
        <v>240</v>
      </c>
      <c r="L89" s="204" t="s">
        <v>241</v>
      </c>
      <c r="M89" s="74"/>
      <c r="N89" s="118" t="s">
        <v>101</v>
      </c>
      <c r="O89" s="118"/>
      <c r="P89" s="74"/>
      <c r="Q89" s="74"/>
      <c r="R89" s="74"/>
      <c r="S89" s="74"/>
      <c r="T89" s="74"/>
      <c r="U89" s="74"/>
      <c r="V89" s="74"/>
      <c r="W89" s="74"/>
      <c r="X89" s="74"/>
      <c r="Y89" s="74"/>
      <c r="Z89" s="74"/>
    </row>
    <row r="90" ht="14.25" customHeight="1">
      <c r="A90" s="74"/>
      <c r="B90" s="121" t="s">
        <v>102</v>
      </c>
      <c r="C90" s="121" t="s">
        <v>103</v>
      </c>
      <c r="D90" s="121" t="s">
        <v>1611</v>
      </c>
      <c r="E90" s="204" t="s">
        <v>240</v>
      </c>
      <c r="F90" s="204" t="s">
        <v>241</v>
      </c>
      <c r="G90" s="74"/>
      <c r="H90" s="205" t="s">
        <v>1178</v>
      </c>
      <c r="I90" s="209" t="s">
        <v>1612</v>
      </c>
      <c r="J90" s="207">
        <f>231.322590889142/231.32</f>
        <v>1.0000112</v>
      </c>
      <c r="K90" s="208">
        <v>80.0</v>
      </c>
      <c r="L90" s="208">
        <v>1.02</v>
      </c>
      <c r="M90" s="74"/>
      <c r="N90" s="118" t="s">
        <v>105</v>
      </c>
      <c r="O90" s="122"/>
      <c r="P90" s="74"/>
      <c r="Q90" s="74"/>
      <c r="R90" s="74"/>
      <c r="S90" s="74"/>
      <c r="T90" s="74"/>
      <c r="U90" s="74"/>
      <c r="V90" s="74"/>
      <c r="W90" s="74"/>
      <c r="X90" s="74"/>
      <c r="Y90" s="74"/>
      <c r="Z90" s="74"/>
    </row>
    <row r="91" ht="14.25" customHeight="1">
      <c r="A91" s="74"/>
      <c r="B91" s="209" t="s">
        <v>1613</v>
      </c>
      <c r="C91" s="578" t="s">
        <v>1596</v>
      </c>
      <c r="D91" s="210">
        <f>200/231.32</f>
        <v>0.8646031472</v>
      </c>
      <c r="E91" s="208">
        <v>80.0</v>
      </c>
      <c r="F91" s="208">
        <v>2.0</v>
      </c>
      <c r="G91" s="74"/>
      <c r="H91" s="371"/>
      <c r="I91" s="132"/>
      <c r="J91" s="132"/>
      <c r="K91" s="74"/>
      <c r="L91" s="74"/>
      <c r="M91" s="74"/>
      <c r="N91" s="110" t="s">
        <v>110</v>
      </c>
      <c r="O91" s="125">
        <f>SUM(D91:D96)</f>
        <v>1.292872439</v>
      </c>
      <c r="P91" s="74"/>
      <c r="Q91" s="74"/>
      <c r="R91" s="74"/>
      <c r="S91" s="74"/>
      <c r="T91" s="74"/>
      <c r="U91" s="74"/>
      <c r="V91" s="74"/>
      <c r="W91" s="74"/>
      <c r="X91" s="74"/>
      <c r="Y91" s="74"/>
      <c r="Z91" s="74"/>
    </row>
    <row r="92" ht="14.25" customHeight="1">
      <c r="A92" s="74"/>
      <c r="B92" s="209" t="s">
        <v>1614</v>
      </c>
      <c r="C92" s="206" t="s">
        <v>1615</v>
      </c>
      <c r="D92" s="210">
        <f>99.0672526704258/231.32</f>
        <v>0.4282692922</v>
      </c>
      <c r="E92" s="208">
        <v>40.0</v>
      </c>
      <c r="F92" s="208">
        <v>2.0</v>
      </c>
      <c r="G92" s="74"/>
      <c r="H92" s="118" t="s">
        <v>280</v>
      </c>
      <c r="I92" s="119"/>
      <c r="J92" s="120"/>
      <c r="K92" s="372"/>
      <c r="L92" s="74"/>
      <c r="M92" s="74"/>
      <c r="N92" s="110" t="s">
        <v>114</v>
      </c>
      <c r="O92" s="125">
        <f>J90</f>
        <v>1.0000112</v>
      </c>
      <c r="P92" s="74"/>
      <c r="Q92" s="74"/>
      <c r="R92" s="74"/>
      <c r="S92" s="74"/>
      <c r="T92" s="74"/>
      <c r="U92" s="74"/>
      <c r="V92" s="74"/>
      <c r="W92" s="74"/>
      <c r="X92" s="74"/>
      <c r="Y92" s="74"/>
      <c r="Z92" s="74"/>
    </row>
    <row r="93" ht="14.25" customHeight="1">
      <c r="A93" s="74"/>
      <c r="B93" s="293"/>
      <c r="C93" s="538"/>
      <c r="D93" s="539"/>
      <c r="E93" s="74"/>
      <c r="F93" s="74"/>
      <c r="G93" s="74"/>
      <c r="H93" s="121" t="s">
        <v>102</v>
      </c>
      <c r="I93" s="121" t="s">
        <v>103</v>
      </c>
      <c r="J93" s="121" t="s">
        <v>1611</v>
      </c>
      <c r="K93" s="204" t="s">
        <v>240</v>
      </c>
      <c r="L93" s="204" t="s">
        <v>241</v>
      </c>
      <c r="M93" s="74"/>
      <c r="N93" s="110" t="s">
        <v>117</v>
      </c>
      <c r="O93" s="125">
        <f>SUM(J94:J96)</f>
        <v>0.2928608246</v>
      </c>
      <c r="P93" s="74"/>
      <c r="Q93" s="74"/>
      <c r="R93" s="74"/>
      <c r="S93" s="74"/>
      <c r="T93" s="74"/>
      <c r="U93" s="74"/>
      <c r="V93" s="74"/>
      <c r="W93" s="74"/>
      <c r="X93" s="74"/>
      <c r="Y93" s="74"/>
      <c r="Z93" s="74"/>
    </row>
    <row r="94" ht="14.25" customHeight="1">
      <c r="A94" s="74"/>
      <c r="B94" s="293"/>
      <c r="C94" s="538"/>
      <c r="D94" s="539"/>
      <c r="E94" s="74"/>
      <c r="F94" s="74"/>
      <c r="G94" s="74"/>
      <c r="H94" s="209" t="s">
        <v>284</v>
      </c>
      <c r="I94" s="209" t="s">
        <v>1616</v>
      </c>
      <c r="J94" s="210">
        <f>67.7445659356224/231.32</f>
        <v>0.2928608246</v>
      </c>
      <c r="K94" s="222">
        <v>61.0</v>
      </c>
      <c r="L94" s="222">
        <v>1.02</v>
      </c>
      <c r="M94" s="74"/>
      <c r="N94" s="74"/>
      <c r="O94" s="74"/>
      <c r="P94" s="74"/>
      <c r="Q94" s="74"/>
      <c r="R94" s="74"/>
      <c r="S94" s="74"/>
      <c r="T94" s="74"/>
      <c r="U94" s="74"/>
      <c r="V94" s="74"/>
      <c r="W94" s="74"/>
      <c r="X94" s="74"/>
      <c r="Y94" s="74"/>
      <c r="Z94" s="74"/>
    </row>
    <row r="95" ht="14.25" customHeight="1">
      <c r="A95" s="74"/>
      <c r="B95" s="293"/>
      <c r="C95" s="538"/>
      <c r="D95" s="579"/>
      <c r="E95" s="292"/>
      <c r="F95" s="74"/>
      <c r="G95" s="74"/>
      <c r="H95" s="74"/>
      <c r="I95" s="74"/>
      <c r="J95" s="74"/>
      <c r="K95" s="74"/>
      <c r="L95" s="74"/>
      <c r="M95" s="74"/>
      <c r="N95" s="110" t="s">
        <v>101</v>
      </c>
      <c r="O95" s="125">
        <f>O91-O92-O93</f>
        <v>0.0000004143423025</v>
      </c>
      <c r="P95" s="74"/>
      <c r="Q95" s="74"/>
      <c r="R95" s="74"/>
      <c r="S95" s="74"/>
      <c r="T95" s="74"/>
      <c r="U95" s="74"/>
      <c r="V95" s="74"/>
      <c r="W95" s="74"/>
      <c r="X95" s="74"/>
      <c r="Y95" s="74"/>
      <c r="Z95" s="74"/>
    </row>
    <row r="96" ht="14.25" customHeight="1">
      <c r="A96" s="74"/>
      <c r="B96" s="293"/>
      <c r="C96" s="538"/>
      <c r="D96" s="539"/>
      <c r="E96" s="292"/>
      <c r="F96" s="74"/>
      <c r="G96" s="74"/>
      <c r="H96" s="293"/>
      <c r="I96" s="293"/>
      <c r="J96" s="539"/>
      <c r="K96" s="74"/>
      <c r="L96" s="74"/>
      <c r="M96" s="74"/>
      <c r="N96" s="135" t="s">
        <v>121</v>
      </c>
      <c r="O96" s="124">
        <f>(O95/O91)*100</f>
        <v>0.0000320481967</v>
      </c>
      <c r="P96" s="74"/>
      <c r="Q96" s="74"/>
      <c r="R96" s="74"/>
      <c r="S96" s="74"/>
      <c r="T96" s="74"/>
      <c r="U96" s="74"/>
      <c r="V96" s="74"/>
      <c r="W96" s="74"/>
      <c r="X96" s="74"/>
      <c r="Y96" s="74"/>
      <c r="Z96" s="74"/>
    </row>
    <row r="97" ht="14.25" customHeight="1">
      <c r="A97" s="74"/>
      <c r="B97" s="74"/>
      <c r="C97" s="74"/>
      <c r="D97" s="74"/>
      <c r="E97" s="74"/>
      <c r="F97" s="293"/>
      <c r="G97" s="293"/>
      <c r="H97" s="539"/>
      <c r="I97" s="74"/>
      <c r="J97" s="74"/>
      <c r="K97" s="74"/>
      <c r="L97" s="74"/>
      <c r="M97" s="74"/>
      <c r="N97" s="74"/>
      <c r="O97" s="74"/>
      <c r="P97" s="74"/>
      <c r="Q97" s="74"/>
      <c r="R97" s="74"/>
      <c r="S97" s="74"/>
      <c r="T97" s="74"/>
      <c r="U97" s="74"/>
      <c r="V97" s="74"/>
      <c r="W97" s="74"/>
      <c r="X97" s="74"/>
      <c r="Y97" s="74"/>
      <c r="Z97" s="74"/>
    </row>
    <row r="98" ht="57.0" customHeight="1">
      <c r="A98" s="74"/>
      <c r="B98" s="74"/>
      <c r="C98" s="74"/>
      <c r="D98" s="74"/>
      <c r="E98" s="74"/>
      <c r="F98" s="89"/>
      <c r="G98" s="89"/>
      <c r="H98" s="91"/>
      <c r="I98" s="91"/>
      <c r="J98" s="91"/>
      <c r="K98" s="91"/>
      <c r="L98" s="74"/>
      <c r="M98" s="74"/>
      <c r="N98" s="74"/>
      <c r="O98" s="74"/>
      <c r="P98" s="74"/>
      <c r="Q98" s="74"/>
      <c r="R98" s="74"/>
      <c r="S98" s="74"/>
      <c r="T98" s="74"/>
      <c r="U98" s="74"/>
      <c r="V98" s="74"/>
      <c r="W98" s="74"/>
      <c r="X98" s="74"/>
      <c r="Y98" s="74"/>
      <c r="Z98" s="74"/>
    </row>
    <row r="99" ht="14.2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ht="14.25" customHeight="1">
      <c r="A100" s="74"/>
      <c r="B100" s="74"/>
      <c r="C100" s="74"/>
      <c r="D100" s="74"/>
      <c r="E100" s="117"/>
      <c r="F100" s="225"/>
      <c r="G100" s="225"/>
      <c r="H100" s="225"/>
      <c r="I100" s="129"/>
      <c r="J100" s="74"/>
      <c r="K100" s="74"/>
      <c r="L100" s="74"/>
      <c r="M100" s="74"/>
      <c r="N100" s="74"/>
      <c r="O100" s="74"/>
      <c r="P100" s="74"/>
      <c r="Q100" s="74"/>
      <c r="R100" s="74"/>
      <c r="S100" s="74"/>
      <c r="T100" s="74"/>
      <c r="U100" s="74"/>
      <c r="V100" s="74"/>
      <c r="W100" s="74"/>
      <c r="X100" s="74"/>
      <c r="Y100" s="74"/>
      <c r="Z100" s="74"/>
    </row>
    <row r="101" ht="14.25" customHeight="1">
      <c r="A101" s="74"/>
      <c r="B101" s="110" t="s">
        <v>122</v>
      </c>
      <c r="C101" s="74"/>
      <c r="D101" s="74"/>
      <c r="E101" s="117"/>
      <c r="F101" s="225"/>
      <c r="G101" s="225"/>
      <c r="H101" s="225"/>
      <c r="I101" s="129"/>
      <c r="J101" s="74"/>
      <c r="K101" s="74"/>
      <c r="L101" s="74"/>
      <c r="M101" s="74"/>
      <c r="N101" s="74"/>
      <c r="O101" s="74"/>
      <c r="P101" s="74"/>
      <c r="Q101" s="74"/>
      <c r="R101" s="74"/>
      <c r="S101" s="74"/>
      <c r="T101" s="74"/>
      <c r="U101" s="74"/>
      <c r="V101" s="74"/>
      <c r="W101" s="74"/>
      <c r="X101" s="74"/>
      <c r="Y101" s="74"/>
      <c r="Z101" s="74"/>
    </row>
    <row r="102" ht="14.25" customHeight="1">
      <c r="A102" s="74"/>
      <c r="B102" s="74"/>
      <c r="C102" s="117"/>
      <c r="D102" s="117"/>
      <c r="E102" s="89"/>
      <c r="F102" s="225"/>
      <c r="G102" s="225"/>
      <c r="H102" s="225"/>
      <c r="I102" s="129"/>
      <c r="J102" s="74"/>
      <c r="K102" s="74"/>
      <c r="L102" s="74"/>
      <c r="M102" s="74"/>
      <c r="N102" s="74"/>
      <c r="O102" s="74"/>
      <c r="P102" s="74"/>
      <c r="Q102" s="74"/>
      <c r="R102" s="74"/>
      <c r="S102" s="74"/>
      <c r="T102" s="74"/>
      <c r="U102" s="74"/>
      <c r="V102" s="74"/>
      <c r="W102" s="74"/>
      <c r="X102" s="74"/>
      <c r="Y102" s="74"/>
      <c r="Z102" s="74"/>
    </row>
    <row r="103" ht="14.25" customHeight="1">
      <c r="A103" s="74"/>
      <c r="B103" s="113" t="s">
        <v>1593</v>
      </c>
      <c r="C103" s="117"/>
      <c r="D103" s="117"/>
      <c r="E103" s="225"/>
      <c r="F103" s="225"/>
      <c r="G103" s="225"/>
      <c r="H103" s="225"/>
      <c r="I103" s="129"/>
      <c r="J103" s="74"/>
      <c r="K103" s="74"/>
      <c r="L103" s="74"/>
      <c r="M103" s="74"/>
      <c r="N103" s="74"/>
      <c r="O103" s="74"/>
      <c r="P103" s="74"/>
      <c r="Q103" s="74"/>
      <c r="R103" s="74"/>
      <c r="S103" s="74"/>
      <c r="T103" s="74"/>
      <c r="U103" s="74"/>
      <c r="V103" s="74"/>
      <c r="W103" s="74"/>
      <c r="X103" s="74"/>
      <c r="Y103" s="74"/>
      <c r="Z103" s="74"/>
    </row>
    <row r="104" ht="14.25" customHeight="1">
      <c r="A104" s="74"/>
      <c r="B104" s="118" t="s">
        <v>3</v>
      </c>
      <c r="C104" s="118" t="s">
        <v>1617</v>
      </c>
      <c r="D104" s="118" t="s">
        <v>1618</v>
      </c>
      <c r="E104" s="118" t="s">
        <v>1619</v>
      </c>
      <c r="F104" s="118" t="s">
        <v>1620</v>
      </c>
      <c r="G104" s="118" t="s">
        <v>1621</v>
      </c>
      <c r="H104" s="118" t="s">
        <v>1622</v>
      </c>
      <c r="I104" s="144" t="s">
        <v>128</v>
      </c>
      <c r="J104" s="74"/>
      <c r="K104" s="138" t="s">
        <v>123</v>
      </c>
      <c r="L104" s="139"/>
      <c r="M104" s="140"/>
      <c r="N104" s="140"/>
      <c r="O104" s="140"/>
      <c r="P104" s="140"/>
      <c r="Q104" s="141"/>
      <c r="R104" s="74"/>
      <c r="S104" s="74"/>
      <c r="T104" s="74"/>
      <c r="U104" s="74"/>
      <c r="V104" s="74"/>
      <c r="W104" s="74"/>
      <c r="X104" s="74"/>
      <c r="Y104" s="74"/>
      <c r="Z104" s="74"/>
    </row>
    <row r="105" ht="64.5" customHeight="1">
      <c r="A105" s="74"/>
      <c r="B105" s="145" t="s">
        <v>8</v>
      </c>
      <c r="C105" s="146" t="str">
        <f>SUM('[3]Energy balances'!$E$35:$E$37)/347</f>
        <v>#REF!</v>
      </c>
      <c r="D105" s="146" t="str">
        <f>SUM('[3]Energy balances'!$F$35:$F$37)/347</f>
        <v>#REF!</v>
      </c>
      <c r="E105" s="146">
        <v>0.0</v>
      </c>
      <c r="F105" s="146">
        <v>0.0</v>
      </c>
      <c r="G105" s="146" t="str">
        <f t="shared" ref="G105:H105" si="1">C105</f>
        <v>#REF!</v>
      </c>
      <c r="H105" s="146" t="str">
        <f t="shared" si="1"/>
        <v>#REF!</v>
      </c>
      <c r="I105" s="147"/>
      <c r="J105" s="74"/>
      <c r="K105" s="118" t="s">
        <v>3</v>
      </c>
      <c r="L105" s="114" t="s">
        <v>129</v>
      </c>
      <c r="M105" s="121" t="s">
        <v>130</v>
      </c>
      <c r="N105" s="121" t="s">
        <v>131</v>
      </c>
      <c r="O105" s="121" t="s">
        <v>132</v>
      </c>
      <c r="P105" s="121" t="s">
        <v>133</v>
      </c>
      <c r="Q105" s="114" t="s">
        <v>134</v>
      </c>
      <c r="R105" s="74"/>
      <c r="S105" s="74"/>
      <c r="T105" s="74"/>
      <c r="U105" s="74"/>
      <c r="V105" s="74"/>
      <c r="W105" s="74"/>
      <c r="X105" s="74"/>
      <c r="Y105" s="74"/>
      <c r="Z105" s="74"/>
    </row>
    <row r="106" ht="14.25" customHeight="1">
      <c r="A106" s="74"/>
      <c r="B106" s="145" t="s">
        <v>10</v>
      </c>
      <c r="C106" s="146" t="str">
        <f>SUM('[3]Energy balances'!$E$44:$E$45)/347</f>
        <v>#REF!</v>
      </c>
      <c r="D106" s="146" t="str">
        <f>SUM('[3]Energy balances'!$F$44:$F$45)/347</f>
        <v>#REF!</v>
      </c>
      <c r="E106" s="146">
        <v>0.0</v>
      </c>
      <c r="F106" s="146">
        <v>0.0</v>
      </c>
      <c r="G106" s="146" t="str">
        <f t="shared" ref="G106:H106" si="2">C106</f>
        <v>#REF!</v>
      </c>
      <c r="H106" s="146" t="str">
        <f t="shared" si="2"/>
        <v>#REF!</v>
      </c>
      <c r="I106" s="147"/>
      <c r="J106" s="74"/>
      <c r="K106" s="150" t="s">
        <v>8</v>
      </c>
      <c r="L106" s="149">
        <v>155.0</v>
      </c>
      <c r="M106" s="149">
        <v>155.0</v>
      </c>
      <c r="N106" s="151">
        <v>5.5</v>
      </c>
      <c r="O106" s="151">
        <v>5.5</v>
      </c>
      <c r="P106" s="149">
        <v>2096.77163841359</v>
      </c>
      <c r="Q106" s="149" t="s">
        <v>138</v>
      </c>
      <c r="R106" s="74"/>
      <c r="S106" s="74"/>
      <c r="T106" s="74"/>
      <c r="U106" s="74"/>
      <c r="V106" s="74"/>
      <c r="W106" s="74"/>
      <c r="X106" s="74"/>
      <c r="Y106" s="74"/>
      <c r="Z106" s="74"/>
    </row>
    <row r="107" ht="14.25" customHeight="1">
      <c r="A107" s="74"/>
      <c r="B107" s="145" t="s">
        <v>11</v>
      </c>
      <c r="C107" s="146" t="str">
        <f>SUM('[3]Energy balances'!$E$53:$E$54)/347</f>
        <v>#REF!</v>
      </c>
      <c r="D107" s="146" t="str">
        <f>SUM('[3]Energy balances'!$F$53:$F$54)/347</f>
        <v>#REF!</v>
      </c>
      <c r="E107" s="146">
        <v>0.0</v>
      </c>
      <c r="F107" s="146">
        <v>0.0</v>
      </c>
      <c r="G107" s="146" t="str">
        <f t="shared" ref="G107:H107" si="3">C107</f>
        <v>#REF!</v>
      </c>
      <c r="H107" s="146" t="str">
        <f t="shared" si="3"/>
        <v>#REF!</v>
      </c>
      <c r="I107" s="147"/>
      <c r="J107" s="74"/>
      <c r="K107" s="118" t="s">
        <v>10</v>
      </c>
      <c r="L107" s="149">
        <v>214.0</v>
      </c>
      <c r="M107" s="149">
        <v>214.0</v>
      </c>
      <c r="N107" s="149">
        <v>21.0</v>
      </c>
      <c r="O107" s="149">
        <v>21.0</v>
      </c>
      <c r="P107" s="149">
        <v>1879.6128145344</v>
      </c>
      <c r="Q107" s="149" t="s">
        <v>138</v>
      </c>
      <c r="R107" s="74"/>
      <c r="S107" s="74"/>
      <c r="T107" s="74"/>
      <c r="U107" s="74"/>
      <c r="V107" s="74"/>
      <c r="W107" s="74"/>
      <c r="X107" s="74"/>
      <c r="Y107" s="74"/>
      <c r="Z107" s="74"/>
    </row>
    <row r="108" ht="14.25" customHeight="1">
      <c r="A108" s="74"/>
      <c r="B108" s="145" t="s">
        <v>12</v>
      </c>
      <c r="C108" s="146" t="str">
        <f>(SUM('[3]Energy balances'!$L$45:$L$47)+ SUM('[3]Energy balances'!$L$54:$L$59))/347</f>
        <v>#REF!</v>
      </c>
      <c r="D108" s="146" t="str">
        <f>(SUM('[3]Energy balances'!$M$45:$M$47)+SUM('[3]Energy balances'!$M$54:$M$59))/347</f>
        <v>#REF!</v>
      </c>
      <c r="E108" s="146">
        <v>0.0</v>
      </c>
      <c r="F108" s="146">
        <v>0.0</v>
      </c>
      <c r="G108" s="146" t="str">
        <f t="shared" ref="G108:H108" si="4">C108</f>
        <v>#REF!</v>
      </c>
      <c r="H108" s="146" t="str">
        <f t="shared" si="4"/>
        <v>#REF!</v>
      </c>
      <c r="I108" s="147"/>
      <c r="J108" s="74"/>
      <c r="K108" s="118" t="s">
        <v>11</v>
      </c>
      <c r="L108" s="149">
        <v>265.0</v>
      </c>
      <c r="M108" s="149">
        <v>265.0</v>
      </c>
      <c r="N108" s="149">
        <v>51.0</v>
      </c>
      <c r="O108" s="149">
        <v>51.0</v>
      </c>
      <c r="P108" s="149">
        <v>1632.4494056856</v>
      </c>
      <c r="Q108" s="149" t="s">
        <v>138</v>
      </c>
      <c r="R108" s="74"/>
      <c r="S108" s="74"/>
      <c r="T108" s="74"/>
      <c r="U108" s="74"/>
      <c r="V108" s="74"/>
      <c r="W108" s="74"/>
      <c r="X108" s="74"/>
      <c r="Y108" s="74"/>
      <c r="Z108" s="74"/>
    </row>
    <row r="109" ht="14.25" customHeight="1">
      <c r="A109" s="74"/>
      <c r="B109" s="145" t="s">
        <v>34</v>
      </c>
      <c r="C109" s="146" t="str">
        <f>SUM('[3]Energy balances'!$M$36:$M$40,'[3]Energy balances'!$M$31)/347</f>
        <v>#REF!</v>
      </c>
      <c r="D109" s="299" t="s">
        <v>1623</v>
      </c>
      <c r="E109" s="146">
        <v>0.0</v>
      </c>
      <c r="F109" s="299" t="s">
        <v>481</v>
      </c>
      <c r="G109" s="146" t="str">
        <f t="shared" ref="G109:H109" si="5">C109</f>
        <v>#REF!</v>
      </c>
      <c r="H109" s="152" t="str">
        <f t="shared" si="5"/>
        <v>29,94 kW*</v>
      </c>
      <c r="I109" s="147"/>
      <c r="J109" s="74"/>
      <c r="K109" s="224" t="s">
        <v>17</v>
      </c>
      <c r="L109" s="154">
        <v>500.0</v>
      </c>
      <c r="M109" s="154">
        <v>311.0</v>
      </c>
      <c r="N109" s="154">
        <v>100.0</v>
      </c>
      <c r="O109" s="154">
        <v>100.0</v>
      </c>
      <c r="P109" s="155">
        <v>1967.0</v>
      </c>
      <c r="Q109" s="149" t="s">
        <v>138</v>
      </c>
      <c r="R109" s="74"/>
      <c r="S109" s="74"/>
      <c r="T109" s="74"/>
      <c r="U109" s="74"/>
      <c r="V109" s="74"/>
      <c r="W109" s="74"/>
      <c r="X109" s="74"/>
      <c r="Y109" s="74"/>
      <c r="Z109" s="74"/>
    </row>
    <row r="110" ht="14.25" customHeight="1">
      <c r="A110" s="74"/>
      <c r="B110" s="117"/>
      <c r="C110" s="117"/>
      <c r="D110" s="117"/>
      <c r="E110" s="117"/>
      <c r="F110" s="117"/>
      <c r="G110" s="117"/>
      <c r="H110" s="117"/>
      <c r="I110" s="129"/>
      <c r="J110" s="129"/>
      <c r="K110" s="118" t="s">
        <v>12</v>
      </c>
      <c r="L110" s="159">
        <v>25.0</v>
      </c>
      <c r="M110" s="159">
        <v>40.0</v>
      </c>
      <c r="N110" s="160">
        <v>1.02</v>
      </c>
      <c r="O110" s="160">
        <v>1.02</v>
      </c>
      <c r="P110" s="160">
        <f>62.74243314036/(M110-L110)</f>
        <v>4.182828876</v>
      </c>
      <c r="Q110" s="159" t="s">
        <v>143</v>
      </c>
      <c r="R110" s="74"/>
      <c r="S110" s="74"/>
      <c r="T110" s="74"/>
      <c r="U110" s="74"/>
      <c r="V110" s="74"/>
      <c r="W110" s="74"/>
      <c r="X110" s="74"/>
      <c r="Y110" s="74"/>
      <c r="Z110" s="74"/>
    </row>
    <row r="111" ht="14.25" customHeight="1">
      <c r="A111" s="74"/>
      <c r="B111" s="74"/>
      <c r="C111" s="74"/>
      <c r="D111" s="74"/>
      <c r="E111" s="74"/>
      <c r="F111" s="74"/>
      <c r="G111" s="74"/>
      <c r="H111" s="74"/>
      <c r="I111" s="74"/>
      <c r="J111" s="129"/>
      <c r="K111" s="74"/>
      <c r="L111" s="74"/>
      <c r="M111" s="74"/>
      <c r="N111" s="74"/>
      <c r="O111" s="74"/>
      <c r="P111" s="74"/>
      <c r="Q111" s="74"/>
      <c r="R111" s="74"/>
      <c r="S111" s="74"/>
      <c r="T111" s="74"/>
      <c r="U111" s="74"/>
      <c r="V111" s="74"/>
      <c r="W111" s="74"/>
      <c r="X111" s="74"/>
      <c r="Y111" s="74"/>
      <c r="Z111" s="74"/>
    </row>
    <row r="112" ht="14.25" customHeight="1">
      <c r="A112" s="74"/>
      <c r="B112" s="74"/>
      <c r="C112" s="74"/>
      <c r="D112" s="74"/>
      <c r="E112" s="74"/>
      <c r="F112" s="74"/>
      <c r="G112" s="74"/>
      <c r="H112" s="74"/>
      <c r="I112" s="74"/>
      <c r="J112" s="129"/>
      <c r="K112" s="74"/>
      <c r="L112" s="74"/>
      <c r="M112" s="74"/>
      <c r="N112" s="74"/>
      <c r="O112" s="74"/>
      <c r="P112" s="74"/>
      <c r="Q112" s="74"/>
      <c r="R112" s="74"/>
      <c r="S112" s="74"/>
      <c r="T112" s="74"/>
      <c r="U112" s="74"/>
      <c r="V112" s="74"/>
      <c r="W112" s="74"/>
      <c r="X112" s="74"/>
      <c r="Y112" s="74"/>
      <c r="Z112" s="74"/>
    </row>
    <row r="113" ht="14.25" customHeight="1">
      <c r="A113" s="74"/>
      <c r="B113" s="113" t="s">
        <v>1610</v>
      </c>
      <c r="C113" s="117"/>
      <c r="D113" s="117"/>
      <c r="E113" s="225"/>
      <c r="F113" s="225"/>
      <c r="G113" s="225"/>
      <c r="H113" s="225"/>
      <c r="I113" s="129"/>
      <c r="J113" s="74"/>
      <c r="K113" s="74"/>
      <c r="L113" s="74"/>
      <c r="M113" s="74"/>
      <c r="N113" s="74"/>
      <c r="O113" s="74"/>
      <c r="P113" s="74"/>
      <c r="Q113" s="74"/>
      <c r="R113" s="74"/>
      <c r="S113" s="74"/>
      <c r="T113" s="74"/>
      <c r="U113" s="74"/>
      <c r="V113" s="74"/>
      <c r="W113" s="74"/>
      <c r="X113" s="74"/>
      <c r="Y113" s="74"/>
      <c r="Z113" s="74"/>
    </row>
    <row r="114" ht="14.25" customHeight="1">
      <c r="A114" s="74"/>
      <c r="B114" s="118" t="s">
        <v>3</v>
      </c>
      <c r="C114" s="118" t="s">
        <v>1624</v>
      </c>
      <c r="D114" s="118" t="s">
        <v>1625</v>
      </c>
      <c r="E114" s="142" t="s">
        <v>1626</v>
      </c>
      <c r="F114" s="142" t="s">
        <v>1627</v>
      </c>
      <c r="G114" s="143" t="s">
        <v>1628</v>
      </c>
      <c r="H114" s="143" t="s">
        <v>1629</v>
      </c>
      <c r="I114" s="144" t="s">
        <v>128</v>
      </c>
      <c r="J114" s="74"/>
      <c r="K114" s="74"/>
      <c r="L114" s="74"/>
      <c r="M114" s="74"/>
      <c r="N114" s="74"/>
      <c r="O114" s="74"/>
      <c r="P114" s="74"/>
      <c r="Q114" s="74"/>
      <c r="R114" s="74"/>
      <c r="S114" s="74"/>
      <c r="T114" s="74"/>
      <c r="U114" s="74"/>
      <c r="V114" s="74"/>
      <c r="W114" s="74"/>
      <c r="X114" s="74"/>
      <c r="Y114" s="74"/>
      <c r="Z114" s="74"/>
    </row>
    <row r="115" ht="14.25" customHeight="1">
      <c r="A115" s="74"/>
      <c r="B115" s="145" t="s">
        <v>8</v>
      </c>
      <c r="C115" s="81">
        <v>0.0</v>
      </c>
      <c r="D115" s="81">
        <v>0.0</v>
      </c>
      <c r="E115" s="146" t="str">
        <f>SUM('[3]Energy balances'!$E$38:$E$39)/231.32</f>
        <v>#REF!</v>
      </c>
      <c r="F115" s="146" t="str">
        <f>SUM('[3]Energy balances'!$F$38:$F$39)/231.32</f>
        <v>#REF!</v>
      </c>
      <c r="G115" s="146" t="str">
        <f t="shared" ref="G115:H115" si="6">E115</f>
        <v>#REF!</v>
      </c>
      <c r="H115" s="146" t="str">
        <f t="shared" si="6"/>
        <v>#REF!</v>
      </c>
      <c r="I115" s="147" t="s">
        <v>297</v>
      </c>
      <c r="J115" s="74"/>
      <c r="K115" s="74"/>
      <c r="L115" s="74"/>
      <c r="M115" s="74"/>
      <c r="N115" s="74"/>
      <c r="O115" s="74"/>
      <c r="P115" s="74"/>
      <c r="Q115" s="74"/>
      <c r="R115" s="74"/>
      <c r="S115" s="74"/>
      <c r="T115" s="74"/>
      <c r="U115" s="74"/>
      <c r="V115" s="74"/>
      <c r="W115" s="74"/>
      <c r="X115" s="74"/>
      <c r="Y115" s="74"/>
      <c r="Z115" s="74"/>
    </row>
    <row r="116" ht="14.25" customHeight="1">
      <c r="A116" s="74"/>
      <c r="B116" s="145" t="s">
        <v>10</v>
      </c>
      <c r="C116" s="146">
        <f>359/231.32</f>
        <v>1.551962649</v>
      </c>
      <c r="D116" s="146">
        <f>191/231.32</f>
        <v>0.8256960055</v>
      </c>
      <c r="E116" s="146" t="str">
        <f>SUM('[3]Energy balances'!$E$46:$E$48)/231.32</f>
        <v>#REF!</v>
      </c>
      <c r="F116" s="146" t="str">
        <f>SUM('[3]Energy balances'!$F$46:$F$48)/231.32</f>
        <v>#REF!</v>
      </c>
      <c r="G116" s="146" t="str">
        <f t="shared" ref="G116:H116" si="7">E116+C116</f>
        <v>#REF!</v>
      </c>
      <c r="H116" s="146" t="str">
        <f t="shared" si="7"/>
        <v>#REF!</v>
      </c>
      <c r="I116" s="147" t="s">
        <v>297</v>
      </c>
      <c r="J116" s="74"/>
      <c r="K116" s="74"/>
      <c r="L116" s="74"/>
      <c r="M116" s="74"/>
      <c r="N116" s="74"/>
      <c r="O116" s="74"/>
      <c r="P116" s="74"/>
      <c r="Q116" s="74"/>
      <c r="R116" s="74"/>
      <c r="S116" s="74"/>
      <c r="T116" s="74"/>
      <c r="U116" s="74"/>
      <c r="V116" s="74"/>
      <c r="W116" s="74"/>
      <c r="X116" s="74"/>
      <c r="Y116" s="74"/>
      <c r="Z116" s="74"/>
    </row>
    <row r="117" ht="14.25" customHeight="1">
      <c r="A117" s="74"/>
      <c r="B117" s="145" t="s">
        <v>11</v>
      </c>
      <c r="C117" s="146">
        <f>705/231.32</f>
        <v>3.047726094</v>
      </c>
      <c r="D117" s="146">
        <f>432/231.32</f>
        <v>1.867542798</v>
      </c>
      <c r="E117" s="146">
        <v>0.0</v>
      </c>
      <c r="F117" s="146">
        <v>0.0</v>
      </c>
      <c r="G117" s="146">
        <f t="shared" ref="G117:H117" si="8">C117</f>
        <v>3.047726094</v>
      </c>
      <c r="H117" s="146">
        <f t="shared" si="8"/>
        <v>1.867542798</v>
      </c>
      <c r="I117" s="147"/>
      <c r="J117" s="74"/>
      <c r="K117" s="74"/>
      <c r="L117" s="74"/>
      <c r="M117" s="74"/>
      <c r="N117" s="74"/>
      <c r="O117" s="74"/>
      <c r="P117" s="74"/>
      <c r="Q117" s="74"/>
      <c r="R117" s="74"/>
      <c r="S117" s="74"/>
      <c r="T117" s="74"/>
      <c r="U117" s="74"/>
      <c r="V117" s="74"/>
      <c r="W117" s="74"/>
      <c r="X117" s="74"/>
      <c r="Y117" s="74"/>
      <c r="Z117" s="74"/>
    </row>
    <row r="118" ht="14.25" customHeight="1">
      <c r="A118" s="74"/>
      <c r="B118" s="145" t="s">
        <v>12</v>
      </c>
      <c r="C118" s="146" t="str">
        <f>SUM('[3]Energy balances'!$L$48:$L$53)/231.32</f>
        <v>#REF!</v>
      </c>
      <c r="D118" s="146" t="str">
        <f>SUM('[3]Energy balances'!$M$48:$M$53)/231.32</f>
        <v>#REF!</v>
      </c>
      <c r="E118" s="146">
        <v>0.0</v>
      </c>
      <c r="F118" s="146">
        <v>0.0</v>
      </c>
      <c r="G118" s="146" t="str">
        <f t="shared" ref="G118:H118" si="9">C118</f>
        <v>#REF!</v>
      </c>
      <c r="H118" s="146" t="str">
        <f t="shared" si="9"/>
        <v>#REF!</v>
      </c>
      <c r="I118" s="147"/>
      <c r="J118" s="74"/>
      <c r="K118" s="74"/>
      <c r="L118" s="74"/>
      <c r="M118" s="74"/>
      <c r="N118" s="74"/>
      <c r="O118" s="74"/>
      <c r="P118" s="74"/>
      <c r="Q118" s="74"/>
      <c r="R118" s="74"/>
      <c r="S118" s="74"/>
      <c r="T118" s="74"/>
      <c r="U118" s="74"/>
      <c r="V118" s="74"/>
      <c r="W118" s="74"/>
      <c r="X118" s="74"/>
      <c r="Y118" s="74"/>
      <c r="Z118" s="74"/>
    </row>
    <row r="119" ht="14.25" customHeight="1">
      <c r="A119" s="74"/>
      <c r="B119" s="145" t="s">
        <v>34</v>
      </c>
      <c r="C119" s="146" t="str">
        <f>SUM('[3]Energy balances'!$M$32:$M$35)/231.32</f>
        <v>#REF!</v>
      </c>
      <c r="D119" s="152" t="s">
        <v>1630</v>
      </c>
      <c r="E119" s="146">
        <v>0.0</v>
      </c>
      <c r="F119" s="299" t="s">
        <v>481</v>
      </c>
      <c r="G119" s="146" t="str">
        <f t="shared" ref="G119:H119" si="10">C119</f>
        <v>#REF!</v>
      </c>
      <c r="H119" s="152" t="str">
        <f t="shared" si="10"/>
        <v>2,88 kW*</v>
      </c>
      <c r="I119" s="147"/>
      <c r="J119" s="74"/>
      <c r="K119" s="74"/>
      <c r="L119" s="74"/>
      <c r="M119" s="74"/>
      <c r="N119" s="74"/>
      <c r="O119" s="74"/>
      <c r="P119" s="74"/>
      <c r="Q119" s="74"/>
      <c r="R119" s="74"/>
      <c r="S119" s="74"/>
      <c r="T119" s="74"/>
      <c r="U119" s="74"/>
      <c r="V119" s="74"/>
      <c r="W119" s="74"/>
      <c r="X119" s="74"/>
      <c r="Y119" s="74"/>
      <c r="Z119" s="74"/>
    </row>
    <row r="120" ht="14.25" customHeight="1">
      <c r="A120" s="74"/>
      <c r="B120" s="145" t="s">
        <v>357</v>
      </c>
      <c r="C120" s="580">
        <f>334.867967742413/231.32</f>
        <v>1.447639494</v>
      </c>
      <c r="D120" s="147" t="s">
        <v>137</v>
      </c>
      <c r="E120" s="145">
        <v>0.0</v>
      </c>
      <c r="F120" s="145">
        <v>0.0</v>
      </c>
      <c r="G120" s="146">
        <f>335/231.32</f>
        <v>1.448210271</v>
      </c>
      <c r="H120" s="147" t="s">
        <v>137</v>
      </c>
      <c r="I120" s="147"/>
      <c r="J120" s="74"/>
      <c r="K120" s="74"/>
      <c r="L120" s="74"/>
      <c r="M120" s="74"/>
      <c r="N120" s="74"/>
      <c r="O120" s="74"/>
      <c r="P120" s="74"/>
      <c r="Q120" s="74"/>
      <c r="R120" s="74"/>
      <c r="S120" s="74"/>
      <c r="T120" s="74"/>
      <c r="U120" s="74"/>
      <c r="V120" s="74"/>
      <c r="W120" s="74"/>
      <c r="X120" s="74"/>
      <c r="Y120" s="74"/>
      <c r="Z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4.25" customHeight="1">
      <c r="A122" s="74"/>
      <c r="B122" s="245"/>
      <c r="C122" s="545" t="s">
        <v>300</v>
      </c>
      <c r="D122" s="546"/>
      <c r="E122" s="546"/>
      <c r="F122" s="546"/>
      <c r="G122" s="546"/>
      <c r="H122" s="546"/>
      <c r="I122" s="546"/>
      <c r="J122" s="546"/>
      <c r="K122" s="546"/>
      <c r="L122" s="546"/>
      <c r="M122" s="546"/>
      <c r="N122" s="546"/>
      <c r="O122" s="547"/>
      <c r="P122" s="245"/>
      <c r="Q122" s="74"/>
      <c r="R122" s="74"/>
      <c r="S122" s="74"/>
      <c r="T122" s="74"/>
      <c r="U122" s="74"/>
      <c r="V122" s="74"/>
      <c r="W122" s="74"/>
      <c r="X122" s="74"/>
      <c r="Y122" s="74"/>
      <c r="Z122" s="74"/>
    </row>
    <row r="123" ht="14.25" customHeight="1">
      <c r="A123" s="74"/>
      <c r="B123" s="245"/>
      <c r="C123" s="548" t="s">
        <v>136</v>
      </c>
      <c r="D123" s="549"/>
      <c r="E123" s="449"/>
      <c r="F123" s="449"/>
      <c r="G123" s="449"/>
      <c r="H123" s="449"/>
      <c r="I123" s="449"/>
      <c r="J123" s="550" t="s">
        <v>34</v>
      </c>
      <c r="K123" s="449"/>
      <c r="L123" s="449"/>
      <c r="M123" s="449"/>
      <c r="N123" s="449"/>
      <c r="O123" s="551"/>
      <c r="P123" s="245"/>
      <c r="Q123" s="74"/>
      <c r="R123" s="74"/>
      <c r="S123" s="74"/>
      <c r="T123" s="74"/>
      <c r="U123" s="74"/>
      <c r="V123" s="74"/>
      <c r="W123" s="74"/>
      <c r="X123" s="74"/>
      <c r="Y123" s="74"/>
      <c r="Z123" s="74"/>
    </row>
    <row r="124" ht="14.25" customHeight="1">
      <c r="A124" s="74"/>
      <c r="B124" s="245"/>
      <c r="C124" s="454" t="s">
        <v>301</v>
      </c>
      <c r="D124" s="246" t="s">
        <v>302</v>
      </c>
      <c r="E124" s="246" t="s">
        <v>303</v>
      </c>
      <c r="F124" s="246" t="s">
        <v>304</v>
      </c>
      <c r="G124" s="246" t="s">
        <v>305</v>
      </c>
      <c r="H124" s="246" t="s">
        <v>146</v>
      </c>
      <c r="I124" s="245"/>
      <c r="J124" s="246" t="s">
        <v>301</v>
      </c>
      <c r="K124" s="246" t="s">
        <v>302</v>
      </c>
      <c r="L124" s="246" t="s">
        <v>1631</v>
      </c>
      <c r="M124" s="246" t="s">
        <v>307</v>
      </c>
      <c r="N124" s="246" t="s">
        <v>308</v>
      </c>
      <c r="O124" s="455" t="s">
        <v>146</v>
      </c>
      <c r="P124" s="245"/>
      <c r="Q124" s="74"/>
      <c r="R124" s="74"/>
      <c r="S124" s="74"/>
      <c r="T124" s="74"/>
      <c r="U124" s="74"/>
      <c r="V124" s="74"/>
      <c r="W124" s="74"/>
      <c r="X124" s="74"/>
      <c r="Y124" s="74"/>
      <c r="Z124" s="74"/>
    </row>
    <row r="125" ht="39.75" customHeight="1">
      <c r="A125" s="74"/>
      <c r="B125" s="245"/>
      <c r="C125" s="465" t="s">
        <v>137</v>
      </c>
      <c r="D125" s="247" t="s">
        <v>137</v>
      </c>
      <c r="E125" s="247" t="s">
        <v>137</v>
      </c>
      <c r="F125" s="247" t="s">
        <v>137</v>
      </c>
      <c r="G125" s="247" t="s">
        <v>137</v>
      </c>
      <c r="H125" s="247" t="s">
        <v>137</v>
      </c>
      <c r="I125" s="245"/>
      <c r="J125" s="581" t="s">
        <v>1632</v>
      </c>
      <c r="K125" s="285" t="s">
        <v>1633</v>
      </c>
      <c r="L125" s="260">
        <f>0.0587604/347</f>
        <v>0.0001693383285</v>
      </c>
      <c r="M125" s="582" t="str">
        <f t="shared" ref="M125:M134" si="11">L125*'[4]Inputs and assumptions'!$E$15/1000000</f>
        <v>#REF!</v>
      </c>
      <c r="N125" s="582" t="str">
        <f t="shared" ref="N125:N134" si="12">M125*60*60/1000</f>
        <v>#REF!</v>
      </c>
      <c r="O125" s="457" t="s">
        <v>137</v>
      </c>
      <c r="P125" s="245"/>
      <c r="Q125" s="74"/>
      <c r="R125" s="74"/>
      <c r="S125" s="74"/>
      <c r="T125" s="74"/>
      <c r="U125" s="74"/>
      <c r="V125" s="74"/>
      <c r="W125" s="74"/>
      <c r="X125" s="74"/>
      <c r="Y125" s="74"/>
      <c r="Z125" s="74"/>
    </row>
    <row r="126" ht="39.75" customHeight="1">
      <c r="A126" s="74"/>
      <c r="B126" s="245"/>
      <c r="C126" s="459"/>
      <c r="D126" s="245"/>
      <c r="E126" s="245"/>
      <c r="F126" s="245"/>
      <c r="G126" s="245"/>
      <c r="H126" s="245"/>
      <c r="I126" s="245"/>
      <c r="J126" s="581" t="s">
        <v>1634</v>
      </c>
      <c r="K126" s="285" t="s">
        <v>1635</v>
      </c>
      <c r="L126" s="583">
        <f>4.80725/231.32</f>
        <v>0.0207818174</v>
      </c>
      <c r="M126" s="583" t="str">
        <f t="shared" si="11"/>
        <v>#REF!</v>
      </c>
      <c r="N126" s="583" t="str">
        <f t="shared" si="12"/>
        <v>#REF!</v>
      </c>
      <c r="O126" s="457" t="s">
        <v>137</v>
      </c>
      <c r="P126" s="245"/>
      <c r="Q126" s="74"/>
      <c r="R126" s="74"/>
      <c r="S126" s="74"/>
      <c r="T126" s="74"/>
      <c r="U126" s="74"/>
      <c r="V126" s="74"/>
      <c r="W126" s="74"/>
      <c r="X126" s="74"/>
      <c r="Y126" s="74"/>
      <c r="Z126" s="74"/>
    </row>
    <row r="127" ht="39.75" customHeight="1">
      <c r="A127" s="74"/>
      <c r="B127" s="245"/>
      <c r="C127" s="454" t="s">
        <v>8</v>
      </c>
      <c r="D127" s="245"/>
      <c r="E127" s="245"/>
      <c r="F127" s="245"/>
      <c r="G127" s="245"/>
      <c r="H127" s="245"/>
      <c r="I127" s="245"/>
      <c r="J127" s="581" t="s">
        <v>1636</v>
      </c>
      <c r="K127" s="581" t="s">
        <v>1637</v>
      </c>
      <c r="L127" s="583">
        <f>10.8466/231.32</f>
        <v>0.04689002248</v>
      </c>
      <c r="M127" s="583" t="str">
        <f t="shared" si="11"/>
        <v>#REF!</v>
      </c>
      <c r="N127" s="583" t="str">
        <f t="shared" si="12"/>
        <v>#REF!</v>
      </c>
      <c r="O127" s="457" t="s">
        <v>137</v>
      </c>
      <c r="P127" s="245"/>
      <c r="Q127" s="74"/>
      <c r="R127" s="74"/>
      <c r="S127" s="74"/>
      <c r="T127" s="74"/>
      <c r="U127" s="74"/>
      <c r="V127" s="74"/>
      <c r="W127" s="74"/>
      <c r="X127" s="74"/>
      <c r="Y127" s="74"/>
      <c r="Z127" s="74"/>
    </row>
    <row r="128" ht="39.75" customHeight="1">
      <c r="A128" s="74"/>
      <c r="B128" s="245"/>
      <c r="C128" s="454" t="s">
        <v>301</v>
      </c>
      <c r="D128" s="246" t="s">
        <v>302</v>
      </c>
      <c r="E128" s="246" t="s">
        <v>303</v>
      </c>
      <c r="F128" s="246" t="s">
        <v>304</v>
      </c>
      <c r="G128" s="246" t="s">
        <v>305</v>
      </c>
      <c r="H128" s="246" t="s">
        <v>146</v>
      </c>
      <c r="I128" s="245"/>
      <c r="J128" s="581" t="s">
        <v>1638</v>
      </c>
      <c r="K128" s="581" t="s">
        <v>1639</v>
      </c>
      <c r="L128" s="583">
        <f>4.91037/231.32</f>
        <v>0.02122760678</v>
      </c>
      <c r="M128" s="583" t="str">
        <f t="shared" si="11"/>
        <v>#REF!</v>
      </c>
      <c r="N128" s="583" t="str">
        <f t="shared" si="12"/>
        <v>#REF!</v>
      </c>
      <c r="O128" s="457" t="s">
        <v>137</v>
      </c>
      <c r="P128" s="245"/>
      <c r="Q128" s="74"/>
      <c r="R128" s="74"/>
      <c r="S128" s="74"/>
      <c r="T128" s="74"/>
      <c r="U128" s="74"/>
      <c r="V128" s="74"/>
      <c r="W128" s="74"/>
      <c r="X128" s="74"/>
      <c r="Y128" s="74"/>
      <c r="Z128" s="74"/>
    </row>
    <row r="129" ht="39.75" customHeight="1">
      <c r="A129" s="74"/>
      <c r="B129" s="245"/>
      <c r="C129" s="465" t="s">
        <v>1640</v>
      </c>
      <c r="D129" s="247" t="s">
        <v>1641</v>
      </c>
      <c r="E129" s="247">
        <f>382275/347</f>
        <v>1101.657061</v>
      </c>
      <c r="F129" s="247" t="str">
        <f t="shared" ref="F129:F133" si="13">E129*'[4]Inputs and assumptions'!$E$15/1000000</f>
        <v>#REF!</v>
      </c>
      <c r="G129" s="247">
        <f>1459.39/347</f>
        <v>4.20573487</v>
      </c>
      <c r="H129" s="247"/>
      <c r="I129" s="245"/>
      <c r="J129" s="247" t="s">
        <v>1642</v>
      </c>
      <c r="K129" s="247" t="s">
        <v>1643</v>
      </c>
      <c r="L129" s="253">
        <f>645.371/231.32</f>
        <v>2.789948988</v>
      </c>
      <c r="M129" s="583" t="str">
        <f t="shared" si="11"/>
        <v>#REF!</v>
      </c>
      <c r="N129" s="583" t="str">
        <f t="shared" si="12"/>
        <v>#REF!</v>
      </c>
      <c r="O129" s="457" t="s">
        <v>137</v>
      </c>
      <c r="P129" s="245"/>
      <c r="Q129" s="74"/>
      <c r="R129" s="74"/>
      <c r="S129" s="74"/>
      <c r="T129" s="74"/>
      <c r="U129" s="74"/>
      <c r="V129" s="74"/>
      <c r="W129" s="74"/>
      <c r="X129" s="74"/>
      <c r="Y129" s="74"/>
      <c r="Z129" s="74"/>
    </row>
    <row r="130" ht="39.75" customHeight="1">
      <c r="A130" s="74"/>
      <c r="B130" s="245"/>
      <c r="C130" s="465" t="s">
        <v>1644</v>
      </c>
      <c r="D130" s="247" t="s">
        <v>1645</v>
      </c>
      <c r="E130" s="247">
        <f>2413.3/347</f>
        <v>6.954755043</v>
      </c>
      <c r="F130" s="253" t="str">
        <f t="shared" si="13"/>
        <v>#REF!</v>
      </c>
      <c r="G130" s="253">
        <f>9.21311/347</f>
        <v>0.02655074928</v>
      </c>
      <c r="H130" s="247"/>
      <c r="I130" s="245"/>
      <c r="J130" s="247" t="s">
        <v>1646</v>
      </c>
      <c r="K130" s="247" t="s">
        <v>1647</v>
      </c>
      <c r="L130" s="253">
        <f>107.807/347</f>
        <v>0.3106829971</v>
      </c>
      <c r="M130" s="583" t="str">
        <f t="shared" si="11"/>
        <v>#REF!</v>
      </c>
      <c r="N130" s="583" t="str">
        <f t="shared" si="12"/>
        <v>#REF!</v>
      </c>
      <c r="O130" s="457" t="s">
        <v>137</v>
      </c>
      <c r="P130" s="245"/>
      <c r="Q130" s="74"/>
      <c r="R130" s="74"/>
      <c r="S130" s="74"/>
      <c r="T130" s="74"/>
      <c r="U130" s="74"/>
      <c r="V130" s="74"/>
      <c r="W130" s="74"/>
      <c r="X130" s="74"/>
      <c r="Y130" s="74"/>
      <c r="Z130" s="74"/>
    </row>
    <row r="131" ht="39.75" customHeight="1">
      <c r="A131" s="74"/>
      <c r="B131" s="245"/>
      <c r="C131" s="465" t="s">
        <v>1648</v>
      </c>
      <c r="D131" s="247" t="s">
        <v>1649</v>
      </c>
      <c r="E131" s="247">
        <f>9707.38/347</f>
        <v>27.9751585</v>
      </c>
      <c r="F131" s="247" t="str">
        <f t="shared" si="13"/>
        <v>#REF!</v>
      </c>
      <c r="G131" s="253">
        <f>37.0593/347</f>
        <v>0.1067991354</v>
      </c>
      <c r="H131" s="247"/>
      <c r="I131" s="245"/>
      <c r="J131" s="247" t="s">
        <v>1650</v>
      </c>
      <c r="K131" s="247" t="s">
        <v>1651</v>
      </c>
      <c r="L131" s="253">
        <f>1.32904/347</f>
        <v>0.003830086455</v>
      </c>
      <c r="M131" s="583" t="str">
        <f t="shared" si="11"/>
        <v>#REF!</v>
      </c>
      <c r="N131" s="583" t="str">
        <f t="shared" si="12"/>
        <v>#REF!</v>
      </c>
      <c r="O131" s="457" t="s">
        <v>137</v>
      </c>
      <c r="P131" s="245"/>
      <c r="Q131" s="74"/>
      <c r="R131" s="74"/>
      <c r="S131" s="74"/>
      <c r="T131" s="74"/>
      <c r="U131" s="74"/>
      <c r="V131" s="74"/>
      <c r="W131" s="74"/>
      <c r="X131" s="74"/>
      <c r="Y131" s="74"/>
      <c r="Z131" s="74"/>
    </row>
    <row r="132" ht="39.75" customHeight="1">
      <c r="A132" s="74"/>
      <c r="B132" s="245"/>
      <c r="C132" s="465" t="s">
        <v>1652</v>
      </c>
      <c r="D132" s="247" t="s">
        <v>1653</v>
      </c>
      <c r="E132" s="247">
        <f>-32965.6/231.32</f>
        <v>-142.5108075</v>
      </c>
      <c r="F132" s="247" t="str">
        <f t="shared" si="13"/>
        <v>#REF!</v>
      </c>
      <c r="G132" s="247">
        <f>-125.851/231.32</f>
        <v>-0.5440558534</v>
      </c>
      <c r="H132" s="247"/>
      <c r="I132" s="245"/>
      <c r="J132" s="247" t="s">
        <v>1654</v>
      </c>
      <c r="K132" s="247" t="s">
        <v>1655</v>
      </c>
      <c r="L132" s="253">
        <f>148.577/347</f>
        <v>0.4281757925</v>
      </c>
      <c r="M132" s="583" t="str">
        <f t="shared" si="11"/>
        <v>#REF!</v>
      </c>
      <c r="N132" s="583" t="str">
        <f t="shared" si="12"/>
        <v>#REF!</v>
      </c>
      <c r="O132" s="457" t="s">
        <v>137</v>
      </c>
      <c r="P132" s="245"/>
      <c r="Q132" s="74"/>
      <c r="R132" s="74"/>
      <c r="S132" s="74"/>
      <c r="T132" s="74"/>
      <c r="U132" s="74"/>
      <c r="V132" s="74"/>
      <c r="W132" s="74"/>
      <c r="X132" s="74"/>
      <c r="Y132" s="74"/>
      <c r="Z132" s="74"/>
    </row>
    <row r="133" ht="39.75" customHeight="1">
      <c r="A133" s="74"/>
      <c r="B133" s="245"/>
      <c r="C133" s="465" t="s">
        <v>1656</v>
      </c>
      <c r="D133" s="247" t="s">
        <v>1657</v>
      </c>
      <c r="E133" s="247">
        <f>-1337.33/231.32</f>
        <v>-5.781298634</v>
      </c>
      <c r="F133" s="247" t="str">
        <f t="shared" si="13"/>
        <v>#REF!</v>
      </c>
      <c r="G133" s="253">
        <f>-5.10544/231.32</f>
        <v>-0.02207089746</v>
      </c>
      <c r="H133" s="247"/>
      <c r="I133" s="245"/>
      <c r="J133" s="247" t="s">
        <v>1658</v>
      </c>
      <c r="K133" s="247" t="s">
        <v>1659</v>
      </c>
      <c r="L133" s="253">
        <f>58.0188/347</f>
        <v>0.1672011527</v>
      </c>
      <c r="M133" s="583" t="str">
        <f t="shared" si="11"/>
        <v>#REF!</v>
      </c>
      <c r="N133" s="583" t="str">
        <f t="shared" si="12"/>
        <v>#REF!</v>
      </c>
      <c r="O133" s="457" t="s">
        <v>137</v>
      </c>
      <c r="P133" s="245"/>
      <c r="Q133" s="74"/>
      <c r="R133" s="74"/>
      <c r="S133" s="74"/>
      <c r="T133" s="74"/>
      <c r="U133" s="74"/>
      <c r="V133" s="74"/>
      <c r="W133" s="74"/>
      <c r="X133" s="74"/>
      <c r="Y133" s="74"/>
      <c r="Z133" s="74"/>
    </row>
    <row r="134" ht="39.75" customHeight="1">
      <c r="A134" s="74"/>
      <c r="B134" s="245"/>
      <c r="C134" s="245"/>
      <c r="D134" s="245"/>
      <c r="E134" s="245"/>
      <c r="F134" s="245"/>
      <c r="G134" s="245"/>
      <c r="H134" s="245"/>
      <c r="I134" s="245"/>
      <c r="J134" s="247" t="s">
        <v>1660</v>
      </c>
      <c r="K134" s="247" t="s">
        <v>1661</v>
      </c>
      <c r="L134" s="253">
        <f>10073.1/347</f>
        <v>29.02910663</v>
      </c>
      <c r="M134" s="583" t="str">
        <f t="shared" si="11"/>
        <v>#REF!</v>
      </c>
      <c r="N134" s="583" t="str">
        <f t="shared" si="12"/>
        <v>#REF!</v>
      </c>
      <c r="O134" s="457" t="s">
        <v>137</v>
      </c>
      <c r="P134" s="245"/>
      <c r="Q134" s="74"/>
      <c r="R134" s="74"/>
      <c r="S134" s="74"/>
      <c r="T134" s="74"/>
      <c r="U134" s="74"/>
      <c r="V134" s="74"/>
      <c r="W134" s="74"/>
      <c r="X134" s="74"/>
      <c r="Y134" s="74"/>
      <c r="Z134" s="74"/>
    </row>
    <row r="135" ht="14.25" customHeight="1">
      <c r="A135" s="74"/>
      <c r="B135" s="245"/>
      <c r="C135" s="454" t="s">
        <v>10</v>
      </c>
      <c r="D135" s="245"/>
      <c r="E135" s="245"/>
      <c r="F135" s="245"/>
      <c r="G135" s="245"/>
      <c r="H135" s="245"/>
      <c r="I135" s="245"/>
      <c r="J135" s="247"/>
      <c r="K135" s="247"/>
      <c r="L135" s="253"/>
      <c r="M135" s="583"/>
      <c r="N135" s="583"/>
      <c r="O135" s="457"/>
      <c r="P135" s="245"/>
      <c r="Q135" s="74"/>
      <c r="R135" s="74"/>
      <c r="S135" s="74"/>
      <c r="T135" s="74"/>
      <c r="U135" s="74"/>
      <c r="V135" s="74"/>
      <c r="W135" s="74"/>
      <c r="X135" s="74"/>
      <c r="Y135" s="74"/>
      <c r="Z135" s="74"/>
    </row>
    <row r="136" ht="42.75" customHeight="1">
      <c r="A136" s="74"/>
      <c r="B136" s="245"/>
      <c r="C136" s="454" t="s">
        <v>301</v>
      </c>
      <c r="D136" s="246" t="s">
        <v>302</v>
      </c>
      <c r="E136" s="246" t="s">
        <v>303</v>
      </c>
      <c r="F136" s="246" t="s">
        <v>304</v>
      </c>
      <c r="G136" s="246" t="s">
        <v>305</v>
      </c>
      <c r="H136" s="246" t="s">
        <v>146</v>
      </c>
      <c r="I136" s="245"/>
      <c r="J136" s="245"/>
      <c r="K136" s="245"/>
      <c r="L136" s="245"/>
      <c r="M136" s="245"/>
      <c r="N136" s="245"/>
      <c r="O136" s="453"/>
      <c r="P136" s="245"/>
      <c r="Q136" s="74"/>
      <c r="R136" s="74"/>
      <c r="S136" s="74"/>
      <c r="T136" s="74"/>
      <c r="U136" s="74"/>
      <c r="V136" s="74"/>
      <c r="W136" s="74"/>
      <c r="X136" s="74"/>
      <c r="Y136" s="74"/>
      <c r="Z136" s="74"/>
    </row>
    <row r="137" ht="39.75" customHeight="1">
      <c r="A137" s="74"/>
      <c r="B137" s="245"/>
      <c r="C137" s="465" t="s">
        <v>1662</v>
      </c>
      <c r="D137" s="247" t="s">
        <v>1663</v>
      </c>
      <c r="E137" s="247">
        <f>44891.4/231.32</f>
        <v>194.0662286</v>
      </c>
      <c r="F137" s="247" t="str">
        <f t="shared" ref="F137:F142" si="14">E137*'[4]Inputs and assumptions'!$E$15/1000000</f>
        <v>#REF!</v>
      </c>
      <c r="G137" s="253">
        <f>191.244/231.32</f>
        <v>0.8267508214</v>
      </c>
      <c r="H137" s="250" t="s">
        <v>137</v>
      </c>
      <c r="I137" s="245"/>
      <c r="J137" s="246" t="s">
        <v>12</v>
      </c>
      <c r="K137" s="245"/>
      <c r="L137" s="245"/>
      <c r="M137" s="245"/>
      <c r="N137" s="245"/>
      <c r="O137" s="453"/>
      <c r="P137" s="245"/>
      <c r="Q137" s="74"/>
      <c r="R137" s="74"/>
      <c r="S137" s="74"/>
      <c r="T137" s="74"/>
      <c r="U137" s="74"/>
      <c r="V137" s="74"/>
      <c r="W137" s="74"/>
      <c r="X137" s="74"/>
      <c r="Y137" s="74"/>
      <c r="Z137" s="74"/>
    </row>
    <row r="138" ht="39.75" customHeight="1">
      <c r="A138" s="74"/>
      <c r="B138" s="245"/>
      <c r="C138" s="465" t="s">
        <v>1664</v>
      </c>
      <c r="D138" s="247" t="s">
        <v>1665</v>
      </c>
      <c r="E138" s="247">
        <f>48065.5/347</f>
        <v>138.5172911</v>
      </c>
      <c r="F138" s="247" t="str">
        <f t="shared" si="14"/>
        <v>#REF!</v>
      </c>
      <c r="G138" s="253">
        <f>204.766/347</f>
        <v>0.5901037464</v>
      </c>
      <c r="H138" s="250" t="s">
        <v>137</v>
      </c>
      <c r="I138" s="245"/>
      <c r="J138" s="246" t="s">
        <v>301</v>
      </c>
      <c r="K138" s="246" t="s">
        <v>302</v>
      </c>
      <c r="L138" s="246" t="s">
        <v>303</v>
      </c>
      <c r="M138" s="246" t="s">
        <v>304</v>
      </c>
      <c r="N138" s="246" t="s">
        <v>305</v>
      </c>
      <c r="O138" s="455" t="s">
        <v>146</v>
      </c>
      <c r="P138" s="245"/>
      <c r="Q138" s="74"/>
      <c r="R138" s="74"/>
      <c r="S138" s="74"/>
      <c r="T138" s="74"/>
      <c r="U138" s="74"/>
      <c r="V138" s="74"/>
      <c r="W138" s="74"/>
      <c r="X138" s="74"/>
      <c r="Y138" s="74"/>
      <c r="Z138" s="74"/>
    </row>
    <row r="139" ht="39.75" customHeight="1">
      <c r="A139" s="74"/>
      <c r="B139" s="245"/>
      <c r="C139" s="465" t="s">
        <v>1666</v>
      </c>
      <c r="D139" s="247" t="s">
        <v>1667</v>
      </c>
      <c r="E139" s="247">
        <f>4022.45/347</f>
        <v>11.59207493</v>
      </c>
      <c r="F139" s="253" t="str">
        <f t="shared" si="14"/>
        <v>#REF!</v>
      </c>
      <c r="G139" s="253">
        <f>17.1362/347</f>
        <v>0.04938386167</v>
      </c>
      <c r="H139" s="247" t="s">
        <v>137</v>
      </c>
      <c r="I139" s="245"/>
      <c r="J139" s="248" t="s">
        <v>1668</v>
      </c>
      <c r="K139" s="249" t="s">
        <v>1669</v>
      </c>
      <c r="L139" s="250">
        <f>47613.4/347</f>
        <v>137.2144092</v>
      </c>
      <c r="M139" s="252" t="str">
        <f t="shared" ref="M139:M153" si="15">L139*'[4]Inputs and assumptions'!$E$15/1000000</f>
        <v>#REF!</v>
      </c>
      <c r="N139" s="252">
        <f>6085.9/347</f>
        <v>17.53861671</v>
      </c>
      <c r="O139" s="457" t="s">
        <v>137</v>
      </c>
      <c r="P139" s="245"/>
      <c r="Q139" s="74"/>
      <c r="R139" s="74"/>
      <c r="S139" s="74"/>
      <c r="T139" s="74"/>
      <c r="U139" s="74"/>
      <c r="V139" s="74"/>
      <c r="W139" s="74"/>
      <c r="X139" s="74"/>
      <c r="Y139" s="74"/>
      <c r="Z139" s="74"/>
    </row>
    <row r="140" ht="39.75" customHeight="1">
      <c r="A140" s="74"/>
      <c r="B140" s="245"/>
      <c r="C140" s="465" t="s">
        <v>1670</v>
      </c>
      <c r="D140" s="247" t="s">
        <v>1671</v>
      </c>
      <c r="E140" s="247">
        <f>-54675.4/231.32</f>
        <v>-236.3626146</v>
      </c>
      <c r="F140" s="247" t="str">
        <f t="shared" si="14"/>
        <v>#REF!</v>
      </c>
      <c r="G140" s="253">
        <f>-232.925/231.32</f>
        <v>-1.00693844</v>
      </c>
      <c r="H140" s="247"/>
      <c r="I140" s="245"/>
      <c r="J140" s="248" t="s">
        <v>1672</v>
      </c>
      <c r="K140" s="249" t="s">
        <v>1673</v>
      </c>
      <c r="L140" s="250">
        <f>6716.72/347</f>
        <v>19.35654179</v>
      </c>
      <c r="M140" s="252" t="str">
        <f t="shared" si="15"/>
        <v>#REF!</v>
      </c>
      <c r="N140" s="252">
        <f>858.524/347</f>
        <v>2.474132565</v>
      </c>
      <c r="O140" s="457" t="s">
        <v>137</v>
      </c>
      <c r="P140" s="245"/>
      <c r="Q140" s="74"/>
      <c r="R140" s="74"/>
      <c r="S140" s="74"/>
      <c r="T140" s="74"/>
      <c r="U140" s="74"/>
      <c r="V140" s="74"/>
      <c r="W140" s="74"/>
      <c r="X140" s="74"/>
      <c r="Y140" s="74"/>
      <c r="Z140" s="74"/>
    </row>
    <row r="141" ht="39.75" customHeight="1">
      <c r="A141" s="74"/>
      <c r="B141" s="245"/>
      <c r="C141" s="465" t="s">
        <v>1674</v>
      </c>
      <c r="D141" s="247" t="s">
        <v>1675</v>
      </c>
      <c r="E141" s="247">
        <f>-2784.23/231.32</f>
        <v>-12.0362701</v>
      </c>
      <c r="F141" s="247" t="str">
        <f t="shared" si="14"/>
        <v>#REF!</v>
      </c>
      <c r="G141" s="253">
        <f>-11.8612/231.32</f>
        <v>-0.05127615425</v>
      </c>
      <c r="H141" s="247"/>
      <c r="I141" s="245"/>
      <c r="J141" s="248" t="s">
        <v>1640</v>
      </c>
      <c r="K141" s="249" t="s">
        <v>1641</v>
      </c>
      <c r="L141" s="250">
        <f>270453/347</f>
        <v>779.4034582</v>
      </c>
      <c r="M141" s="252" t="str">
        <f t="shared" si="15"/>
        <v>#REF!</v>
      </c>
      <c r="N141" s="252">
        <f>34569/347</f>
        <v>99.62247839</v>
      </c>
      <c r="O141" s="457" t="s">
        <v>137</v>
      </c>
      <c r="P141" s="245"/>
      <c r="Q141" s="74"/>
      <c r="R141" s="74"/>
      <c r="S141" s="74"/>
      <c r="T141" s="74"/>
      <c r="U141" s="74"/>
      <c r="V141" s="74"/>
      <c r="W141" s="74"/>
      <c r="X141" s="74"/>
      <c r="Y141" s="74"/>
      <c r="Z141" s="74"/>
    </row>
    <row r="142" ht="39.75" customHeight="1">
      <c r="A142" s="74"/>
      <c r="B142" s="245"/>
      <c r="C142" s="465" t="s">
        <v>1676</v>
      </c>
      <c r="D142" s="247" t="s">
        <v>1677</v>
      </c>
      <c r="E142" s="247">
        <f>-1170.56/231.32</f>
        <v>-5.0603493</v>
      </c>
      <c r="F142" s="247" t="str">
        <f t="shared" si="14"/>
        <v>#REF!</v>
      </c>
      <c r="G142" s="253">
        <f>-4.98673/231.32</f>
        <v>-0.02155771226</v>
      </c>
      <c r="H142" s="247"/>
      <c r="I142" s="245"/>
      <c r="J142" s="248" t="s">
        <v>1678</v>
      </c>
      <c r="K142" s="249" t="s">
        <v>1679</v>
      </c>
      <c r="L142" s="250">
        <f>23584.6/231.32</f>
        <v>101.9565969</v>
      </c>
      <c r="M142" s="252" t="str">
        <f t="shared" si="15"/>
        <v>#REF!</v>
      </c>
      <c r="N142" s="252">
        <f>3014.56/231.32</f>
        <v>13.03199032</v>
      </c>
      <c r="O142" s="457" t="s">
        <v>137</v>
      </c>
      <c r="P142" s="245"/>
      <c r="Q142" s="74"/>
      <c r="R142" s="74"/>
      <c r="S142" s="74"/>
      <c r="T142" s="74"/>
      <c r="U142" s="74"/>
      <c r="V142" s="74"/>
      <c r="W142" s="74"/>
      <c r="X142" s="74"/>
      <c r="Y142" s="74"/>
      <c r="Z142" s="74"/>
    </row>
    <row r="143" ht="39.75" customHeight="1">
      <c r="A143" s="74"/>
      <c r="B143" s="245"/>
      <c r="C143" s="245"/>
      <c r="D143" s="245"/>
      <c r="E143" s="245"/>
      <c r="F143" s="245"/>
      <c r="G143" s="245"/>
      <c r="H143" s="245"/>
      <c r="I143" s="245"/>
      <c r="J143" s="248" t="s">
        <v>1680</v>
      </c>
      <c r="K143" s="249" t="s">
        <v>1681</v>
      </c>
      <c r="L143" s="250">
        <f>20133.9/231.32</f>
        <v>87.03916652</v>
      </c>
      <c r="M143" s="252" t="str">
        <f t="shared" si="15"/>
        <v>#REF!</v>
      </c>
      <c r="N143" s="252">
        <f>2573.49/231.32</f>
        <v>11.12523777</v>
      </c>
      <c r="O143" s="457" t="s">
        <v>137</v>
      </c>
      <c r="P143" s="245"/>
      <c r="Q143" s="74"/>
      <c r="R143" s="74"/>
      <c r="S143" s="74"/>
      <c r="T143" s="74"/>
      <c r="U143" s="74"/>
      <c r="V143" s="74"/>
      <c r="W143" s="74"/>
      <c r="X143" s="74"/>
      <c r="Y143" s="74"/>
      <c r="Z143" s="74"/>
    </row>
    <row r="144" ht="39.75" customHeight="1">
      <c r="A144" s="74"/>
      <c r="B144" s="245"/>
      <c r="C144" s="454" t="s">
        <v>11</v>
      </c>
      <c r="D144" s="245"/>
      <c r="E144" s="245"/>
      <c r="F144" s="245"/>
      <c r="G144" s="245"/>
      <c r="H144" s="245"/>
      <c r="I144" s="245"/>
      <c r="J144" s="248" t="s">
        <v>1682</v>
      </c>
      <c r="K144" s="249" t="s">
        <v>1683</v>
      </c>
      <c r="L144" s="250">
        <f>8399.83/231.32</f>
        <v>36.31259727</v>
      </c>
      <c r="M144" s="252" t="str">
        <f t="shared" si="15"/>
        <v>#REF!</v>
      </c>
      <c r="N144" s="252">
        <f>1073.66/231.32</f>
        <v>4.641449075</v>
      </c>
      <c r="O144" s="457" t="s">
        <v>137</v>
      </c>
      <c r="P144" s="245"/>
      <c r="Q144" s="74"/>
      <c r="R144" s="74"/>
      <c r="S144" s="74"/>
      <c r="T144" s="74"/>
      <c r="U144" s="74"/>
      <c r="V144" s="74"/>
      <c r="W144" s="74"/>
      <c r="X144" s="74"/>
      <c r="Y144" s="74"/>
      <c r="Z144" s="74"/>
    </row>
    <row r="145" ht="39.75" customHeight="1">
      <c r="A145" s="74"/>
      <c r="B145" s="245"/>
      <c r="C145" s="454" t="s">
        <v>301</v>
      </c>
      <c r="D145" s="246" t="s">
        <v>302</v>
      </c>
      <c r="E145" s="246" t="s">
        <v>303</v>
      </c>
      <c r="F145" s="246" t="s">
        <v>304</v>
      </c>
      <c r="G145" s="246" t="s">
        <v>305</v>
      </c>
      <c r="H145" s="246" t="s">
        <v>146</v>
      </c>
      <c r="I145" s="245"/>
      <c r="J145" s="248" t="s">
        <v>1684</v>
      </c>
      <c r="K145" s="249" t="s">
        <v>1685</v>
      </c>
      <c r="L145" s="250">
        <f>18003/231.32</f>
        <v>77.82725229</v>
      </c>
      <c r="M145" s="252" t="str">
        <f t="shared" si="15"/>
        <v>#REF!</v>
      </c>
      <c r="N145" s="252">
        <f>2301.13/231.32</f>
        <v>9.9478212</v>
      </c>
      <c r="O145" s="457" t="s">
        <v>137</v>
      </c>
      <c r="P145" s="245"/>
      <c r="Q145" s="74"/>
      <c r="R145" s="74"/>
      <c r="S145" s="74"/>
      <c r="T145" s="74"/>
      <c r="U145" s="74"/>
      <c r="V145" s="74"/>
      <c r="W145" s="74"/>
      <c r="X145" s="74"/>
      <c r="Y145" s="74"/>
      <c r="Z145" s="74"/>
    </row>
    <row r="146" ht="39.75" customHeight="1">
      <c r="A146" s="74"/>
      <c r="B146" s="245"/>
      <c r="C146" s="465" t="s">
        <v>1686</v>
      </c>
      <c r="D146" s="247" t="s">
        <v>1687</v>
      </c>
      <c r="E146" s="247">
        <f>88149.6/231.32</f>
        <v>381.0721079</v>
      </c>
      <c r="F146" s="247" t="str">
        <f t="shared" ref="F146:F148" si="16">E146*'[4]Inputs and assumptions'!$E$15/10^6</f>
        <v>#REF!</v>
      </c>
      <c r="G146" s="247">
        <f>432.014/231.32</f>
        <v>1.86760332</v>
      </c>
      <c r="H146" s="247" t="s">
        <v>137</v>
      </c>
      <c r="I146" s="245"/>
      <c r="J146" s="248" t="s">
        <v>1688</v>
      </c>
      <c r="K146" s="249" t="s">
        <v>1689</v>
      </c>
      <c r="L146" s="250">
        <f>1307.96/231.32</f>
        <v>5.654331662</v>
      </c>
      <c r="M146" s="252" t="str">
        <f t="shared" si="15"/>
        <v>#REF!</v>
      </c>
      <c r="N146" s="252">
        <f>167.182/231.32</f>
        <v>0.7227304167</v>
      </c>
      <c r="O146" s="457" t="s">
        <v>137</v>
      </c>
      <c r="P146" s="245"/>
      <c r="Q146" s="74"/>
      <c r="R146" s="74"/>
      <c r="S146" s="74"/>
      <c r="T146" s="74"/>
      <c r="U146" s="74"/>
      <c r="V146" s="74"/>
      <c r="W146" s="74"/>
      <c r="X146" s="74"/>
      <c r="Y146" s="74"/>
      <c r="Z146" s="74"/>
    </row>
    <row r="147" ht="39.75" customHeight="1">
      <c r="A147" s="74"/>
      <c r="B147" s="245"/>
      <c r="C147" s="465" t="s">
        <v>1690</v>
      </c>
      <c r="D147" s="247" t="s">
        <v>1691</v>
      </c>
      <c r="E147" s="247">
        <f>81612.8/347</f>
        <v>235.195389</v>
      </c>
      <c r="F147" s="247" t="str">
        <f t="shared" si="16"/>
        <v>#REF!</v>
      </c>
      <c r="G147" s="256">
        <f>399.978/347</f>
        <v>1.152674352</v>
      </c>
      <c r="H147" s="247"/>
      <c r="I147" s="245"/>
      <c r="J147" s="248" t="s">
        <v>1642</v>
      </c>
      <c r="K147" s="249" t="s">
        <v>1643</v>
      </c>
      <c r="L147" s="250">
        <f>10620.1/231.32</f>
        <v>45.91085942</v>
      </c>
      <c r="M147" s="252" t="str">
        <f t="shared" si="15"/>
        <v>#REF!</v>
      </c>
      <c r="N147" s="252">
        <f>1357.45/231.32</f>
        <v>5.868277711</v>
      </c>
      <c r="O147" s="457" t="s">
        <v>137</v>
      </c>
      <c r="P147" s="245"/>
      <c r="Q147" s="74"/>
      <c r="R147" s="74"/>
      <c r="S147" s="74"/>
      <c r="T147" s="74"/>
      <c r="U147" s="74"/>
      <c r="V147" s="74"/>
      <c r="W147" s="74"/>
      <c r="X147" s="74"/>
      <c r="Y147" s="74"/>
      <c r="Z147" s="74"/>
    </row>
    <row r="148" ht="39.75" customHeight="1">
      <c r="A148" s="74"/>
      <c r="B148" s="245"/>
      <c r="C148" s="465" t="s">
        <v>1692</v>
      </c>
      <c r="D148" s="247" t="s">
        <v>1693</v>
      </c>
      <c r="E148" s="253">
        <f>67.9072/347</f>
        <v>0.1956979827</v>
      </c>
      <c r="F148" s="259" t="str">
        <f t="shared" si="16"/>
        <v>#REF!</v>
      </c>
      <c r="G148" s="259">
        <f>0.332808/347</f>
        <v>0.0009591008646</v>
      </c>
      <c r="H148" s="247" t="s">
        <v>137</v>
      </c>
      <c r="I148" s="245"/>
      <c r="J148" s="248" t="s">
        <v>1694</v>
      </c>
      <c r="K148" s="249" t="s">
        <v>1695</v>
      </c>
      <c r="L148" s="250">
        <f>15617.5/347</f>
        <v>45.00720461</v>
      </c>
      <c r="M148" s="252" t="str">
        <f t="shared" si="15"/>
        <v>#REF!</v>
      </c>
      <c r="N148" s="252">
        <f>1996.21/347</f>
        <v>5.752766571</v>
      </c>
      <c r="O148" s="457" t="s">
        <v>137</v>
      </c>
      <c r="P148" s="245"/>
      <c r="Q148" s="74"/>
      <c r="R148" s="74"/>
      <c r="S148" s="74"/>
      <c r="T148" s="74"/>
      <c r="U148" s="74"/>
      <c r="V148" s="74"/>
      <c r="W148" s="74"/>
      <c r="X148" s="74"/>
      <c r="Y148" s="74"/>
      <c r="Z148" s="74"/>
    </row>
    <row r="149" ht="39.75" customHeight="1">
      <c r="A149" s="74"/>
      <c r="B149" s="245"/>
      <c r="C149" s="245"/>
      <c r="D149" s="245"/>
      <c r="E149" s="245"/>
      <c r="F149" s="245"/>
      <c r="G149" s="245"/>
      <c r="H149" s="245"/>
      <c r="I149" s="245"/>
      <c r="J149" s="248" t="s">
        <v>1696</v>
      </c>
      <c r="K149" s="249" t="s">
        <v>1697</v>
      </c>
      <c r="L149" s="250">
        <f>14090/347</f>
        <v>40.60518732</v>
      </c>
      <c r="M149" s="252" t="str">
        <f t="shared" si="15"/>
        <v>#REF!</v>
      </c>
      <c r="N149" s="252">
        <f>1800.96/347</f>
        <v>5.190086455</v>
      </c>
      <c r="O149" s="457" t="s">
        <v>137</v>
      </c>
      <c r="P149" s="245"/>
      <c r="Q149" s="74"/>
      <c r="R149" s="74"/>
      <c r="S149" s="74"/>
      <c r="T149" s="74"/>
      <c r="U149" s="74"/>
      <c r="V149" s="74"/>
      <c r="W149" s="74"/>
      <c r="X149" s="74"/>
      <c r="Y149" s="74"/>
      <c r="Z149" s="74"/>
    </row>
    <row r="150" ht="39.75" customHeight="1">
      <c r="A150" s="74"/>
      <c r="B150" s="245"/>
      <c r="C150" s="454" t="s">
        <v>1698</v>
      </c>
      <c r="D150" s="245"/>
      <c r="E150" s="245"/>
      <c r="F150" s="245"/>
      <c r="G150" s="245"/>
      <c r="H150" s="245"/>
      <c r="I150" s="245"/>
      <c r="J150" s="248" t="s">
        <v>1699</v>
      </c>
      <c r="K150" s="249" t="s">
        <v>1700</v>
      </c>
      <c r="L150" s="250">
        <f>70242.1/347</f>
        <v>202.4268012</v>
      </c>
      <c r="M150" s="252" t="str">
        <f t="shared" si="15"/>
        <v>#REF!</v>
      </c>
      <c r="N150" s="252">
        <f>8978.27/347</f>
        <v>25.87397695</v>
      </c>
      <c r="O150" s="457" t="s">
        <v>137</v>
      </c>
      <c r="P150" s="245"/>
      <c r="Q150" s="74"/>
      <c r="R150" s="74"/>
      <c r="S150" s="74"/>
      <c r="T150" s="74"/>
      <c r="U150" s="74"/>
      <c r="V150" s="74"/>
      <c r="W150" s="74"/>
      <c r="X150" s="74"/>
      <c r="Y150" s="74"/>
      <c r="Z150" s="74"/>
    </row>
    <row r="151" ht="39.75" customHeight="1">
      <c r="A151" s="74"/>
      <c r="B151" s="245"/>
      <c r="C151" s="454" t="s">
        <v>301</v>
      </c>
      <c r="D151" s="246" t="s">
        <v>302</v>
      </c>
      <c r="E151" s="246" t="s">
        <v>303</v>
      </c>
      <c r="F151" s="246" t="s">
        <v>304</v>
      </c>
      <c r="G151" s="246" t="s">
        <v>305</v>
      </c>
      <c r="H151" s="246" t="s">
        <v>146</v>
      </c>
      <c r="I151" s="245"/>
      <c r="J151" s="248" t="s">
        <v>1701</v>
      </c>
      <c r="K151" s="249" t="s">
        <v>1702</v>
      </c>
      <c r="L151" s="250">
        <f>345099/347</f>
        <v>994.5216138</v>
      </c>
      <c r="M151" s="252" t="str">
        <f t="shared" si="15"/>
        <v>#REF!</v>
      </c>
      <c r="N151" s="252">
        <f>44110.1/347</f>
        <v>127.1184438</v>
      </c>
      <c r="O151" s="457" t="s">
        <v>137</v>
      </c>
      <c r="P151" s="245"/>
      <c r="Q151" s="74"/>
      <c r="R151" s="74"/>
      <c r="S151" s="74"/>
      <c r="T151" s="74"/>
      <c r="U151" s="74"/>
      <c r="V151" s="74"/>
      <c r="W151" s="74"/>
      <c r="X151" s="74"/>
      <c r="Y151" s="74"/>
      <c r="Z151" s="74"/>
    </row>
    <row r="152" ht="39.75" customHeight="1">
      <c r="A152" s="74"/>
      <c r="B152" s="245"/>
      <c r="C152" s="465" t="s">
        <v>1703</v>
      </c>
      <c r="D152" s="247" t="s">
        <v>1704</v>
      </c>
      <c r="E152" s="247">
        <f>((60*60*2140739.56*4.184)/(10^6))/231.32</f>
        <v>139.3942398</v>
      </c>
      <c r="F152" s="253" t="str">
        <f t="shared" ref="F152:F153" si="17">E152*'[4]Inputs and assumptions'!$E$15/10^6</f>
        <v>#REF!</v>
      </c>
      <c r="G152" s="247" t="s">
        <v>137</v>
      </c>
      <c r="H152" s="247" t="s">
        <v>1705</v>
      </c>
      <c r="I152" s="245"/>
      <c r="J152" s="248" t="s">
        <v>1706</v>
      </c>
      <c r="K152" s="249" t="s">
        <v>1707</v>
      </c>
      <c r="L152" s="250">
        <f>49003/347</f>
        <v>141.2190202</v>
      </c>
      <c r="M152" s="252" t="str">
        <f t="shared" si="15"/>
        <v>#REF!</v>
      </c>
      <c r="N152" s="252">
        <f>6263.51/347</f>
        <v>18.0504611</v>
      </c>
      <c r="O152" s="457" t="s">
        <v>137</v>
      </c>
      <c r="P152" s="245"/>
      <c r="Q152" s="74"/>
      <c r="R152" s="74"/>
      <c r="S152" s="74"/>
      <c r="T152" s="74"/>
      <c r="U152" s="74"/>
      <c r="V152" s="74"/>
      <c r="W152" s="74"/>
      <c r="X152" s="74"/>
      <c r="Y152" s="74"/>
      <c r="Z152" s="74"/>
    </row>
    <row r="153" ht="39.75" customHeight="1">
      <c r="A153" s="74"/>
      <c r="B153" s="245"/>
      <c r="C153" s="465" t="s">
        <v>1708</v>
      </c>
      <c r="D153" s="247" t="s">
        <v>1709</v>
      </c>
      <c r="E153" s="247">
        <f>((60*60*638266.174*4.184)/(10^6))/231.32</f>
        <v>41.56069695</v>
      </c>
      <c r="F153" s="253" t="str">
        <f t="shared" si="17"/>
        <v>#REF!</v>
      </c>
      <c r="G153" s="247" t="s">
        <v>137</v>
      </c>
      <c r="H153" s="247" t="s">
        <v>1710</v>
      </c>
      <c r="I153" s="245"/>
      <c r="J153" s="248" t="s">
        <v>1660</v>
      </c>
      <c r="K153" s="249" t="s">
        <v>1661</v>
      </c>
      <c r="L153" s="250">
        <f>36384.7/347</f>
        <v>104.8550432</v>
      </c>
      <c r="M153" s="252" t="str">
        <f t="shared" si="15"/>
        <v>#REF!</v>
      </c>
      <c r="N153" s="252">
        <f>4650.66/347</f>
        <v>13.40247839</v>
      </c>
      <c r="O153" s="457" t="s">
        <v>137</v>
      </c>
      <c r="P153" s="245"/>
      <c r="Q153" s="74"/>
      <c r="R153" s="74"/>
      <c r="S153" s="74"/>
      <c r="T153" s="74"/>
      <c r="U153" s="74"/>
      <c r="V153" s="74"/>
      <c r="W153" s="74"/>
      <c r="X153" s="74"/>
      <c r="Y153" s="74"/>
      <c r="Z153" s="74"/>
    </row>
    <row r="154" ht="14.25" customHeight="1">
      <c r="A154" s="74"/>
      <c r="B154" s="245"/>
      <c r="C154" s="245"/>
      <c r="D154" s="245"/>
      <c r="E154" s="245"/>
      <c r="F154" s="245"/>
      <c r="G154" s="245"/>
      <c r="H154" s="245"/>
      <c r="I154" s="245"/>
      <c r="J154" s="245"/>
      <c r="K154" s="245"/>
      <c r="L154" s="245"/>
      <c r="M154" s="245"/>
      <c r="N154" s="245"/>
      <c r="O154" s="245"/>
      <c r="P154" s="245"/>
      <c r="Q154" s="74"/>
      <c r="R154" s="74"/>
      <c r="S154" s="74"/>
      <c r="T154" s="74"/>
      <c r="U154" s="74"/>
      <c r="V154" s="74"/>
      <c r="W154" s="74"/>
      <c r="X154" s="74"/>
      <c r="Y154" s="74"/>
      <c r="Z154" s="74"/>
    </row>
    <row r="155" ht="14.25" customHeight="1">
      <c r="A155" s="74"/>
      <c r="B155" s="245"/>
      <c r="C155" s="459"/>
      <c r="D155" s="245"/>
      <c r="E155" s="245"/>
      <c r="F155" s="245"/>
      <c r="G155" s="245"/>
      <c r="H155" s="245"/>
      <c r="I155" s="245"/>
      <c r="J155" s="246" t="s">
        <v>688</v>
      </c>
      <c r="K155" s="245"/>
      <c r="L155" s="245"/>
      <c r="M155" s="245"/>
      <c r="N155" s="245"/>
      <c r="O155" s="453"/>
      <c r="P155" s="245"/>
      <c r="Q155" s="74"/>
      <c r="R155" s="74"/>
      <c r="S155" s="74"/>
      <c r="T155" s="74"/>
      <c r="U155" s="74"/>
      <c r="V155" s="74"/>
      <c r="W155" s="74"/>
      <c r="X155" s="74"/>
      <c r="Y155" s="74"/>
      <c r="Z155" s="74"/>
    </row>
    <row r="156" ht="14.25" customHeight="1">
      <c r="A156" s="74"/>
      <c r="B156" s="245"/>
      <c r="C156" s="454" t="s">
        <v>675</v>
      </c>
      <c r="D156" s="245"/>
      <c r="E156" s="245"/>
      <c r="F156" s="245"/>
      <c r="G156" s="245"/>
      <c r="H156" s="245"/>
      <c r="I156" s="245"/>
      <c r="J156" s="246" t="s">
        <v>301</v>
      </c>
      <c r="K156" s="246" t="s">
        <v>302</v>
      </c>
      <c r="L156" s="246" t="s">
        <v>303</v>
      </c>
      <c r="M156" s="246" t="s">
        <v>304</v>
      </c>
      <c r="N156" s="246" t="s">
        <v>305</v>
      </c>
      <c r="O156" s="455" t="s">
        <v>146</v>
      </c>
      <c r="P156" s="245"/>
      <c r="Q156" s="74"/>
      <c r="R156" s="74"/>
      <c r="S156" s="74"/>
      <c r="T156" s="74"/>
      <c r="U156" s="74"/>
      <c r="V156" s="74"/>
      <c r="W156" s="74"/>
      <c r="X156" s="74"/>
      <c r="Y156" s="74"/>
      <c r="Z156" s="74"/>
    </row>
    <row r="157" ht="14.25" customHeight="1">
      <c r="A157" s="74"/>
      <c r="B157" s="245"/>
      <c r="C157" s="454" t="s">
        <v>301</v>
      </c>
      <c r="D157" s="246" t="s">
        <v>302</v>
      </c>
      <c r="E157" s="246" t="s">
        <v>303</v>
      </c>
      <c r="F157" s="246" t="s">
        <v>304</v>
      </c>
      <c r="G157" s="246" t="s">
        <v>305</v>
      </c>
      <c r="H157" s="246" t="s">
        <v>146</v>
      </c>
      <c r="I157" s="245"/>
      <c r="J157" s="247" t="s">
        <v>137</v>
      </c>
      <c r="K157" s="247" t="s">
        <v>137</v>
      </c>
      <c r="L157" s="247" t="s">
        <v>137</v>
      </c>
      <c r="M157" s="247" t="s">
        <v>137</v>
      </c>
      <c r="N157" s="247" t="s">
        <v>137</v>
      </c>
      <c r="O157" s="457" t="s">
        <v>137</v>
      </c>
      <c r="P157" s="245"/>
      <c r="Q157" s="74"/>
      <c r="R157" s="74"/>
      <c r="S157" s="74"/>
      <c r="T157" s="74"/>
      <c r="U157" s="74"/>
      <c r="V157" s="74"/>
      <c r="W157" s="74"/>
      <c r="X157" s="74"/>
      <c r="Y157" s="74"/>
      <c r="Z157" s="74"/>
    </row>
    <row r="158" ht="14.25" customHeight="1">
      <c r="A158" s="74"/>
      <c r="B158" s="245"/>
      <c r="C158" s="471" t="s">
        <v>137</v>
      </c>
      <c r="D158" s="472" t="s">
        <v>137</v>
      </c>
      <c r="E158" s="472" t="s">
        <v>137</v>
      </c>
      <c r="F158" s="584" t="s">
        <v>137</v>
      </c>
      <c r="G158" s="467" t="s">
        <v>137</v>
      </c>
      <c r="H158" s="585" t="s">
        <v>137</v>
      </c>
      <c r="I158" s="473"/>
      <c r="J158" s="472" t="s">
        <v>137</v>
      </c>
      <c r="K158" s="472" t="s">
        <v>137</v>
      </c>
      <c r="L158" s="472">
        <v>0.0</v>
      </c>
      <c r="M158" s="472" t="str">
        <f>L158*'[4]Inputs and assumptions'!$E$15/1000000</f>
        <v>#REF!</v>
      </c>
      <c r="N158" s="472" t="s">
        <v>137</v>
      </c>
      <c r="O158" s="477" t="s">
        <v>137</v>
      </c>
      <c r="P158" s="245"/>
      <c r="Q158" s="74"/>
      <c r="R158" s="74"/>
      <c r="S158" s="74"/>
      <c r="T158" s="74"/>
      <c r="U158" s="74"/>
      <c r="V158" s="74"/>
      <c r="W158" s="74"/>
      <c r="X158" s="74"/>
      <c r="Y158" s="74"/>
      <c r="Z158" s="74"/>
    </row>
    <row r="159" ht="14.25" customHeight="1">
      <c r="A159" s="74"/>
      <c r="B159" s="245"/>
      <c r="C159" s="245"/>
      <c r="D159" s="245"/>
      <c r="E159" s="245"/>
      <c r="F159" s="245"/>
      <c r="G159" s="245"/>
      <c r="H159" s="245"/>
      <c r="I159" s="245"/>
      <c r="J159" s="245"/>
      <c r="K159" s="245"/>
      <c r="L159" s="245"/>
      <c r="M159" s="245"/>
      <c r="N159" s="245"/>
      <c r="O159" s="245"/>
      <c r="P159" s="245"/>
      <c r="Q159" s="74"/>
      <c r="R159" s="74"/>
      <c r="S159" s="74"/>
      <c r="T159" s="74"/>
      <c r="U159" s="74"/>
      <c r="V159" s="74"/>
      <c r="W159" s="74"/>
      <c r="X159" s="74"/>
      <c r="Y159" s="74"/>
      <c r="Z159" s="74"/>
    </row>
    <row r="160" ht="14.25" customHeight="1">
      <c r="A160" s="74"/>
      <c r="B160" s="245"/>
      <c r="C160" s="245"/>
      <c r="D160" s="245"/>
      <c r="E160" s="245"/>
      <c r="F160" s="245"/>
      <c r="G160" s="245"/>
      <c r="H160" s="245"/>
      <c r="I160" s="245"/>
      <c r="J160" s="245"/>
      <c r="K160" s="245"/>
      <c r="L160" s="245"/>
      <c r="M160" s="245"/>
      <c r="N160" s="245"/>
      <c r="O160" s="245"/>
      <c r="P160" s="245"/>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110" t="s">
        <v>163</v>
      </c>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188" t="s">
        <v>1711</v>
      </c>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188" t="s">
        <v>165</v>
      </c>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188" t="s">
        <v>166</v>
      </c>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267" t="s">
        <v>167</v>
      </c>
      <c r="C174" s="376" t="s">
        <v>168</v>
      </c>
      <c r="D174" s="377"/>
      <c r="E174" s="32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271" t="s">
        <v>169</v>
      </c>
      <c r="C175" s="272" t="s">
        <v>1712</v>
      </c>
      <c r="D175" s="93"/>
      <c r="E175" s="9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273" t="s">
        <v>171</v>
      </c>
      <c r="C176" s="274" t="s">
        <v>1713</v>
      </c>
      <c r="E176" s="29"/>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273" t="s">
        <v>173</v>
      </c>
      <c r="C177" s="274" t="s">
        <v>1714</v>
      </c>
      <c r="E177" s="29"/>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273" t="s">
        <v>175</v>
      </c>
      <c r="C178" s="274" t="s">
        <v>1715</v>
      </c>
      <c r="E178" s="29"/>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273" t="s">
        <v>177</v>
      </c>
      <c r="C179" s="274" t="s">
        <v>1716</v>
      </c>
      <c r="E179" s="29"/>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273" t="s">
        <v>179</v>
      </c>
      <c r="C180" s="274" t="s">
        <v>1717</v>
      </c>
      <c r="E180" s="29"/>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273" t="s">
        <v>181</v>
      </c>
      <c r="C181" s="274" t="s">
        <v>1718</v>
      </c>
      <c r="E181" s="29"/>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273" t="s">
        <v>183</v>
      </c>
      <c r="C182" s="274" t="s">
        <v>1719</v>
      </c>
      <c r="E182" s="29"/>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273" t="s">
        <v>185</v>
      </c>
      <c r="C183" s="274" t="s">
        <v>1720</v>
      </c>
      <c r="E183" s="29"/>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273" t="s">
        <v>187</v>
      </c>
      <c r="C184" s="274" t="s">
        <v>1721</v>
      </c>
      <c r="E184" s="29"/>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273" t="s">
        <v>189</v>
      </c>
      <c r="C185" s="274" t="s">
        <v>1722</v>
      </c>
      <c r="E185" s="29"/>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273" t="s">
        <v>191</v>
      </c>
      <c r="C186" s="274" t="s">
        <v>1723</v>
      </c>
      <c r="E186" s="29"/>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479" t="s">
        <v>193</v>
      </c>
      <c r="C187" s="277" t="s">
        <v>1724</v>
      </c>
      <c r="D187" s="95"/>
      <c r="E187" s="38"/>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387"/>
      <c r="C188" s="504"/>
      <c r="D188" s="76"/>
      <c r="E188" s="77"/>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387"/>
      <c r="C189" s="504"/>
      <c r="D189" s="76"/>
      <c r="E189" s="77"/>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26">
    <mergeCell ref="B3:O3"/>
    <mergeCell ref="B4:O4"/>
    <mergeCell ref="B6:C6"/>
    <mergeCell ref="E6:O7"/>
    <mergeCell ref="B7:C7"/>
    <mergeCell ref="B10:O14"/>
    <mergeCell ref="B19:O23"/>
    <mergeCell ref="K104:L104"/>
    <mergeCell ref="C122:O122"/>
    <mergeCell ref="C123:D123"/>
    <mergeCell ref="C174:E174"/>
    <mergeCell ref="C175:E175"/>
    <mergeCell ref="C176:E176"/>
    <mergeCell ref="C177:E177"/>
    <mergeCell ref="C185:E185"/>
    <mergeCell ref="C186:E186"/>
    <mergeCell ref="C187:E187"/>
    <mergeCell ref="C188:E188"/>
    <mergeCell ref="C189:E189"/>
    <mergeCell ref="C178:E178"/>
    <mergeCell ref="C179:E179"/>
    <mergeCell ref="C180:E180"/>
    <mergeCell ref="C181:E181"/>
    <mergeCell ref="C182:E182"/>
    <mergeCell ref="C183:E183"/>
    <mergeCell ref="C184:E184"/>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1725</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79" t="s">
        <v>85</v>
      </c>
      <c r="C6" s="80"/>
      <c r="D6" s="81" t="s">
        <v>1726</v>
      </c>
      <c r="E6" s="82"/>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t="s">
        <v>88</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97" t="s">
        <v>1727</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204.0"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97" t="s">
        <v>1728</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59.25"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74"/>
      <c r="L36" s="100" t="s">
        <v>93</v>
      </c>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74"/>
      <c r="L37" s="101" t="s">
        <v>94</v>
      </c>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74"/>
      <c r="L38" s="101" t="s">
        <v>95</v>
      </c>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74"/>
      <c r="L39" s="101" t="s">
        <v>96</v>
      </c>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t="s">
        <v>1729</v>
      </c>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110" t="s">
        <v>98</v>
      </c>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111"/>
      <c r="D61" s="111"/>
      <c r="E61" s="112"/>
      <c r="F61" s="74"/>
      <c r="G61" s="74"/>
      <c r="H61" s="91"/>
      <c r="I61" s="113"/>
      <c r="J61" s="74"/>
      <c r="K61" s="74"/>
      <c r="L61" s="74"/>
      <c r="M61" s="74"/>
      <c r="N61" s="74"/>
      <c r="O61" s="109"/>
      <c r="P61" s="74"/>
      <c r="Q61" s="74"/>
      <c r="R61" s="74"/>
      <c r="S61" s="74"/>
      <c r="T61" s="74"/>
      <c r="U61" s="74"/>
      <c r="V61" s="74"/>
      <c r="W61" s="74"/>
      <c r="X61" s="74"/>
      <c r="Y61" s="74"/>
      <c r="Z61" s="74"/>
    </row>
    <row r="62" ht="14.25" customHeight="1">
      <c r="A62" s="74"/>
      <c r="B62" s="114" t="s">
        <v>99</v>
      </c>
      <c r="C62" s="203"/>
      <c r="D62" s="80"/>
      <c r="E62" s="74"/>
      <c r="F62" s="74"/>
      <c r="G62" s="74"/>
      <c r="H62" s="118" t="s">
        <v>100</v>
      </c>
      <c r="I62" s="119"/>
      <c r="J62" s="120"/>
      <c r="K62" s="74"/>
      <c r="L62" s="74"/>
      <c r="M62" s="74"/>
      <c r="N62" s="118" t="s">
        <v>101</v>
      </c>
      <c r="O62" s="118"/>
      <c r="P62" s="74"/>
      <c r="Q62" s="74"/>
      <c r="R62" s="74"/>
      <c r="S62" s="74"/>
      <c r="T62" s="74"/>
      <c r="U62" s="74"/>
      <c r="V62" s="74"/>
      <c r="W62" s="74"/>
      <c r="X62" s="74"/>
      <c r="Y62" s="74"/>
      <c r="Z62" s="74"/>
    </row>
    <row r="63" ht="14.25" customHeight="1">
      <c r="A63" s="74"/>
      <c r="B63" s="121" t="s">
        <v>102</v>
      </c>
      <c r="C63" s="121" t="s">
        <v>103</v>
      </c>
      <c r="D63" s="121" t="s">
        <v>104</v>
      </c>
      <c r="E63" s="283" t="s">
        <v>1371</v>
      </c>
      <c r="F63" s="283" t="s">
        <v>241</v>
      </c>
      <c r="G63" s="74"/>
      <c r="H63" s="121" t="s">
        <v>102</v>
      </c>
      <c r="I63" s="121" t="s">
        <v>103</v>
      </c>
      <c r="J63" s="121" t="s">
        <v>104</v>
      </c>
      <c r="K63" s="283" t="s">
        <v>1371</v>
      </c>
      <c r="L63" s="283" t="s">
        <v>241</v>
      </c>
      <c r="M63" s="74"/>
      <c r="N63" s="118" t="s">
        <v>105</v>
      </c>
      <c r="O63" s="122"/>
      <c r="P63" s="74"/>
      <c r="Q63" s="74"/>
      <c r="R63" s="74"/>
      <c r="S63" s="74"/>
      <c r="T63" s="74"/>
      <c r="U63" s="74"/>
      <c r="V63" s="74"/>
      <c r="W63" s="74"/>
      <c r="X63" s="74"/>
      <c r="Y63" s="74"/>
      <c r="Z63" s="74"/>
    </row>
    <row r="64" ht="14.25" customHeight="1">
      <c r="A64" s="74"/>
      <c r="B64" s="285" t="s">
        <v>1730</v>
      </c>
      <c r="C64" s="256" t="s">
        <v>1731</v>
      </c>
      <c r="D64" s="256">
        <v>254.15</v>
      </c>
      <c r="E64" s="247">
        <v>20.0</v>
      </c>
      <c r="F64" s="285">
        <v>1.02</v>
      </c>
      <c r="G64" s="74"/>
      <c r="H64" s="285" t="s">
        <v>1732</v>
      </c>
      <c r="I64" s="256" t="s">
        <v>1733</v>
      </c>
      <c r="J64" s="256">
        <v>273.2</v>
      </c>
      <c r="K64" s="247">
        <v>40.0</v>
      </c>
      <c r="L64" s="285">
        <v>2.0</v>
      </c>
      <c r="M64" s="74"/>
      <c r="N64" s="110" t="s">
        <v>110</v>
      </c>
      <c r="O64" s="125">
        <f>SUM(D64:D67)</f>
        <v>274.47</v>
      </c>
      <c r="P64" s="74"/>
      <c r="Q64" s="74"/>
      <c r="R64" s="74"/>
      <c r="S64" s="74"/>
      <c r="T64" s="74"/>
      <c r="U64" s="74"/>
      <c r="V64" s="74"/>
      <c r="W64" s="74"/>
      <c r="X64" s="74"/>
      <c r="Y64" s="74"/>
      <c r="Z64" s="74"/>
    </row>
    <row r="65" ht="14.25" customHeight="1">
      <c r="A65" s="74"/>
      <c r="B65" s="285" t="s">
        <v>1734</v>
      </c>
      <c r="C65" s="256" t="s">
        <v>1735</v>
      </c>
      <c r="D65" s="256">
        <v>20.32</v>
      </c>
      <c r="E65" s="247">
        <v>40.0</v>
      </c>
      <c r="F65" s="285">
        <v>16.0</v>
      </c>
      <c r="G65" s="74"/>
      <c r="H65" s="371"/>
      <c r="I65" s="132"/>
      <c r="J65" s="132"/>
      <c r="K65" s="74"/>
      <c r="L65" s="74"/>
      <c r="M65" s="74"/>
      <c r="N65" s="110" t="s">
        <v>114</v>
      </c>
      <c r="O65" s="125">
        <f>J64</f>
        <v>273.2</v>
      </c>
      <c r="P65" s="74"/>
      <c r="Q65" s="74"/>
      <c r="R65" s="74"/>
      <c r="S65" s="74"/>
      <c r="T65" s="74"/>
      <c r="U65" s="74"/>
      <c r="V65" s="74"/>
      <c r="W65" s="74"/>
      <c r="X65" s="74"/>
      <c r="Y65" s="74"/>
      <c r="Z65" s="74"/>
    </row>
    <row r="66" ht="14.25" customHeight="1">
      <c r="A66" s="74"/>
      <c r="B66" s="371"/>
      <c r="C66" s="132"/>
      <c r="D66" s="132"/>
      <c r="E66" s="74"/>
      <c r="F66" s="74"/>
      <c r="G66" s="74"/>
      <c r="H66" s="371"/>
      <c r="I66" s="132"/>
      <c r="J66" s="132"/>
      <c r="K66" s="74"/>
      <c r="L66" s="74"/>
      <c r="M66" s="74"/>
      <c r="N66" s="110" t="s">
        <v>117</v>
      </c>
      <c r="O66" s="125">
        <f>SUM(J69:J70)</f>
        <v>1.26</v>
      </c>
      <c r="P66" s="74"/>
      <c r="Q66" s="74"/>
      <c r="R66" s="74"/>
      <c r="S66" s="74"/>
      <c r="T66" s="74"/>
      <c r="U66" s="74"/>
      <c r="V66" s="74"/>
      <c r="W66" s="74"/>
      <c r="X66" s="74"/>
      <c r="Y66" s="74"/>
      <c r="Z66" s="74"/>
    </row>
    <row r="67" ht="14.25" customHeight="1">
      <c r="A67" s="74"/>
      <c r="B67" s="371"/>
      <c r="C67" s="132"/>
      <c r="D67" s="132"/>
      <c r="E67" s="74"/>
      <c r="F67" s="74"/>
      <c r="G67" s="74"/>
      <c r="H67" s="118" t="s">
        <v>280</v>
      </c>
      <c r="I67" s="119"/>
      <c r="J67" s="120"/>
      <c r="K67" s="74"/>
      <c r="L67" s="74"/>
      <c r="M67" s="74"/>
      <c r="N67" s="74"/>
      <c r="O67" s="74"/>
      <c r="P67" s="74"/>
      <c r="Q67" s="74"/>
      <c r="R67" s="74"/>
      <c r="S67" s="74"/>
      <c r="T67" s="74"/>
      <c r="U67" s="74"/>
      <c r="V67" s="74"/>
      <c r="W67" s="74"/>
      <c r="X67" s="74"/>
      <c r="Y67" s="74"/>
      <c r="Z67" s="74"/>
    </row>
    <row r="68" ht="14.25" customHeight="1">
      <c r="A68" s="105"/>
      <c r="B68" s="105"/>
      <c r="C68" s="108"/>
      <c r="D68" s="109"/>
      <c r="E68" s="292"/>
      <c r="F68" s="74"/>
      <c r="G68" s="74"/>
      <c r="H68" s="121" t="s">
        <v>102</v>
      </c>
      <c r="I68" s="121" t="s">
        <v>103</v>
      </c>
      <c r="J68" s="121" t="s">
        <v>104</v>
      </c>
      <c r="K68" s="283" t="s">
        <v>1371</v>
      </c>
      <c r="L68" s="283" t="s">
        <v>241</v>
      </c>
      <c r="M68" s="74"/>
      <c r="N68" s="110" t="s">
        <v>101</v>
      </c>
      <c r="O68" s="125">
        <f>O64-O65-O66</f>
        <v>0.01</v>
      </c>
      <c r="P68" s="74"/>
      <c r="Q68" s="74"/>
      <c r="R68" s="74"/>
      <c r="S68" s="74"/>
      <c r="T68" s="74"/>
      <c r="U68" s="74"/>
      <c r="V68" s="74"/>
      <c r="W68" s="74"/>
      <c r="X68" s="74"/>
      <c r="Y68" s="74"/>
      <c r="Z68" s="74"/>
    </row>
    <row r="69" ht="14.25" customHeight="1">
      <c r="A69" s="105"/>
      <c r="B69" s="105"/>
      <c r="C69" s="108"/>
      <c r="D69" s="109"/>
      <c r="E69" s="292"/>
      <c r="F69" s="74"/>
      <c r="G69" s="74"/>
      <c r="H69" s="285" t="s">
        <v>1551</v>
      </c>
      <c r="I69" s="256" t="s">
        <v>1736</v>
      </c>
      <c r="J69" s="256">
        <v>0.91</v>
      </c>
      <c r="K69" s="247">
        <v>40.4</v>
      </c>
      <c r="L69" s="285">
        <v>5.0</v>
      </c>
      <c r="M69" s="74"/>
      <c r="N69" s="135" t="s">
        <v>121</v>
      </c>
      <c r="O69" s="124">
        <f>(O68/O64)*100</f>
        <v>0.003643385434</v>
      </c>
      <c r="P69" s="74"/>
      <c r="Q69" s="74"/>
      <c r="R69" s="74"/>
      <c r="S69" s="74"/>
      <c r="T69" s="74"/>
      <c r="U69" s="74"/>
      <c r="V69" s="74"/>
      <c r="W69" s="74"/>
      <c r="X69" s="74"/>
      <c r="Y69" s="74"/>
      <c r="Z69" s="74"/>
    </row>
    <row r="70" ht="14.25" customHeight="1">
      <c r="A70" s="74"/>
      <c r="B70" s="74"/>
      <c r="C70" s="74"/>
      <c r="D70" s="74"/>
      <c r="E70" s="74"/>
      <c r="F70" s="74"/>
      <c r="G70" s="74"/>
      <c r="H70" s="285" t="s">
        <v>1737</v>
      </c>
      <c r="I70" s="256" t="s">
        <v>1738</v>
      </c>
      <c r="J70" s="256">
        <v>0.35</v>
      </c>
      <c r="K70" s="247">
        <v>40.0</v>
      </c>
      <c r="L70" s="285">
        <v>2.0</v>
      </c>
      <c r="M70" s="74"/>
      <c r="N70" s="104"/>
      <c r="O70" s="105"/>
      <c r="P70" s="74"/>
      <c r="Q70" s="74"/>
      <c r="R70" s="74"/>
      <c r="S70" s="74"/>
      <c r="T70" s="74"/>
      <c r="U70" s="74"/>
      <c r="V70" s="74"/>
      <c r="W70" s="74"/>
      <c r="X70" s="74"/>
      <c r="Y70" s="74"/>
      <c r="Z70" s="74"/>
    </row>
    <row r="71" ht="14.25" customHeight="1">
      <c r="A71" s="74"/>
      <c r="B71" s="89"/>
      <c r="C71" s="89"/>
      <c r="D71" s="89"/>
      <c r="E71" s="89"/>
      <c r="F71" s="89"/>
      <c r="G71" s="89"/>
      <c r="H71" s="91"/>
      <c r="I71" s="91"/>
      <c r="J71" s="91"/>
      <c r="K71" s="91"/>
      <c r="L71" s="91"/>
      <c r="M71" s="74"/>
      <c r="N71" s="74"/>
      <c r="O71" s="74"/>
      <c r="P71" s="74"/>
      <c r="Q71" s="74"/>
      <c r="R71" s="74"/>
      <c r="S71" s="74"/>
      <c r="T71" s="74"/>
      <c r="U71" s="74"/>
      <c r="V71" s="74"/>
      <c r="W71" s="74"/>
      <c r="X71" s="74"/>
      <c r="Y71" s="74"/>
      <c r="Z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4.25" customHeight="1">
      <c r="A73" s="74"/>
      <c r="B73" s="110" t="s">
        <v>122</v>
      </c>
      <c r="C73" s="117"/>
      <c r="D73" s="117"/>
      <c r="E73" s="117"/>
      <c r="F73" s="117"/>
      <c r="G73" s="117"/>
      <c r="H73" s="117"/>
      <c r="I73" s="117"/>
      <c r="J73" s="74"/>
      <c r="K73" s="74"/>
      <c r="L73" s="74"/>
      <c r="M73" s="74"/>
      <c r="N73" s="74"/>
      <c r="O73" s="74"/>
      <c r="P73" s="74"/>
      <c r="Q73" s="74"/>
      <c r="R73" s="74"/>
      <c r="S73" s="74"/>
      <c r="T73" s="74"/>
      <c r="U73" s="74"/>
      <c r="V73" s="74"/>
      <c r="W73" s="74"/>
      <c r="X73" s="74"/>
      <c r="Y73" s="74"/>
      <c r="Z73" s="74"/>
    </row>
    <row r="74" ht="14.25" customHeight="1">
      <c r="A74" s="74"/>
      <c r="B74" s="117"/>
      <c r="C74" s="117"/>
      <c r="D74" s="117"/>
      <c r="E74" s="117"/>
      <c r="F74" s="117"/>
      <c r="G74" s="117"/>
      <c r="H74" s="117"/>
      <c r="I74" s="117"/>
      <c r="J74" s="74"/>
      <c r="K74" s="89"/>
      <c r="L74" s="74"/>
      <c r="M74" s="74"/>
      <c r="N74" s="74"/>
      <c r="O74" s="74"/>
      <c r="P74" s="74"/>
      <c r="Q74" s="74"/>
      <c r="R74" s="74"/>
      <c r="S74" s="74"/>
      <c r="T74" s="74"/>
      <c r="U74" s="74"/>
      <c r="V74" s="74"/>
      <c r="W74" s="74"/>
      <c r="X74" s="74"/>
      <c r="Y74" s="74"/>
      <c r="Z74" s="74"/>
    </row>
    <row r="75" ht="14.25" customHeight="1">
      <c r="A75" s="74"/>
      <c r="B75" s="118" t="s">
        <v>3</v>
      </c>
      <c r="C75" s="118" t="s">
        <v>4</v>
      </c>
      <c r="D75" s="118" t="s">
        <v>124</v>
      </c>
      <c r="E75" s="142" t="s">
        <v>5</v>
      </c>
      <c r="F75" s="142" t="s">
        <v>125</v>
      </c>
      <c r="G75" s="143" t="s">
        <v>126</v>
      </c>
      <c r="H75" s="143" t="s">
        <v>127</v>
      </c>
      <c r="I75" s="144" t="s">
        <v>128</v>
      </c>
      <c r="J75" s="129"/>
      <c r="K75" s="138" t="s">
        <v>123</v>
      </c>
      <c r="L75" s="139"/>
      <c r="M75" s="140"/>
      <c r="N75" s="140"/>
      <c r="O75" s="140"/>
      <c r="P75" s="140"/>
      <c r="Q75" s="141"/>
      <c r="R75" s="74"/>
      <c r="S75" s="74"/>
      <c r="T75" s="74"/>
      <c r="U75" s="74"/>
      <c r="V75" s="74"/>
      <c r="W75" s="74"/>
      <c r="X75" s="74"/>
      <c r="Y75" s="74"/>
      <c r="Z75" s="74"/>
    </row>
    <row r="76" ht="15.0" customHeight="1">
      <c r="A76" s="74"/>
      <c r="B76" s="145" t="s">
        <v>8</v>
      </c>
      <c r="C76" s="146">
        <v>0.0</v>
      </c>
      <c r="D76" s="146">
        <v>0.0</v>
      </c>
      <c r="E76" s="211">
        <v>-628.0195782720087</v>
      </c>
      <c r="F76" s="146">
        <v>-289.30013725599997</v>
      </c>
      <c r="G76" s="146">
        <v>-628.0195782720087</v>
      </c>
      <c r="H76" s="146">
        <f>F76</f>
        <v>-289.3001373</v>
      </c>
      <c r="I76" s="147"/>
      <c r="J76" s="129"/>
      <c r="K76" s="118" t="s">
        <v>3</v>
      </c>
      <c r="L76" s="114" t="s">
        <v>129</v>
      </c>
      <c r="M76" s="121" t="s">
        <v>130</v>
      </c>
      <c r="N76" s="121" t="s">
        <v>131</v>
      </c>
      <c r="O76" s="121" t="s">
        <v>132</v>
      </c>
      <c r="P76" s="121" t="s">
        <v>133</v>
      </c>
      <c r="Q76" s="114" t="s">
        <v>134</v>
      </c>
      <c r="R76" s="74"/>
      <c r="S76" s="74"/>
      <c r="T76" s="74"/>
      <c r="U76" s="74"/>
      <c r="V76" s="74"/>
      <c r="W76" s="74"/>
      <c r="X76" s="74"/>
      <c r="Y76" s="74"/>
      <c r="Z76" s="74"/>
    </row>
    <row r="77" ht="15.0" customHeight="1">
      <c r="A77" s="74"/>
      <c r="B77" s="145" t="s">
        <v>10</v>
      </c>
      <c r="C77" s="146">
        <v>85.05481285987202</v>
      </c>
      <c r="D77" s="586">
        <v>40.51830688</v>
      </c>
      <c r="E77" s="211">
        <v>-128.593092507264</v>
      </c>
      <c r="F77" s="146">
        <v>-61.25901872</v>
      </c>
      <c r="G77" s="146">
        <v>-43.53827964739199</v>
      </c>
      <c r="H77" s="146">
        <f>D77+F77</f>
        <v>-20.74071184</v>
      </c>
      <c r="I77" s="147"/>
      <c r="J77" s="129"/>
      <c r="K77" s="148" t="s">
        <v>136</v>
      </c>
      <c r="L77" s="149" t="s">
        <v>137</v>
      </c>
      <c r="M77" s="149" t="s">
        <v>137</v>
      </c>
      <c r="N77" s="149" t="s">
        <v>137</v>
      </c>
      <c r="O77" s="149" t="s">
        <v>137</v>
      </c>
      <c r="P77" s="149" t="s">
        <v>137</v>
      </c>
      <c r="Q77" s="149" t="s">
        <v>137</v>
      </c>
      <c r="R77" s="74"/>
      <c r="S77" s="74"/>
      <c r="T77" s="74"/>
      <c r="U77" s="74"/>
      <c r="V77" s="74"/>
      <c r="W77" s="74"/>
      <c r="X77" s="74"/>
      <c r="Y77" s="74"/>
      <c r="Z77" s="74"/>
    </row>
    <row r="78" ht="15.0" customHeight="1">
      <c r="A78" s="74"/>
      <c r="B78" s="145" t="s">
        <v>20</v>
      </c>
      <c r="C78" s="211">
        <v>107.535727942848</v>
      </c>
      <c r="D78" s="146">
        <v>48.4</v>
      </c>
      <c r="E78" s="146">
        <v>-55.883778907103924</v>
      </c>
      <c r="F78" s="146">
        <v>-25.2</v>
      </c>
      <c r="G78" s="146">
        <f t="shared" ref="G78:H78" si="1">C78+E78</f>
        <v>51.65194904</v>
      </c>
      <c r="H78" s="146">
        <f t="shared" si="1"/>
        <v>23.2</v>
      </c>
      <c r="I78" s="147"/>
      <c r="J78" s="129"/>
      <c r="K78" s="150" t="s">
        <v>8</v>
      </c>
      <c r="L78" s="149">
        <v>155.0</v>
      </c>
      <c r="M78" s="149">
        <v>155.0</v>
      </c>
      <c r="N78" s="151">
        <v>5.5</v>
      </c>
      <c r="O78" s="151">
        <v>5.5</v>
      </c>
      <c r="P78" s="149">
        <v>2096.77163841359</v>
      </c>
      <c r="Q78" s="149" t="s">
        <v>138</v>
      </c>
      <c r="R78" s="74"/>
      <c r="S78" s="74"/>
      <c r="T78" s="74"/>
      <c r="U78" s="74"/>
      <c r="V78" s="74"/>
      <c r="W78" s="74"/>
      <c r="X78" s="74"/>
      <c r="Y78" s="74"/>
      <c r="Z78" s="74"/>
    </row>
    <row r="79" ht="14.25" customHeight="1">
      <c r="A79" s="74"/>
      <c r="B79" s="145" t="s">
        <v>12</v>
      </c>
      <c r="C79" s="146">
        <v>477.1931872178001</v>
      </c>
      <c r="D79" s="146">
        <v>7622.497456091121</v>
      </c>
      <c r="E79" s="146">
        <v>0.0</v>
      </c>
      <c r="F79" s="146">
        <v>0.0</v>
      </c>
      <c r="G79" s="146">
        <f t="shared" ref="G79:H79" si="2">C79</f>
        <v>477.1931872</v>
      </c>
      <c r="H79" s="146">
        <f t="shared" si="2"/>
        <v>7622.497456</v>
      </c>
      <c r="I79" s="147"/>
      <c r="J79" s="129"/>
      <c r="K79" s="118" t="s">
        <v>10</v>
      </c>
      <c r="L79" s="149">
        <v>214.0</v>
      </c>
      <c r="M79" s="149">
        <v>214.0</v>
      </c>
      <c r="N79" s="149">
        <v>21.0</v>
      </c>
      <c r="O79" s="149">
        <v>21.0</v>
      </c>
      <c r="P79" s="149">
        <v>1879.6128145344</v>
      </c>
      <c r="Q79" s="149" t="s">
        <v>138</v>
      </c>
      <c r="R79" s="74"/>
      <c r="S79" s="74"/>
      <c r="T79" s="74"/>
      <c r="U79" s="74"/>
      <c r="V79" s="74"/>
      <c r="W79" s="74"/>
      <c r="X79" s="74"/>
      <c r="Y79" s="74"/>
      <c r="Z79" s="74"/>
    </row>
    <row r="80" ht="14.25" customHeight="1">
      <c r="A80" s="74"/>
      <c r="B80" s="145" t="s">
        <v>34</v>
      </c>
      <c r="C80" s="146">
        <v>442.36382660064004</v>
      </c>
      <c r="D80" s="152" t="s">
        <v>1739</v>
      </c>
      <c r="E80" s="146">
        <v>0.0</v>
      </c>
      <c r="F80" s="146">
        <v>0.0</v>
      </c>
      <c r="G80" s="146">
        <f>C80</f>
        <v>442.3638266</v>
      </c>
      <c r="H80" s="152" t="s">
        <v>1739</v>
      </c>
      <c r="I80" s="147"/>
      <c r="J80" s="129"/>
      <c r="K80" s="118" t="s">
        <v>11</v>
      </c>
      <c r="L80" s="149">
        <v>265.0</v>
      </c>
      <c r="M80" s="149">
        <v>265.0</v>
      </c>
      <c r="N80" s="149">
        <v>51.0</v>
      </c>
      <c r="O80" s="149">
        <v>51.0</v>
      </c>
      <c r="P80" s="149">
        <v>1632.4494056856</v>
      </c>
      <c r="Q80" s="149" t="s">
        <v>138</v>
      </c>
      <c r="R80" s="74"/>
      <c r="S80" s="74"/>
      <c r="T80" s="74"/>
      <c r="U80" s="74"/>
      <c r="V80" s="74"/>
      <c r="W80" s="74"/>
      <c r="X80" s="74"/>
      <c r="Y80" s="74"/>
      <c r="Z80" s="74"/>
    </row>
    <row r="81" ht="14.25" customHeight="1">
      <c r="A81" s="74"/>
      <c r="B81" s="117"/>
      <c r="C81" s="117"/>
      <c r="D81" s="117"/>
      <c r="E81" s="117"/>
      <c r="F81" s="117"/>
      <c r="G81" s="117"/>
      <c r="H81" s="117"/>
      <c r="I81" s="117"/>
      <c r="J81" s="74"/>
      <c r="K81" s="118" t="s">
        <v>12</v>
      </c>
      <c r="L81" s="159">
        <v>25.0</v>
      </c>
      <c r="M81" s="159">
        <v>40.0</v>
      </c>
      <c r="N81" s="160">
        <v>1.02</v>
      </c>
      <c r="O81" s="160">
        <v>1.02</v>
      </c>
      <c r="P81" s="160">
        <f>62.74243314036/(M81-L81)</f>
        <v>4.182828876</v>
      </c>
      <c r="Q81" s="159" t="s">
        <v>143</v>
      </c>
      <c r="R81" s="74"/>
      <c r="S81" s="74"/>
      <c r="T81" s="74"/>
      <c r="U81" s="74"/>
      <c r="V81" s="74"/>
      <c r="W81" s="74"/>
      <c r="X81" s="74"/>
      <c r="Y81" s="74"/>
      <c r="Z81" s="74"/>
    </row>
    <row r="82" ht="14.25" customHeight="1">
      <c r="A82" s="245"/>
      <c r="B82" s="313" t="s">
        <v>300</v>
      </c>
      <c r="C82" s="315"/>
      <c r="D82" s="245"/>
      <c r="E82" s="245"/>
      <c r="F82" s="245"/>
      <c r="G82" s="245"/>
      <c r="H82" s="245"/>
      <c r="I82" s="245"/>
      <c r="J82" s="316"/>
      <c r="K82" s="317"/>
      <c r="L82" s="317"/>
      <c r="M82" s="317"/>
      <c r="N82" s="74"/>
      <c r="O82" s="74"/>
      <c r="P82" s="74"/>
      <c r="Q82" s="74"/>
      <c r="R82" s="74"/>
      <c r="S82" s="74"/>
      <c r="T82" s="74"/>
      <c r="U82" s="74"/>
      <c r="V82" s="74"/>
      <c r="W82" s="74"/>
      <c r="X82" s="74"/>
      <c r="Y82" s="74"/>
      <c r="Z82" s="74"/>
    </row>
    <row r="83" ht="14.25" customHeight="1">
      <c r="A83" s="245"/>
      <c r="B83" s="318" t="s">
        <v>8</v>
      </c>
      <c r="C83" s="245"/>
      <c r="D83" s="245"/>
      <c r="E83" s="245"/>
      <c r="F83" s="245"/>
      <c r="G83" s="245"/>
      <c r="H83" s="318" t="s">
        <v>10</v>
      </c>
      <c r="I83" s="245"/>
      <c r="J83" s="245"/>
      <c r="K83" s="245"/>
      <c r="L83" s="245"/>
      <c r="M83" s="245"/>
      <c r="N83" s="74"/>
      <c r="O83" s="74"/>
      <c r="P83" s="74"/>
      <c r="Q83" s="74"/>
      <c r="R83" s="74"/>
      <c r="S83" s="74"/>
      <c r="T83" s="74"/>
      <c r="U83" s="74"/>
      <c r="V83" s="74"/>
      <c r="W83" s="74"/>
      <c r="X83" s="74"/>
      <c r="Y83" s="74"/>
      <c r="Z83" s="74"/>
    </row>
    <row r="84" ht="14.25" customHeight="1">
      <c r="A84" s="245"/>
      <c r="B84" s="246" t="s">
        <v>483</v>
      </c>
      <c r="C84" s="246" t="s">
        <v>485</v>
      </c>
      <c r="D84" s="246" t="s">
        <v>305</v>
      </c>
      <c r="E84" s="320" t="s">
        <v>128</v>
      </c>
      <c r="F84" s="80"/>
      <c r="G84" s="245"/>
      <c r="H84" s="246" t="s">
        <v>483</v>
      </c>
      <c r="I84" s="246" t="s">
        <v>485</v>
      </c>
      <c r="J84" s="246" t="s">
        <v>305</v>
      </c>
      <c r="K84" s="320" t="s">
        <v>128</v>
      </c>
      <c r="L84" s="80"/>
      <c r="M84" s="245"/>
      <c r="N84" s="74"/>
      <c r="O84" s="74"/>
      <c r="P84" s="74"/>
      <c r="Q84" s="74"/>
      <c r="R84" s="74"/>
      <c r="S84" s="74"/>
      <c r="T84" s="74"/>
      <c r="U84" s="74"/>
      <c r="V84" s="74"/>
      <c r="W84" s="74"/>
      <c r="X84" s="74"/>
      <c r="Y84" s="74"/>
      <c r="Z84" s="74"/>
    </row>
    <row r="85" ht="14.25" customHeight="1">
      <c r="A85" s="245"/>
      <c r="B85" s="344" t="s">
        <v>1740</v>
      </c>
      <c r="C85" s="345">
        <v>170.574934278816</v>
      </c>
      <c r="D85" s="345">
        <v>81.3701135999999</v>
      </c>
      <c r="E85" s="564"/>
      <c r="F85" s="324"/>
      <c r="G85" s="245"/>
      <c r="H85" s="344" t="s">
        <v>1741</v>
      </c>
      <c r="I85" s="345">
        <v>86.190738257088</v>
      </c>
      <c r="J85" s="345">
        <v>45.89398576</v>
      </c>
      <c r="K85" s="325"/>
      <c r="L85" s="80"/>
      <c r="M85" s="245"/>
      <c r="N85" s="74"/>
      <c r="O85" s="74"/>
      <c r="P85" s="74"/>
      <c r="Q85" s="74"/>
      <c r="R85" s="74"/>
      <c r="S85" s="74"/>
      <c r="T85" s="74"/>
      <c r="U85" s="74"/>
      <c r="V85" s="74"/>
      <c r="W85" s="74"/>
      <c r="X85" s="74"/>
      <c r="Y85" s="74"/>
      <c r="Z85" s="74"/>
    </row>
    <row r="86" ht="14.25" customHeight="1">
      <c r="A86" s="245"/>
      <c r="B86" s="344" t="s">
        <v>1742</v>
      </c>
      <c r="C86" s="345">
        <v>-19.1670471741024</v>
      </c>
      <c r="D86" s="345">
        <v>10.01881594458</v>
      </c>
      <c r="E86" s="529" t="s">
        <v>297</v>
      </c>
      <c r="F86" s="94"/>
      <c r="G86" s="245"/>
      <c r="H86" s="344" t="s">
        <v>1743</v>
      </c>
      <c r="I86" s="345">
        <v>-9.4396769458272</v>
      </c>
      <c r="J86" s="345">
        <v>5.026345152</v>
      </c>
      <c r="K86" s="529" t="s">
        <v>297</v>
      </c>
      <c r="L86" s="94"/>
      <c r="M86" s="245"/>
      <c r="N86" s="74"/>
      <c r="O86" s="74"/>
      <c r="P86" s="74"/>
      <c r="Q86" s="74"/>
      <c r="R86" s="74"/>
      <c r="S86" s="74"/>
      <c r="T86" s="74"/>
      <c r="U86" s="74"/>
      <c r="V86" s="74"/>
      <c r="W86" s="74"/>
      <c r="X86" s="74"/>
      <c r="Y86" s="74"/>
      <c r="Z86" s="74"/>
    </row>
    <row r="87" ht="14.25" customHeight="1">
      <c r="A87" s="245"/>
      <c r="B87" s="344" t="s">
        <v>1744</v>
      </c>
      <c r="C87" s="345">
        <v>-6.937283057385592</v>
      </c>
      <c r="D87" s="345">
        <v>3.626190396738</v>
      </c>
      <c r="E87" s="34"/>
      <c r="F87" s="38"/>
      <c r="G87" s="245"/>
      <c r="H87" s="344" t="s">
        <v>1745</v>
      </c>
      <c r="I87" s="345">
        <v>-484.17455117663997</v>
      </c>
      <c r="J87" s="345">
        <v>257.8084424</v>
      </c>
      <c r="K87" s="28"/>
      <c r="L87" s="29"/>
      <c r="M87" s="245"/>
      <c r="N87" s="74"/>
      <c r="O87" s="74"/>
      <c r="P87" s="74"/>
      <c r="Q87" s="74"/>
      <c r="R87" s="74"/>
      <c r="S87" s="74"/>
      <c r="T87" s="74"/>
      <c r="U87" s="74"/>
      <c r="V87" s="74"/>
      <c r="W87" s="74"/>
      <c r="X87" s="74"/>
      <c r="Y87" s="74"/>
      <c r="Z87" s="74"/>
    </row>
    <row r="88" ht="14.25" customHeight="1">
      <c r="A88" s="245"/>
      <c r="B88" s="344"/>
      <c r="C88" s="345"/>
      <c r="D88" s="345"/>
      <c r="E88" s="564"/>
      <c r="F88" s="324"/>
      <c r="G88" s="245"/>
      <c r="H88" s="344" t="s">
        <v>1746</v>
      </c>
      <c r="I88" s="345">
        <v>-128.628877924224</v>
      </c>
      <c r="J88" s="345">
        <v>68.4910237599999</v>
      </c>
      <c r="K88" s="34"/>
      <c r="L88" s="38"/>
      <c r="M88" s="245"/>
      <c r="N88" s="74"/>
      <c r="O88" s="74"/>
      <c r="P88" s="74"/>
      <c r="Q88" s="74"/>
      <c r="R88" s="74"/>
      <c r="S88" s="74"/>
      <c r="T88" s="74"/>
      <c r="U88" s="74"/>
      <c r="V88" s="74"/>
      <c r="W88" s="74"/>
      <c r="X88" s="74"/>
      <c r="Y88" s="74"/>
      <c r="Z88" s="74"/>
    </row>
    <row r="89" ht="14.25" customHeight="1">
      <c r="A89" s="245"/>
      <c r="B89" s="245"/>
      <c r="C89" s="245"/>
      <c r="D89" s="329">
        <f>SUM(D85:D87)</f>
        <v>95.01511994</v>
      </c>
      <c r="E89" s="245"/>
      <c r="F89" s="245"/>
      <c r="G89" s="245"/>
      <c r="H89" s="245"/>
      <c r="I89" s="245"/>
      <c r="J89" s="329">
        <f>SUM(J85:J88)</f>
        <v>377.2197971</v>
      </c>
      <c r="K89" s="245"/>
      <c r="L89" s="245"/>
      <c r="M89" s="245"/>
      <c r="N89" s="74"/>
      <c r="O89" s="74"/>
      <c r="P89" s="74"/>
      <c r="Q89" s="74"/>
      <c r="R89" s="74"/>
      <c r="S89" s="74"/>
      <c r="T89" s="74"/>
      <c r="U89" s="74"/>
      <c r="V89" s="74"/>
      <c r="W89" s="74"/>
      <c r="X89" s="74"/>
      <c r="Y89" s="74"/>
      <c r="Z89" s="74"/>
    </row>
    <row r="90" ht="14.25" customHeight="1">
      <c r="A90" s="245"/>
      <c r="B90" s="587" t="s">
        <v>1747</v>
      </c>
      <c r="C90" s="245"/>
      <c r="D90" s="245"/>
      <c r="E90" s="245"/>
      <c r="F90" s="245"/>
      <c r="G90" s="245"/>
      <c r="H90" s="588" t="s">
        <v>34</v>
      </c>
      <c r="I90" s="245"/>
      <c r="J90" s="245"/>
      <c r="K90" s="245"/>
      <c r="L90" s="245"/>
      <c r="M90" s="245"/>
      <c r="N90" s="74"/>
      <c r="O90" s="74"/>
      <c r="P90" s="74"/>
      <c r="Q90" s="74"/>
      <c r="R90" s="74"/>
      <c r="S90" s="74"/>
      <c r="T90" s="74"/>
      <c r="U90" s="74"/>
      <c r="V90" s="74"/>
      <c r="W90" s="74"/>
      <c r="X90" s="74"/>
      <c r="Y90" s="74"/>
      <c r="Z90" s="74"/>
    </row>
    <row r="91" ht="14.25" customHeight="1">
      <c r="A91" s="245"/>
      <c r="B91" s="246" t="s">
        <v>483</v>
      </c>
      <c r="C91" s="246" t="s">
        <v>485</v>
      </c>
      <c r="D91" s="246" t="s">
        <v>305</v>
      </c>
      <c r="E91" s="320" t="s">
        <v>128</v>
      </c>
      <c r="F91" s="80"/>
      <c r="G91" s="245"/>
      <c r="H91" s="246" t="s">
        <v>483</v>
      </c>
      <c r="I91" s="331" t="s">
        <v>485</v>
      </c>
      <c r="J91" s="332" t="s">
        <v>499</v>
      </c>
      <c r="K91" s="320" t="s">
        <v>128</v>
      </c>
      <c r="L91" s="80"/>
      <c r="M91" s="245"/>
      <c r="N91" s="74"/>
      <c r="O91" s="74"/>
      <c r="P91" s="74"/>
      <c r="Q91" s="74"/>
      <c r="R91" s="74"/>
      <c r="S91" s="74"/>
      <c r="T91" s="74"/>
      <c r="U91" s="74"/>
      <c r="V91" s="74"/>
      <c r="W91" s="74"/>
      <c r="X91" s="74"/>
      <c r="Y91" s="74"/>
      <c r="Z91" s="74"/>
    </row>
    <row r="92" ht="14.25" customHeight="1">
      <c r="A92" s="245"/>
      <c r="B92" s="321" t="s">
        <v>1748</v>
      </c>
      <c r="C92" s="460">
        <v>-12.8588790151584</v>
      </c>
      <c r="D92" s="460">
        <v>-6.02181439999999</v>
      </c>
      <c r="E92" s="271" t="s">
        <v>297</v>
      </c>
      <c r="F92" s="94"/>
      <c r="G92" s="245"/>
      <c r="H92" s="344" t="s">
        <v>1749</v>
      </c>
      <c r="I92" s="565">
        <v>0.7316490811334392</v>
      </c>
      <c r="J92" s="566">
        <v>25.404482</v>
      </c>
      <c r="K92" s="336"/>
      <c r="L92" s="337"/>
      <c r="M92" s="245"/>
      <c r="N92" s="74"/>
      <c r="O92" s="74"/>
      <c r="P92" s="74"/>
      <c r="Q92" s="74"/>
      <c r="R92" s="74"/>
      <c r="S92" s="74"/>
      <c r="T92" s="74"/>
      <c r="U92" s="74"/>
      <c r="V92" s="74"/>
      <c r="W92" s="74"/>
      <c r="X92" s="74"/>
      <c r="Y92" s="74"/>
      <c r="Z92" s="74"/>
    </row>
    <row r="93" ht="14.25" customHeight="1">
      <c r="A93" s="245"/>
      <c r="B93" s="321" t="s">
        <v>1750</v>
      </c>
      <c r="C93" s="460">
        <v>-21.460451246496</v>
      </c>
      <c r="D93" s="460">
        <v>-10.0499316</v>
      </c>
      <c r="E93" s="34"/>
      <c r="F93" s="38"/>
      <c r="G93" s="245"/>
      <c r="H93" s="344" t="s">
        <v>1751</v>
      </c>
      <c r="I93" s="565">
        <v>40.511117740032</v>
      </c>
      <c r="J93" s="566">
        <v>1406.63603</v>
      </c>
      <c r="K93" s="336"/>
      <c r="L93" s="337"/>
      <c r="M93" s="245"/>
      <c r="N93" s="74"/>
      <c r="O93" s="74"/>
      <c r="P93" s="74"/>
      <c r="Q93" s="74"/>
      <c r="R93" s="74"/>
      <c r="S93" s="74"/>
      <c r="T93" s="74"/>
      <c r="U93" s="74"/>
      <c r="V93" s="74"/>
      <c r="W93" s="74"/>
      <c r="X93" s="74"/>
      <c r="Y93" s="74"/>
      <c r="Z93" s="74"/>
    </row>
    <row r="94" ht="14.25" customHeight="1">
      <c r="A94" s="245"/>
      <c r="B94" s="344"/>
      <c r="C94" s="345"/>
      <c r="D94" s="345"/>
      <c r="E94" s="326"/>
      <c r="F94" s="80"/>
      <c r="G94" s="245"/>
      <c r="H94" s="344"/>
      <c r="I94" s="565"/>
      <c r="J94" s="566"/>
      <c r="K94" s="326"/>
      <c r="L94" s="80"/>
      <c r="M94" s="245"/>
      <c r="N94" s="74"/>
      <c r="O94" s="74"/>
      <c r="P94" s="74"/>
      <c r="Q94" s="74"/>
      <c r="R94" s="74"/>
      <c r="S94" s="74"/>
      <c r="T94" s="74"/>
      <c r="U94" s="74"/>
      <c r="V94" s="74"/>
      <c r="W94" s="74"/>
      <c r="X94" s="74"/>
      <c r="Y94" s="74"/>
      <c r="Z94" s="74"/>
    </row>
    <row r="95" ht="14.25" customHeight="1">
      <c r="A95" s="245"/>
      <c r="B95" s="245"/>
      <c r="C95" s="245"/>
      <c r="D95" s="329">
        <f>SUM(D92:D93)</f>
        <v>-16.071746</v>
      </c>
      <c r="E95" s="245"/>
      <c r="F95" s="245"/>
      <c r="G95" s="245"/>
      <c r="H95" s="245"/>
      <c r="I95" s="245"/>
      <c r="J95" s="329">
        <f>SUM(J92:J93)</f>
        <v>1432.040512</v>
      </c>
      <c r="K95" s="245"/>
      <c r="L95" s="245"/>
      <c r="M95" s="245"/>
      <c r="N95" s="74"/>
      <c r="O95" s="74"/>
      <c r="P95" s="74"/>
      <c r="Q95" s="74"/>
      <c r="R95" s="74"/>
      <c r="S95" s="74"/>
      <c r="T95" s="74"/>
      <c r="U95" s="74"/>
      <c r="V95" s="74"/>
      <c r="W95" s="74"/>
      <c r="X95" s="74"/>
      <c r="Y95" s="74"/>
      <c r="Z95" s="74"/>
    </row>
    <row r="96" ht="14.25" customHeight="1">
      <c r="A96" s="245"/>
      <c r="B96" s="318" t="s">
        <v>12</v>
      </c>
      <c r="C96" s="245"/>
      <c r="D96" s="245"/>
      <c r="E96" s="245"/>
      <c r="F96" s="245"/>
      <c r="G96" s="245"/>
      <c r="H96" s="264"/>
      <c r="I96" s="245"/>
      <c r="J96" s="245"/>
      <c r="K96" s="245"/>
      <c r="L96" s="245"/>
      <c r="M96" s="245"/>
      <c r="N96" s="74"/>
      <c r="O96" s="74"/>
      <c r="P96" s="74"/>
      <c r="Q96" s="74"/>
      <c r="R96" s="74"/>
      <c r="S96" s="74"/>
      <c r="T96" s="74"/>
      <c r="U96" s="74"/>
      <c r="V96" s="74"/>
      <c r="W96" s="74"/>
      <c r="X96" s="74"/>
      <c r="Y96" s="74"/>
      <c r="Z96" s="74"/>
    </row>
    <row r="97" ht="14.25" customHeight="1">
      <c r="A97" s="245"/>
      <c r="B97" s="246" t="s">
        <v>483</v>
      </c>
      <c r="C97" s="246" t="s">
        <v>485</v>
      </c>
      <c r="D97" s="246" t="s">
        <v>305</v>
      </c>
      <c r="E97" s="320" t="s">
        <v>128</v>
      </c>
      <c r="F97" s="80"/>
      <c r="G97" s="245"/>
      <c r="H97" s="264"/>
      <c r="I97" s="264"/>
      <c r="J97" s="264"/>
      <c r="K97" s="567"/>
      <c r="L97" s="77"/>
      <c r="M97" s="245"/>
      <c r="N97" s="74"/>
      <c r="O97" s="74"/>
      <c r="P97" s="74"/>
      <c r="Q97" s="74"/>
      <c r="R97" s="74"/>
      <c r="S97" s="74"/>
      <c r="T97" s="74"/>
      <c r="U97" s="74"/>
      <c r="V97" s="74"/>
      <c r="W97" s="74"/>
      <c r="X97" s="74"/>
      <c r="Y97" s="74"/>
      <c r="Z97" s="74"/>
    </row>
    <row r="98" ht="14.25" customHeight="1">
      <c r="A98" s="245"/>
      <c r="B98" s="344" t="s">
        <v>1752</v>
      </c>
      <c r="C98" s="345">
        <v>197.58838592736</v>
      </c>
      <c r="D98" s="345">
        <v>2959.562648</v>
      </c>
      <c r="E98" s="326"/>
      <c r="F98" s="80"/>
      <c r="G98" s="245"/>
      <c r="H98" s="245"/>
      <c r="I98" s="329"/>
      <c r="J98" s="329"/>
      <c r="K98" s="330"/>
      <c r="L98" s="77"/>
      <c r="M98" s="245"/>
      <c r="N98" s="74"/>
      <c r="O98" s="74"/>
      <c r="P98" s="74"/>
      <c r="Q98" s="74"/>
      <c r="R98" s="74"/>
      <c r="S98" s="74"/>
      <c r="T98" s="74"/>
      <c r="U98" s="74"/>
      <c r="V98" s="74"/>
      <c r="W98" s="74"/>
      <c r="X98" s="74"/>
      <c r="Y98" s="74"/>
      <c r="Z98" s="74"/>
    </row>
    <row r="99" ht="14.25" customHeight="1">
      <c r="A99" s="245"/>
      <c r="B99" s="344" t="s">
        <v>1753</v>
      </c>
      <c r="C99" s="345">
        <v>0.046120845597696</v>
      </c>
      <c r="D99" s="345">
        <v>0.690817584799999</v>
      </c>
      <c r="E99" s="341"/>
      <c r="F99" s="342"/>
      <c r="G99" s="245"/>
      <c r="H99" s="245"/>
      <c r="I99" s="329"/>
      <c r="J99" s="329"/>
      <c r="K99" s="568"/>
      <c r="L99" s="568"/>
      <c r="M99" s="245"/>
      <c r="N99" s="74"/>
      <c r="O99" s="74"/>
      <c r="P99" s="74"/>
      <c r="Q99" s="74"/>
      <c r="R99" s="74"/>
      <c r="S99" s="74"/>
      <c r="T99" s="74"/>
      <c r="U99" s="74"/>
      <c r="V99" s="74"/>
      <c r="W99" s="74"/>
      <c r="X99" s="74"/>
      <c r="Y99" s="74"/>
      <c r="Z99" s="74"/>
    </row>
    <row r="100" ht="14.25" customHeight="1">
      <c r="A100" s="245"/>
      <c r="B100" s="344" t="s">
        <v>1754</v>
      </c>
      <c r="C100" s="345">
        <v>65.36081775081593</v>
      </c>
      <c r="D100" s="345">
        <v>979.002055999999</v>
      </c>
      <c r="E100" s="326"/>
      <c r="F100" s="80"/>
      <c r="G100" s="245"/>
      <c r="H100" s="245"/>
      <c r="I100" s="329"/>
      <c r="J100" s="329"/>
      <c r="K100" s="330"/>
      <c r="L100" s="77"/>
      <c r="M100" s="245"/>
      <c r="N100" s="74"/>
      <c r="O100" s="74"/>
      <c r="P100" s="74"/>
      <c r="Q100" s="74"/>
      <c r="R100" s="74"/>
      <c r="S100" s="74"/>
      <c r="T100" s="74"/>
      <c r="U100" s="74"/>
      <c r="V100" s="74"/>
      <c r="W100" s="74"/>
      <c r="X100" s="74"/>
      <c r="Y100" s="74"/>
      <c r="Z100" s="74"/>
    </row>
    <row r="101" ht="14.25" customHeight="1">
      <c r="A101" s="245"/>
      <c r="B101" s="344" t="s">
        <v>1741</v>
      </c>
      <c r="C101" s="345">
        <v>0.0181537843656672</v>
      </c>
      <c r="D101" s="345">
        <v>0.2719150816</v>
      </c>
      <c r="E101" s="341"/>
      <c r="F101" s="342"/>
      <c r="G101" s="245"/>
      <c r="H101" s="245"/>
      <c r="I101" s="329"/>
      <c r="J101" s="329"/>
      <c r="K101" s="569"/>
      <c r="L101" s="77"/>
      <c r="M101" s="245"/>
      <c r="N101" s="74"/>
      <c r="O101" s="74"/>
      <c r="P101" s="74"/>
      <c r="Q101" s="74"/>
      <c r="R101" s="74"/>
      <c r="S101" s="74"/>
      <c r="T101" s="74"/>
      <c r="U101" s="74"/>
      <c r="V101" s="74"/>
      <c r="W101" s="74"/>
      <c r="X101" s="74"/>
      <c r="Y101" s="74"/>
      <c r="Z101" s="74"/>
    </row>
    <row r="102" ht="14.25" customHeight="1">
      <c r="A102" s="245"/>
      <c r="B102" s="344" t="s">
        <v>1751</v>
      </c>
      <c r="C102" s="345">
        <v>13.140403935408</v>
      </c>
      <c r="D102" s="345">
        <v>196.8225432</v>
      </c>
      <c r="E102" s="326"/>
      <c r="F102" s="80"/>
      <c r="G102" s="245"/>
      <c r="H102" s="245"/>
      <c r="I102" s="329"/>
      <c r="J102" s="329"/>
      <c r="K102" s="569"/>
      <c r="L102" s="77"/>
      <c r="M102" s="245"/>
      <c r="N102" s="74"/>
      <c r="O102" s="74"/>
      <c r="P102" s="74"/>
      <c r="Q102" s="74"/>
      <c r="R102" s="74"/>
      <c r="S102" s="74"/>
      <c r="T102" s="74"/>
      <c r="U102" s="74"/>
      <c r="V102" s="74"/>
      <c r="W102" s="74"/>
      <c r="X102" s="74"/>
      <c r="Y102" s="74"/>
      <c r="Z102" s="74"/>
    </row>
    <row r="103" ht="14.25" customHeight="1">
      <c r="A103" s="245"/>
      <c r="B103" s="344"/>
      <c r="C103" s="345"/>
      <c r="D103" s="345"/>
      <c r="E103" s="326"/>
      <c r="F103" s="80"/>
      <c r="G103" s="245"/>
      <c r="H103" s="245"/>
      <c r="I103" s="329"/>
      <c r="J103" s="329"/>
      <c r="K103" s="348"/>
      <c r="L103" s="348"/>
      <c r="M103" s="245"/>
      <c r="N103" s="74"/>
      <c r="O103" s="74"/>
      <c r="P103" s="74"/>
      <c r="Q103" s="74"/>
      <c r="R103" s="74"/>
      <c r="S103" s="74"/>
      <c r="T103" s="74"/>
      <c r="U103" s="74"/>
      <c r="V103" s="74"/>
      <c r="W103" s="74"/>
      <c r="X103" s="74"/>
      <c r="Y103" s="74"/>
      <c r="Z103" s="74"/>
    </row>
    <row r="104" ht="14.25" customHeight="1">
      <c r="A104" s="245"/>
      <c r="B104" s="245"/>
      <c r="C104" s="329"/>
      <c r="D104" s="329">
        <f>SUM(D98:D103)</f>
        <v>4136.34998</v>
      </c>
      <c r="E104" s="569"/>
      <c r="F104" s="77"/>
      <c r="G104" s="245"/>
      <c r="H104" s="245"/>
      <c r="I104" s="245"/>
      <c r="J104" s="245"/>
      <c r="K104" s="245"/>
      <c r="L104" s="245"/>
      <c r="M104" s="245"/>
      <c r="N104" s="74"/>
      <c r="O104" s="74"/>
      <c r="P104" s="74"/>
      <c r="Q104" s="74"/>
      <c r="R104" s="74"/>
      <c r="S104" s="74"/>
      <c r="T104" s="74"/>
      <c r="U104" s="74"/>
      <c r="V104" s="74"/>
      <c r="W104" s="74"/>
      <c r="X104" s="74"/>
      <c r="Y104" s="74"/>
      <c r="Z104" s="74"/>
    </row>
    <row r="105" ht="14.25" customHeight="1">
      <c r="A105" s="245"/>
      <c r="B105" s="245"/>
      <c r="C105" s="571"/>
      <c r="D105" s="77"/>
      <c r="E105" s="569"/>
      <c r="F105" s="77"/>
      <c r="G105" s="245"/>
      <c r="H105" s="245"/>
      <c r="I105" s="245"/>
      <c r="J105" s="245"/>
      <c r="K105" s="245"/>
      <c r="L105" s="245"/>
      <c r="M105" s="245"/>
      <c r="N105" s="74"/>
      <c r="O105" s="74"/>
      <c r="P105" s="74"/>
      <c r="Q105" s="74"/>
      <c r="R105" s="74"/>
      <c r="S105" s="74"/>
      <c r="T105" s="74"/>
      <c r="U105" s="74"/>
      <c r="V105" s="74"/>
      <c r="W105" s="74"/>
      <c r="X105" s="74"/>
      <c r="Y105" s="74"/>
      <c r="Z105" s="74"/>
    </row>
    <row r="106" ht="14.25" customHeight="1">
      <c r="A106" s="74"/>
      <c r="B106" s="117"/>
      <c r="C106" s="117"/>
      <c r="D106" s="117"/>
      <c r="E106" s="117"/>
      <c r="F106" s="117"/>
      <c r="G106" s="117"/>
      <c r="H106" s="117"/>
      <c r="I106" s="117"/>
      <c r="J106" s="74"/>
      <c r="K106" s="74"/>
      <c r="L106" s="74"/>
      <c r="M106" s="74"/>
      <c r="N106" s="74"/>
      <c r="O106" s="74"/>
      <c r="P106" s="74"/>
      <c r="Q106" s="74"/>
      <c r="R106" s="74"/>
      <c r="S106" s="74"/>
      <c r="T106" s="74"/>
      <c r="U106" s="74"/>
      <c r="V106" s="74"/>
      <c r="W106" s="74"/>
      <c r="X106" s="74"/>
      <c r="Y106" s="74"/>
      <c r="Z106" s="74"/>
    </row>
    <row r="107" ht="14.25" customHeight="1">
      <c r="A107" s="74"/>
      <c r="B107" s="117"/>
      <c r="C107" s="117"/>
      <c r="D107" s="117"/>
      <c r="E107" s="117"/>
      <c r="F107" s="117"/>
      <c r="G107" s="117"/>
      <c r="H107" s="117"/>
      <c r="I107" s="117"/>
      <c r="J107" s="74"/>
      <c r="K107" s="74"/>
      <c r="L107" s="74"/>
      <c r="M107" s="74"/>
      <c r="N107" s="74"/>
      <c r="O107" s="74"/>
      <c r="P107" s="74"/>
      <c r="Q107" s="74"/>
      <c r="R107" s="74"/>
      <c r="S107" s="74"/>
      <c r="T107" s="74"/>
      <c r="U107" s="74"/>
      <c r="V107" s="74"/>
      <c r="W107" s="74"/>
      <c r="X107" s="74"/>
      <c r="Y107" s="74"/>
      <c r="Z107" s="74"/>
    </row>
    <row r="108" ht="14.25" customHeight="1">
      <c r="A108" s="74"/>
      <c r="B108" s="117"/>
      <c r="C108" s="117"/>
      <c r="D108" s="117"/>
      <c r="E108" s="117"/>
      <c r="F108" s="117"/>
      <c r="G108" s="117"/>
      <c r="H108" s="117"/>
      <c r="I108" s="117"/>
      <c r="J108" s="74"/>
      <c r="K108" s="74"/>
      <c r="L108" s="74"/>
      <c r="M108" s="74"/>
      <c r="N108" s="74"/>
      <c r="O108" s="74"/>
      <c r="P108" s="74"/>
      <c r="Q108" s="74"/>
      <c r="R108" s="74"/>
      <c r="S108" s="74"/>
      <c r="T108" s="74"/>
      <c r="U108" s="74"/>
      <c r="V108" s="74"/>
      <c r="W108" s="74"/>
      <c r="X108" s="74"/>
      <c r="Y108" s="74"/>
      <c r="Z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4.25" customHeight="1">
      <c r="A110" s="74"/>
      <c r="B110" s="110" t="s">
        <v>163</v>
      </c>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4.25" customHeight="1">
      <c r="A111" s="74"/>
      <c r="B111" s="188" t="s">
        <v>1755</v>
      </c>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4.25" customHeight="1">
      <c r="A112" s="74"/>
      <c r="B112" s="188" t="s">
        <v>165</v>
      </c>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4.25" customHeight="1">
      <c r="A113" s="74"/>
      <c r="B113" s="188" t="s">
        <v>166</v>
      </c>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4.2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4.25" customHeight="1">
      <c r="A117" s="74"/>
      <c r="B117" s="267" t="s">
        <v>167</v>
      </c>
      <c r="C117" s="376" t="s">
        <v>168</v>
      </c>
      <c r="D117" s="377"/>
      <c r="E117" s="324"/>
      <c r="F117" s="74"/>
      <c r="G117" s="74"/>
      <c r="H117" s="74"/>
      <c r="I117" s="74"/>
      <c r="J117" s="74"/>
      <c r="K117" s="74"/>
      <c r="L117" s="74"/>
      <c r="M117" s="74"/>
      <c r="N117" s="74"/>
      <c r="O117" s="74"/>
      <c r="P117" s="74"/>
      <c r="Q117" s="74"/>
      <c r="R117" s="74"/>
      <c r="S117" s="74"/>
      <c r="T117" s="74"/>
      <c r="U117" s="74"/>
      <c r="V117" s="74"/>
      <c r="W117" s="74"/>
      <c r="X117" s="74"/>
      <c r="Y117" s="74"/>
      <c r="Z117" s="74"/>
    </row>
    <row r="118" ht="14.25" customHeight="1">
      <c r="A118" s="74"/>
      <c r="B118" s="271">
        <v>1.0</v>
      </c>
      <c r="C118" s="367" t="s">
        <v>1756</v>
      </c>
      <c r="D118" s="93"/>
      <c r="E118" s="94"/>
      <c r="F118" s="74"/>
      <c r="G118" s="74"/>
      <c r="H118" s="74"/>
      <c r="I118" s="74"/>
      <c r="J118" s="74"/>
      <c r="K118" s="74"/>
      <c r="L118" s="74"/>
      <c r="M118" s="74"/>
      <c r="N118" s="74"/>
      <c r="O118" s="74"/>
      <c r="P118" s="74"/>
      <c r="Q118" s="74"/>
      <c r="R118" s="74"/>
      <c r="S118" s="74"/>
      <c r="T118" s="74"/>
      <c r="U118" s="74"/>
      <c r="V118" s="74"/>
      <c r="W118" s="74"/>
      <c r="X118" s="74"/>
      <c r="Y118" s="74"/>
      <c r="Z118" s="74"/>
    </row>
    <row r="119" ht="14.25" customHeight="1">
      <c r="A119" s="74"/>
      <c r="B119" s="273">
        <v>2.0</v>
      </c>
      <c r="C119" s="368" t="s">
        <v>1757</v>
      </c>
      <c r="E119" s="29"/>
      <c r="F119" s="74"/>
      <c r="G119" s="74"/>
      <c r="H119" s="74"/>
      <c r="I119" s="74"/>
      <c r="J119" s="74"/>
      <c r="K119" s="74"/>
      <c r="L119" s="74"/>
      <c r="M119" s="74"/>
      <c r="N119" s="74"/>
      <c r="O119" s="74"/>
      <c r="P119" s="74"/>
      <c r="Q119" s="74"/>
      <c r="R119" s="74"/>
      <c r="S119" s="74"/>
      <c r="T119" s="74"/>
      <c r="U119" s="74"/>
      <c r="V119" s="74"/>
      <c r="W119" s="74"/>
      <c r="X119" s="74"/>
      <c r="Y119" s="74"/>
      <c r="Z119" s="74"/>
    </row>
    <row r="120" ht="14.25" customHeight="1">
      <c r="A120" s="74"/>
      <c r="B120" s="273">
        <v>3.0</v>
      </c>
      <c r="C120" s="368" t="s">
        <v>1758</v>
      </c>
      <c r="E120" s="29"/>
      <c r="F120" s="74"/>
      <c r="G120" s="74"/>
      <c r="H120" s="74"/>
      <c r="I120" s="74"/>
      <c r="J120" s="74"/>
      <c r="K120" s="74"/>
      <c r="L120" s="74"/>
      <c r="M120" s="74"/>
      <c r="N120" s="74"/>
      <c r="O120" s="74"/>
      <c r="P120" s="74"/>
      <c r="Q120" s="74"/>
      <c r="R120" s="74"/>
      <c r="S120" s="74"/>
      <c r="T120" s="74"/>
      <c r="U120" s="74"/>
      <c r="V120" s="74"/>
      <c r="W120" s="74"/>
      <c r="X120" s="74"/>
      <c r="Y120" s="74"/>
      <c r="Z120" s="74"/>
    </row>
    <row r="121" ht="14.25" customHeight="1">
      <c r="A121" s="74"/>
      <c r="B121" s="273">
        <v>4.0</v>
      </c>
      <c r="C121" s="368" t="s">
        <v>1759</v>
      </c>
      <c r="E121" s="29"/>
      <c r="F121" s="74"/>
      <c r="G121" s="74"/>
      <c r="H121" s="74"/>
      <c r="I121" s="74"/>
      <c r="J121" s="74"/>
      <c r="K121" s="74"/>
      <c r="L121" s="74"/>
      <c r="M121" s="74"/>
      <c r="N121" s="74"/>
      <c r="O121" s="74"/>
      <c r="P121" s="74"/>
      <c r="Q121" s="74"/>
      <c r="R121" s="74"/>
      <c r="S121" s="74"/>
      <c r="T121" s="74"/>
      <c r="U121" s="74"/>
      <c r="V121" s="74"/>
      <c r="W121" s="74"/>
      <c r="X121" s="74"/>
      <c r="Y121" s="74"/>
      <c r="Z121" s="74"/>
    </row>
    <row r="122" ht="14.25" customHeight="1">
      <c r="A122" s="74"/>
      <c r="B122" s="273">
        <v>5.0</v>
      </c>
      <c r="C122" s="589" t="s">
        <v>1760</v>
      </c>
      <c r="E122" s="29"/>
      <c r="F122" s="74"/>
      <c r="G122" s="74"/>
      <c r="H122" s="74"/>
      <c r="I122" s="74"/>
      <c r="J122" s="74"/>
      <c r="K122" s="74"/>
      <c r="L122" s="74"/>
      <c r="M122" s="74"/>
      <c r="N122" s="74"/>
      <c r="O122" s="74"/>
      <c r="P122" s="74"/>
      <c r="Q122" s="74"/>
      <c r="R122" s="74"/>
      <c r="S122" s="74"/>
      <c r="T122" s="74"/>
      <c r="U122" s="74"/>
      <c r="V122" s="74"/>
      <c r="W122" s="74"/>
      <c r="X122" s="74"/>
      <c r="Y122" s="74"/>
      <c r="Z122" s="74"/>
    </row>
    <row r="123" ht="14.25" customHeight="1">
      <c r="A123" s="74"/>
      <c r="B123" s="479">
        <v>6.0</v>
      </c>
      <c r="C123" s="590" t="s">
        <v>1761</v>
      </c>
      <c r="D123" s="95"/>
      <c r="E123" s="38"/>
      <c r="F123" s="74"/>
      <c r="G123" s="74"/>
      <c r="H123" s="74"/>
      <c r="I123" s="74"/>
      <c r="J123" s="74"/>
      <c r="K123" s="74"/>
      <c r="L123" s="74"/>
      <c r="M123" s="74"/>
      <c r="N123" s="74"/>
      <c r="O123" s="74"/>
      <c r="P123" s="74"/>
      <c r="Q123" s="74"/>
      <c r="R123" s="74"/>
      <c r="S123" s="74"/>
      <c r="T123" s="74"/>
      <c r="U123" s="74"/>
      <c r="V123" s="74"/>
      <c r="W123" s="74"/>
      <c r="X123" s="74"/>
      <c r="Y123" s="74"/>
      <c r="Z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41">
    <mergeCell ref="B3:O3"/>
    <mergeCell ref="B4:O4"/>
    <mergeCell ref="B6:C6"/>
    <mergeCell ref="E6:O7"/>
    <mergeCell ref="B7:C7"/>
    <mergeCell ref="B10:O14"/>
    <mergeCell ref="B19:O23"/>
    <mergeCell ref="K91:L91"/>
    <mergeCell ref="K94:L94"/>
    <mergeCell ref="K97:L97"/>
    <mergeCell ref="K98:L98"/>
    <mergeCell ref="K100:L100"/>
    <mergeCell ref="K101:L101"/>
    <mergeCell ref="K102:L102"/>
    <mergeCell ref="C62:D62"/>
    <mergeCell ref="K75:L75"/>
    <mergeCell ref="E84:F84"/>
    <mergeCell ref="K84:L84"/>
    <mergeCell ref="E85:F85"/>
    <mergeCell ref="K85:L85"/>
    <mergeCell ref="K86:L88"/>
    <mergeCell ref="E86:F87"/>
    <mergeCell ref="E88:F88"/>
    <mergeCell ref="E91:F91"/>
    <mergeCell ref="E92:F93"/>
    <mergeCell ref="E94:F94"/>
    <mergeCell ref="E97:F97"/>
    <mergeCell ref="E98:F98"/>
    <mergeCell ref="C118:E118"/>
    <mergeCell ref="C119:E119"/>
    <mergeCell ref="C120:E120"/>
    <mergeCell ref="C121:E121"/>
    <mergeCell ref="C122:E122"/>
    <mergeCell ref="C123:E123"/>
    <mergeCell ref="E100:F100"/>
    <mergeCell ref="E102:F102"/>
    <mergeCell ref="E103:F103"/>
    <mergeCell ref="E104:F104"/>
    <mergeCell ref="C105:D105"/>
    <mergeCell ref="E105:F105"/>
    <mergeCell ref="C117:E117"/>
  </mergeCells>
  <hyperlinks>
    <hyperlink r:id="rId1" ref="C122"/>
  </hyperlinks>
  <printOptions/>
  <pageMargins bottom="0.75" footer="0.0" header="0.0" left="0.7" right="0.7" top="0.75"/>
  <pageSetup orientation="landscape"/>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26.86"/>
    <col customWidth="1" min="14" max="14" width="19.86"/>
    <col customWidth="1" min="15" max="15" width="21.57"/>
    <col customWidth="1" min="16" max="16" width="28.14"/>
    <col customWidth="1" min="17"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1762</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79" t="s">
        <v>85</v>
      </c>
      <c r="C6" s="80"/>
      <c r="D6" s="81" t="s">
        <v>1763</v>
      </c>
      <c r="E6" s="82"/>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t="s">
        <v>1764</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97" t="s">
        <v>1765</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33.0" customHeight="1">
      <c r="A12" s="74"/>
      <c r="B12" s="28"/>
      <c r="O12" s="29"/>
      <c r="P12" s="74"/>
      <c r="Q12" s="74"/>
      <c r="R12" s="74"/>
      <c r="S12" s="74"/>
      <c r="T12" s="74"/>
      <c r="U12" s="74"/>
      <c r="V12" s="74"/>
      <c r="W12" s="74"/>
      <c r="X12" s="74"/>
      <c r="Y12" s="74"/>
      <c r="Z12" s="74"/>
    </row>
    <row r="13" ht="45.75" customHeight="1">
      <c r="A13" s="74"/>
      <c r="B13" s="28"/>
      <c r="O13" s="29"/>
      <c r="P13" s="74"/>
      <c r="Q13" s="74"/>
      <c r="R13" s="74"/>
      <c r="S13" s="74"/>
      <c r="T13" s="74"/>
      <c r="U13" s="74"/>
      <c r="V13" s="74"/>
      <c r="W13" s="74"/>
      <c r="X13" s="74"/>
      <c r="Y13" s="74"/>
      <c r="Z13" s="74"/>
    </row>
    <row r="14" ht="166.5"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97" t="s">
        <v>1766</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36.0"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110" t="s">
        <v>98</v>
      </c>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t="s">
        <v>1369</v>
      </c>
      <c r="H60" s="74"/>
      <c r="I60" s="74"/>
      <c r="J60" s="74"/>
      <c r="K60" s="74"/>
      <c r="L60" s="74"/>
      <c r="M60" s="74"/>
      <c r="N60" s="74"/>
      <c r="O60" s="74"/>
      <c r="P60" s="74"/>
      <c r="Q60" s="74"/>
      <c r="R60" s="74"/>
      <c r="S60" s="74"/>
      <c r="T60" s="74"/>
      <c r="U60" s="74"/>
      <c r="V60" s="74"/>
      <c r="W60" s="74"/>
      <c r="X60" s="74"/>
      <c r="Y60" s="74"/>
      <c r="Z60" s="74"/>
    </row>
    <row r="61" ht="14.25" customHeight="1">
      <c r="A61" s="74"/>
      <c r="B61" s="74"/>
      <c r="C61" s="111"/>
      <c r="D61" s="111"/>
      <c r="E61" s="112"/>
      <c r="F61" s="91"/>
      <c r="G61" s="113"/>
      <c r="H61" s="74"/>
      <c r="I61" s="74"/>
      <c r="J61" s="74"/>
      <c r="K61" s="74"/>
      <c r="L61" s="74"/>
      <c r="M61" s="74"/>
      <c r="N61" s="74"/>
      <c r="O61" s="109"/>
      <c r="P61" s="74"/>
      <c r="Q61" s="74"/>
      <c r="R61" s="74"/>
      <c r="S61" s="74"/>
      <c r="T61" s="74"/>
      <c r="U61" s="74"/>
      <c r="V61" s="74"/>
      <c r="W61" s="74"/>
      <c r="X61" s="74"/>
      <c r="Y61" s="74"/>
      <c r="Z61" s="74"/>
    </row>
    <row r="62" ht="14.25" customHeight="1">
      <c r="A62" s="74"/>
      <c r="B62" s="114" t="s">
        <v>99</v>
      </c>
      <c r="C62" s="203"/>
      <c r="D62" s="80"/>
      <c r="E62" s="74"/>
      <c r="F62" s="74"/>
      <c r="G62" s="74"/>
      <c r="H62" s="118" t="s">
        <v>100</v>
      </c>
      <c r="I62" s="558"/>
      <c r="J62" s="559"/>
      <c r="K62" s="74"/>
      <c r="L62" s="89"/>
      <c r="M62" s="74"/>
      <c r="N62" s="118" t="s">
        <v>101</v>
      </c>
      <c r="O62" s="118"/>
      <c r="P62" s="105"/>
      <c r="Q62" s="100" t="s">
        <v>93</v>
      </c>
      <c r="R62" s="74"/>
      <c r="S62" s="74"/>
      <c r="T62" s="74"/>
      <c r="U62" s="74"/>
      <c r="V62" s="74"/>
      <c r="W62" s="74"/>
      <c r="X62" s="74"/>
      <c r="Y62" s="74"/>
      <c r="Z62" s="74"/>
    </row>
    <row r="63" ht="14.25" customHeight="1">
      <c r="A63" s="74"/>
      <c r="B63" s="121" t="s">
        <v>102</v>
      </c>
      <c r="C63" s="121" t="s">
        <v>103</v>
      </c>
      <c r="D63" s="121" t="s">
        <v>104</v>
      </c>
      <c r="E63" s="283" t="s">
        <v>1767</v>
      </c>
      <c r="F63" s="283" t="s">
        <v>241</v>
      </c>
      <c r="G63" s="74"/>
      <c r="H63" s="121" t="s">
        <v>102</v>
      </c>
      <c r="I63" s="121" t="s">
        <v>103</v>
      </c>
      <c r="J63" s="121" t="s">
        <v>104</v>
      </c>
      <c r="K63" s="283" t="s">
        <v>1767</v>
      </c>
      <c r="L63" s="283" t="s">
        <v>241</v>
      </c>
      <c r="M63" s="74"/>
      <c r="N63" s="118" t="s">
        <v>105</v>
      </c>
      <c r="O63" s="122"/>
      <c r="P63" s="105"/>
      <c r="Q63" s="101" t="s">
        <v>94</v>
      </c>
      <c r="R63" s="74"/>
      <c r="S63" s="74"/>
      <c r="T63" s="74"/>
      <c r="U63" s="74"/>
      <c r="V63" s="74"/>
      <c r="W63" s="74"/>
      <c r="X63" s="74"/>
      <c r="Y63" s="74"/>
      <c r="Z63" s="74"/>
    </row>
    <row r="64" ht="14.25" customHeight="1">
      <c r="A64" s="74"/>
      <c r="B64" s="123" t="s">
        <v>1768</v>
      </c>
      <c r="C64" s="124" t="s">
        <v>1769</v>
      </c>
      <c r="D64" s="124">
        <v>318.20144</v>
      </c>
      <c r="E64" s="247">
        <v>25.0</v>
      </c>
      <c r="F64" s="285">
        <v>1.02</v>
      </c>
      <c r="G64" s="74"/>
      <c r="H64" s="123" t="s">
        <v>1770</v>
      </c>
      <c r="I64" s="124" t="s">
        <v>1771</v>
      </c>
      <c r="J64" s="527">
        <v>618.429</v>
      </c>
      <c r="K64" s="247">
        <v>-18.0</v>
      </c>
      <c r="L64" s="285">
        <v>150.0</v>
      </c>
      <c r="M64" s="74"/>
      <c r="N64" s="110" t="s">
        <v>110</v>
      </c>
      <c r="O64" s="125">
        <f>SUM(D64:D68)</f>
        <v>4672.61844</v>
      </c>
      <c r="P64" s="105"/>
      <c r="Q64" s="101" t="s">
        <v>95</v>
      </c>
      <c r="R64" s="74"/>
      <c r="S64" s="74"/>
      <c r="T64" s="74"/>
      <c r="U64" s="74"/>
      <c r="V64" s="74"/>
      <c r="W64" s="74"/>
      <c r="X64" s="74"/>
      <c r="Y64" s="74"/>
      <c r="Z64" s="74"/>
    </row>
    <row r="65" ht="14.25" customHeight="1">
      <c r="A65" s="74"/>
      <c r="B65" s="123" t="s">
        <v>1772</v>
      </c>
      <c r="C65" s="124" t="s">
        <v>420</v>
      </c>
      <c r="D65" s="124">
        <v>1037.68</v>
      </c>
      <c r="E65" s="247">
        <v>263.0</v>
      </c>
      <c r="F65" s="285">
        <v>51.0</v>
      </c>
      <c r="G65" s="74"/>
      <c r="H65" s="123" t="s">
        <v>1773</v>
      </c>
      <c r="I65" s="124" t="s">
        <v>1774</v>
      </c>
      <c r="J65" s="124">
        <v>731.055</v>
      </c>
      <c r="K65" s="247">
        <v>10.87</v>
      </c>
      <c r="L65" s="285">
        <v>1.02</v>
      </c>
      <c r="M65" s="74"/>
      <c r="N65" s="110" t="s">
        <v>114</v>
      </c>
      <c r="O65" s="125">
        <f>J64+J65</f>
        <v>1349.484</v>
      </c>
      <c r="P65" s="105"/>
      <c r="Q65" s="101" t="s">
        <v>96</v>
      </c>
      <c r="R65" s="74"/>
      <c r="S65" s="74"/>
      <c r="T65" s="74"/>
      <c r="U65" s="74"/>
      <c r="V65" s="74"/>
      <c r="W65" s="74"/>
      <c r="X65" s="74"/>
      <c r="Y65" s="74"/>
      <c r="Z65" s="74"/>
    </row>
    <row r="66" ht="46.5" customHeight="1">
      <c r="A66" s="74"/>
      <c r="B66" s="123" t="s">
        <v>1775</v>
      </c>
      <c r="C66" s="124" t="s">
        <v>1776</v>
      </c>
      <c r="D66" s="124">
        <v>832.844</v>
      </c>
      <c r="E66" s="247">
        <v>15.0</v>
      </c>
      <c r="F66" s="285">
        <v>1.02</v>
      </c>
      <c r="G66" s="132"/>
      <c r="H66" s="132"/>
      <c r="I66" s="74"/>
      <c r="J66" s="74"/>
      <c r="K66" s="74"/>
      <c r="L66" s="74"/>
      <c r="M66" s="74"/>
      <c r="N66" s="110" t="s">
        <v>117</v>
      </c>
      <c r="O66" s="125">
        <f>SUM(J69:J73)</f>
        <v>3323.12704</v>
      </c>
      <c r="P66" s="105"/>
      <c r="Q66" s="74"/>
      <c r="R66" s="74"/>
      <c r="S66" s="74"/>
      <c r="T66" s="74"/>
      <c r="U66" s="74"/>
      <c r="V66" s="74"/>
      <c r="W66" s="74"/>
      <c r="X66" s="74"/>
      <c r="Y66" s="74"/>
      <c r="Z66" s="74"/>
    </row>
    <row r="67" ht="14.25" customHeight="1">
      <c r="A67" s="74"/>
      <c r="B67" s="123" t="s">
        <v>1777</v>
      </c>
      <c r="C67" s="124" t="s">
        <v>1778</v>
      </c>
      <c r="D67" s="124">
        <v>149.109</v>
      </c>
      <c r="E67" s="247">
        <v>30.0</v>
      </c>
      <c r="F67" s="285">
        <v>1.02</v>
      </c>
      <c r="G67" s="74"/>
      <c r="H67" s="118" t="s">
        <v>280</v>
      </c>
      <c r="I67" s="558"/>
      <c r="J67" s="559"/>
      <c r="K67" s="74"/>
      <c r="L67" s="126"/>
      <c r="M67" s="74"/>
      <c r="N67" s="74"/>
      <c r="O67" s="74"/>
      <c r="P67" s="105"/>
      <c r="Q67" s="74"/>
      <c r="R67" s="74"/>
      <c r="S67" s="74"/>
      <c r="T67" s="74"/>
      <c r="U67" s="74"/>
      <c r="V67" s="74"/>
      <c r="W67" s="74"/>
      <c r="X67" s="74"/>
      <c r="Y67" s="74"/>
      <c r="Z67" s="74"/>
    </row>
    <row r="68" ht="14.25" customHeight="1">
      <c r="A68" s="105"/>
      <c r="B68" s="128" t="s">
        <v>1779</v>
      </c>
      <c r="C68" s="284" t="s">
        <v>420</v>
      </c>
      <c r="D68" s="151">
        <v>2334.784</v>
      </c>
      <c r="E68" s="247">
        <v>155.2</v>
      </c>
      <c r="F68" s="285">
        <v>5.5</v>
      </c>
      <c r="G68" s="74"/>
      <c r="H68" s="121" t="s">
        <v>102</v>
      </c>
      <c r="I68" s="121" t="s">
        <v>103</v>
      </c>
      <c r="J68" s="121" t="s">
        <v>104</v>
      </c>
      <c r="K68" s="283" t="s">
        <v>1767</v>
      </c>
      <c r="L68" s="283" t="s">
        <v>241</v>
      </c>
      <c r="M68" s="74"/>
      <c r="N68" s="110" t="s">
        <v>101</v>
      </c>
      <c r="O68" s="125">
        <f>O64-O65-O66</f>
        <v>0.0074</v>
      </c>
      <c r="P68" s="105"/>
      <c r="Q68" s="74"/>
      <c r="R68" s="74"/>
      <c r="S68" s="74"/>
      <c r="T68" s="74"/>
      <c r="U68" s="74"/>
      <c r="V68" s="74"/>
      <c r="W68" s="74"/>
      <c r="X68" s="74"/>
      <c r="Y68" s="74"/>
      <c r="Z68" s="74"/>
    </row>
    <row r="69" ht="14.25" customHeight="1">
      <c r="A69" s="105"/>
      <c r="B69" s="105"/>
      <c r="C69" s="108"/>
      <c r="D69" s="109"/>
      <c r="E69" s="292"/>
      <c r="F69" s="74"/>
      <c r="G69" s="74"/>
      <c r="H69" s="123" t="s">
        <v>1780</v>
      </c>
      <c r="I69" s="124" t="s">
        <v>1781</v>
      </c>
      <c r="J69" s="527">
        <v>84.9421</v>
      </c>
      <c r="K69" s="247">
        <v>20.0</v>
      </c>
      <c r="L69" s="285">
        <v>1.02</v>
      </c>
      <c r="M69" s="74"/>
      <c r="N69" s="135" t="s">
        <v>121</v>
      </c>
      <c r="O69" s="124">
        <f>(O68/O64)*100</f>
        <v>0.0001583694473</v>
      </c>
      <c r="P69" s="105"/>
      <c r="Q69" s="74"/>
      <c r="R69" s="74"/>
      <c r="S69" s="74"/>
      <c r="T69" s="74"/>
      <c r="U69" s="74"/>
      <c r="V69" s="74"/>
      <c r="W69" s="74"/>
      <c r="X69" s="74"/>
      <c r="Y69" s="74"/>
      <c r="Z69" s="74"/>
    </row>
    <row r="70" ht="59.25" customHeight="1">
      <c r="A70" s="74"/>
      <c r="B70" s="74"/>
      <c r="C70" s="74"/>
      <c r="D70" s="74"/>
      <c r="E70" s="74"/>
      <c r="F70" s="74"/>
      <c r="G70" s="74"/>
      <c r="H70" s="123" t="s">
        <v>1782</v>
      </c>
      <c r="I70" s="124" t="s">
        <v>1783</v>
      </c>
      <c r="J70" s="124">
        <v>4.89344</v>
      </c>
      <c r="K70" s="247">
        <v>20.0</v>
      </c>
      <c r="L70" s="285">
        <v>1.02</v>
      </c>
      <c r="M70" s="74"/>
      <c r="N70" s="104"/>
      <c r="O70" s="105"/>
      <c r="P70" s="74"/>
      <c r="Q70" s="74"/>
      <c r="R70" s="74"/>
      <c r="S70" s="74"/>
      <c r="T70" s="74"/>
      <c r="U70" s="74"/>
      <c r="V70" s="74"/>
      <c r="W70" s="74"/>
      <c r="X70" s="74"/>
      <c r="Y70" s="74"/>
      <c r="Z70" s="74"/>
    </row>
    <row r="71" ht="14.25" customHeight="1">
      <c r="A71" s="74"/>
      <c r="B71" s="89"/>
      <c r="C71" s="89"/>
      <c r="D71" s="89"/>
      <c r="E71" s="89"/>
      <c r="F71" s="74"/>
      <c r="G71" s="74"/>
      <c r="H71" s="591" t="s">
        <v>1784</v>
      </c>
      <c r="I71" s="591" t="s">
        <v>1785</v>
      </c>
      <c r="J71" s="592">
        <v>554.522</v>
      </c>
      <c r="K71" s="247">
        <v>35.64</v>
      </c>
      <c r="L71" s="285">
        <v>1.02</v>
      </c>
      <c r="M71" s="74"/>
      <c r="N71" s="74"/>
      <c r="O71" s="74"/>
      <c r="P71" s="74"/>
      <c r="Q71" s="74"/>
      <c r="R71" s="74"/>
      <c r="S71" s="74"/>
      <c r="T71" s="74"/>
      <c r="U71" s="74"/>
      <c r="V71" s="74"/>
      <c r="W71" s="74"/>
      <c r="X71" s="74"/>
      <c r="Y71" s="74"/>
      <c r="Z71" s="74"/>
    </row>
    <row r="72" ht="93.0" customHeight="1">
      <c r="A72" s="74"/>
      <c r="B72" s="74"/>
      <c r="C72" s="74"/>
      <c r="D72" s="74"/>
      <c r="E72" s="74"/>
      <c r="F72" s="74"/>
      <c r="G72" s="74"/>
      <c r="H72" s="591" t="s">
        <v>1786</v>
      </c>
      <c r="I72" s="591" t="s">
        <v>1787</v>
      </c>
      <c r="J72" s="593">
        <v>75.6395</v>
      </c>
      <c r="K72" s="247">
        <v>20.0</v>
      </c>
      <c r="L72" s="285">
        <v>1.02</v>
      </c>
      <c r="M72" s="74"/>
      <c r="N72" s="74"/>
      <c r="O72" s="74"/>
      <c r="P72" s="74"/>
      <c r="Q72" s="74"/>
      <c r="R72" s="74"/>
      <c r="S72" s="74"/>
      <c r="T72" s="74"/>
      <c r="U72" s="74"/>
      <c r="V72" s="74"/>
      <c r="W72" s="74"/>
      <c r="X72" s="74"/>
      <c r="Y72" s="74"/>
      <c r="Z72" s="74"/>
    </row>
    <row r="73" ht="14.25" customHeight="1">
      <c r="A73" s="74"/>
      <c r="B73" s="74"/>
      <c r="C73" s="74"/>
      <c r="D73" s="74"/>
      <c r="E73" s="74"/>
      <c r="F73" s="74"/>
      <c r="G73" s="74"/>
      <c r="H73" s="591" t="s">
        <v>1788</v>
      </c>
      <c r="I73" s="591" t="s">
        <v>1789</v>
      </c>
      <c r="J73" s="593">
        <v>2603.13</v>
      </c>
      <c r="K73" s="256">
        <v>10.868</v>
      </c>
      <c r="L73" s="285">
        <v>1.02</v>
      </c>
      <c r="M73" s="74"/>
      <c r="N73" s="74"/>
      <c r="O73" s="74"/>
      <c r="P73" s="74"/>
      <c r="Q73" s="74"/>
      <c r="R73" s="74"/>
      <c r="S73" s="74"/>
      <c r="T73" s="74"/>
      <c r="U73" s="74"/>
      <c r="V73" s="74"/>
      <c r="W73" s="74"/>
      <c r="X73" s="74"/>
      <c r="Y73" s="74"/>
      <c r="Z73" s="74"/>
    </row>
    <row r="74" ht="14.25" customHeight="1">
      <c r="A74" s="74"/>
      <c r="B74" s="74"/>
      <c r="C74" s="74"/>
      <c r="D74" s="74"/>
      <c r="E74" s="74"/>
      <c r="F74" s="74"/>
      <c r="G74" s="74"/>
      <c r="H74" s="74"/>
      <c r="I74" s="74"/>
      <c r="J74" s="74"/>
      <c r="K74" s="89"/>
      <c r="L74" s="74"/>
      <c r="M74" s="74"/>
      <c r="N74" s="74"/>
      <c r="O74" s="74"/>
      <c r="P74" s="74"/>
      <c r="Q74" s="74"/>
      <c r="R74" s="74"/>
      <c r="S74" s="74"/>
      <c r="T74" s="74"/>
      <c r="U74" s="74"/>
      <c r="V74" s="74"/>
      <c r="W74" s="74"/>
      <c r="X74" s="74"/>
      <c r="Y74" s="74"/>
      <c r="Z74" s="74"/>
    </row>
    <row r="75" ht="14.25" customHeight="1">
      <c r="A75" s="74"/>
      <c r="B75" s="74"/>
      <c r="C75" s="74"/>
      <c r="D75" s="74"/>
      <c r="E75" s="74"/>
      <c r="F75" s="74"/>
      <c r="G75" s="74"/>
      <c r="H75" s="74"/>
      <c r="I75" s="74"/>
      <c r="J75" s="129"/>
      <c r="K75" s="89"/>
      <c r="L75" s="136"/>
      <c r="M75" s="74"/>
      <c r="N75" s="74"/>
      <c r="O75" s="74"/>
      <c r="P75" s="74"/>
      <c r="Q75" s="74"/>
      <c r="R75" s="74"/>
      <c r="S75" s="74"/>
      <c r="T75" s="74"/>
      <c r="U75" s="74"/>
      <c r="V75" s="74"/>
      <c r="W75" s="74"/>
      <c r="X75" s="74"/>
      <c r="Y75" s="74"/>
      <c r="Z75" s="74"/>
    </row>
    <row r="76" ht="15.0" customHeight="1">
      <c r="A76" s="74"/>
      <c r="B76" s="74"/>
      <c r="C76" s="74"/>
      <c r="D76" s="74"/>
      <c r="E76" s="74"/>
      <c r="F76" s="74"/>
      <c r="G76" s="74"/>
      <c r="H76" s="74"/>
      <c r="I76" s="74"/>
      <c r="J76" s="129"/>
      <c r="K76" s="89"/>
      <c r="L76" s="91"/>
      <c r="M76" s="74"/>
      <c r="N76" s="74"/>
      <c r="O76" s="74"/>
      <c r="P76" s="74"/>
      <c r="Q76" s="74"/>
      <c r="R76" s="74"/>
      <c r="S76" s="74"/>
      <c r="T76" s="74"/>
      <c r="U76" s="74"/>
      <c r="V76" s="74"/>
      <c r="W76" s="74"/>
      <c r="X76" s="74"/>
      <c r="Y76" s="74"/>
      <c r="Z76" s="74"/>
    </row>
    <row r="77" ht="15.0" customHeight="1">
      <c r="A77" s="74"/>
      <c r="B77" s="74"/>
      <c r="C77" s="74"/>
      <c r="D77" s="74"/>
      <c r="E77" s="74"/>
      <c r="F77" s="74"/>
      <c r="G77" s="74"/>
      <c r="H77" s="74"/>
      <c r="I77" s="74"/>
      <c r="J77" s="129"/>
      <c r="K77" s="89"/>
      <c r="L77" s="91"/>
      <c r="M77" s="74"/>
      <c r="N77" s="74"/>
      <c r="O77" s="74"/>
      <c r="P77" s="74"/>
      <c r="Q77" s="74"/>
      <c r="R77" s="74"/>
      <c r="S77" s="74"/>
      <c r="T77" s="74"/>
      <c r="U77" s="74"/>
      <c r="V77" s="74"/>
      <c r="W77" s="74"/>
      <c r="X77" s="74"/>
      <c r="Y77" s="74"/>
      <c r="Z77" s="74"/>
    </row>
    <row r="78" ht="15.0" customHeight="1">
      <c r="A78" s="74"/>
      <c r="B78" s="74"/>
      <c r="C78" s="74"/>
      <c r="D78" s="74"/>
      <c r="E78" s="74"/>
      <c r="F78" s="74"/>
      <c r="G78" s="74"/>
      <c r="H78" s="74"/>
      <c r="I78" s="74"/>
      <c r="J78" s="129"/>
      <c r="K78" s="89"/>
      <c r="L78" s="91"/>
      <c r="M78" s="74"/>
      <c r="N78" s="74"/>
      <c r="O78" s="74"/>
      <c r="P78" s="74"/>
      <c r="Q78" s="74"/>
      <c r="R78" s="74"/>
      <c r="S78" s="74"/>
      <c r="T78" s="74"/>
      <c r="U78" s="74"/>
      <c r="V78" s="74"/>
      <c r="W78" s="74"/>
      <c r="X78" s="74"/>
      <c r="Y78" s="74"/>
      <c r="Z78" s="74"/>
    </row>
    <row r="79" ht="14.25" customHeight="1">
      <c r="A79" s="74"/>
      <c r="B79" s="74"/>
      <c r="C79" s="74"/>
      <c r="D79" s="74"/>
      <c r="E79" s="74"/>
      <c r="F79" s="74"/>
      <c r="G79" s="74"/>
      <c r="H79" s="74"/>
      <c r="I79" s="74"/>
      <c r="J79" s="129"/>
      <c r="K79" s="74"/>
      <c r="L79" s="74"/>
      <c r="M79" s="74"/>
      <c r="N79" s="74"/>
      <c r="O79" s="74"/>
      <c r="P79" s="74"/>
      <c r="Q79" s="74"/>
      <c r="R79" s="74"/>
      <c r="S79" s="74"/>
      <c r="T79" s="74"/>
      <c r="U79" s="74"/>
      <c r="V79" s="74"/>
      <c r="W79" s="74"/>
      <c r="X79" s="74"/>
      <c r="Y79" s="74"/>
      <c r="Z79" s="74"/>
    </row>
    <row r="80" ht="14.25" customHeight="1">
      <c r="A80" s="74"/>
      <c r="B80" s="110" t="s">
        <v>122</v>
      </c>
      <c r="C80" s="117"/>
      <c r="D80" s="117"/>
      <c r="E80" s="117"/>
      <c r="F80" s="117"/>
      <c r="G80" s="117"/>
      <c r="H80" s="117"/>
      <c r="I80" s="117"/>
      <c r="J80" s="129"/>
      <c r="K80" s="74"/>
      <c r="L80" s="74"/>
      <c r="M80" s="74"/>
      <c r="N80" s="74"/>
      <c r="O80" s="74"/>
      <c r="P80" s="74"/>
      <c r="Q80" s="74"/>
      <c r="R80" s="74"/>
      <c r="S80" s="74"/>
      <c r="T80" s="74"/>
      <c r="U80" s="74"/>
      <c r="V80" s="74"/>
      <c r="W80" s="74"/>
      <c r="X80" s="74"/>
      <c r="Y80" s="74"/>
      <c r="Z80" s="74"/>
    </row>
    <row r="81" ht="14.25" customHeight="1">
      <c r="A81" s="74"/>
      <c r="B81" s="117"/>
      <c r="C81" s="117"/>
      <c r="D81" s="117"/>
      <c r="E81" s="117"/>
      <c r="F81" s="117"/>
      <c r="G81" s="117"/>
      <c r="H81" s="117"/>
      <c r="I81" s="117"/>
      <c r="J81" s="74"/>
      <c r="K81" s="74"/>
      <c r="L81" s="74"/>
      <c r="M81" s="74"/>
      <c r="N81" s="74"/>
      <c r="O81" s="74"/>
      <c r="P81" s="74"/>
      <c r="Q81" s="74"/>
      <c r="R81" s="74"/>
      <c r="S81" s="74"/>
      <c r="T81" s="74"/>
      <c r="U81" s="74"/>
      <c r="V81" s="74"/>
      <c r="W81" s="74"/>
      <c r="X81" s="74"/>
      <c r="Y81" s="74"/>
      <c r="Z81" s="74"/>
    </row>
    <row r="82" ht="14.25" customHeight="1">
      <c r="A82" s="74"/>
      <c r="B82" s="118" t="s">
        <v>3</v>
      </c>
      <c r="C82" s="118" t="s">
        <v>4</v>
      </c>
      <c r="D82" s="118" t="s">
        <v>124</v>
      </c>
      <c r="E82" s="142" t="s">
        <v>5</v>
      </c>
      <c r="F82" s="142" t="s">
        <v>125</v>
      </c>
      <c r="G82" s="143" t="s">
        <v>126</v>
      </c>
      <c r="H82" s="143" t="s">
        <v>127</v>
      </c>
      <c r="I82" s="144" t="s">
        <v>128</v>
      </c>
      <c r="J82" s="74"/>
      <c r="K82" s="138" t="s">
        <v>123</v>
      </c>
      <c r="L82" s="139"/>
      <c r="M82" s="140"/>
      <c r="N82" s="140"/>
      <c r="O82" s="140"/>
      <c r="P82" s="140"/>
      <c r="Q82" s="141"/>
      <c r="R82" s="74"/>
      <c r="S82" s="74"/>
      <c r="T82" s="74"/>
      <c r="U82" s="74"/>
      <c r="V82" s="74"/>
      <c r="W82" s="74"/>
      <c r="X82" s="74"/>
      <c r="Y82" s="74"/>
      <c r="Z82" s="74"/>
    </row>
    <row r="83" ht="14.25" customHeight="1">
      <c r="A83" s="74"/>
      <c r="B83" s="145" t="s">
        <v>8</v>
      </c>
      <c r="C83" s="594">
        <v>298.71461</v>
      </c>
      <c r="D83" s="594">
        <v>142.46441978486664</v>
      </c>
      <c r="E83" s="594">
        <v>-915.8504</v>
      </c>
      <c r="F83" s="594">
        <v>-436.803901</v>
      </c>
      <c r="G83" s="594">
        <v>-617.13579</v>
      </c>
      <c r="H83" s="594">
        <f t="shared" ref="H83:H85" si="1">D83+F83</f>
        <v>-294.3394812</v>
      </c>
      <c r="I83" s="147" t="s">
        <v>297</v>
      </c>
      <c r="J83" s="74"/>
      <c r="K83" s="118" t="s">
        <v>3</v>
      </c>
      <c r="L83" s="114" t="s">
        <v>129</v>
      </c>
      <c r="M83" s="121" t="s">
        <v>130</v>
      </c>
      <c r="N83" s="121" t="s">
        <v>131</v>
      </c>
      <c r="O83" s="121" t="s">
        <v>132</v>
      </c>
      <c r="P83" s="121" t="s">
        <v>133</v>
      </c>
      <c r="Q83" s="114" t="s">
        <v>134</v>
      </c>
      <c r="R83" s="74"/>
      <c r="S83" s="74"/>
      <c r="T83" s="74"/>
      <c r="U83" s="74"/>
      <c r="V83" s="74"/>
      <c r="W83" s="74"/>
      <c r="X83" s="74"/>
      <c r="Y83" s="74"/>
      <c r="Z83" s="74"/>
    </row>
    <row r="84" ht="14.25" customHeight="1">
      <c r="A84" s="74"/>
      <c r="B84" s="145" t="s">
        <v>10</v>
      </c>
      <c r="C84" s="594">
        <v>105898.40000000001</v>
      </c>
      <c r="D84" s="594">
        <v>56340.4</v>
      </c>
      <c r="E84" s="594">
        <v>-2142.2664</v>
      </c>
      <c r="F84" s="594">
        <v>-1139.8052189999999</v>
      </c>
      <c r="G84" s="594">
        <v>103756.13360000002</v>
      </c>
      <c r="H84" s="594">
        <f t="shared" si="1"/>
        <v>55200.59478</v>
      </c>
      <c r="I84" s="147"/>
      <c r="J84" s="74"/>
      <c r="K84" s="148" t="s">
        <v>136</v>
      </c>
      <c r="L84" s="149" t="s">
        <v>137</v>
      </c>
      <c r="M84" s="149" t="s">
        <v>137</v>
      </c>
      <c r="N84" s="149" t="s">
        <v>137</v>
      </c>
      <c r="O84" s="149" t="s">
        <v>137</v>
      </c>
      <c r="P84" s="149" t="s">
        <v>137</v>
      </c>
      <c r="Q84" s="149" t="s">
        <v>137</v>
      </c>
      <c r="R84" s="74"/>
      <c r="S84" s="74"/>
      <c r="T84" s="74"/>
      <c r="U84" s="74"/>
      <c r="V84" s="74"/>
      <c r="W84" s="74"/>
      <c r="X84" s="74"/>
      <c r="Y84" s="74"/>
      <c r="Z84" s="74"/>
    </row>
    <row r="85" ht="14.25" customHeight="1">
      <c r="A85" s="74"/>
      <c r="B85" s="145" t="s">
        <v>11</v>
      </c>
      <c r="C85" s="594">
        <v>2902.328</v>
      </c>
      <c r="D85" s="594">
        <v>1777.9</v>
      </c>
      <c r="E85" s="594">
        <v>-2858.68215196876</v>
      </c>
      <c r="F85" s="594">
        <v>-1751.16126</v>
      </c>
      <c r="G85" s="594">
        <v>43.64584803123989</v>
      </c>
      <c r="H85" s="594">
        <f t="shared" si="1"/>
        <v>26.73874</v>
      </c>
      <c r="I85" s="147"/>
      <c r="J85" s="74"/>
      <c r="K85" s="150" t="s">
        <v>8</v>
      </c>
      <c r="L85" s="149">
        <v>155.0</v>
      </c>
      <c r="M85" s="149">
        <v>155.0</v>
      </c>
      <c r="N85" s="151">
        <v>5.5</v>
      </c>
      <c r="O85" s="151">
        <v>5.5</v>
      </c>
      <c r="P85" s="149">
        <v>2096.77163841359</v>
      </c>
      <c r="Q85" s="149" t="s">
        <v>138</v>
      </c>
      <c r="R85" s="74"/>
      <c r="S85" s="74"/>
      <c r="T85" s="74"/>
      <c r="U85" s="74"/>
      <c r="V85" s="74"/>
      <c r="W85" s="74"/>
      <c r="X85" s="74"/>
      <c r="Y85" s="74"/>
      <c r="Z85" s="74"/>
    </row>
    <row r="86" ht="14.25" customHeight="1">
      <c r="A86" s="74"/>
      <c r="B86" s="145" t="s">
        <v>12</v>
      </c>
      <c r="C86" s="594">
        <v>76529.58800000002</v>
      </c>
      <c r="D86" s="594">
        <v>1219739.67</v>
      </c>
      <c r="E86" s="594">
        <v>0.0</v>
      </c>
      <c r="F86" s="594">
        <v>0.0</v>
      </c>
      <c r="G86" s="594">
        <v>76529.58800000002</v>
      </c>
      <c r="H86" s="594">
        <f t="shared" ref="H86:H88" si="2">D86</f>
        <v>1219739.67</v>
      </c>
      <c r="I86" s="147"/>
      <c r="J86" s="74"/>
      <c r="K86" s="118" t="s">
        <v>10</v>
      </c>
      <c r="L86" s="149">
        <v>214.0</v>
      </c>
      <c r="M86" s="149">
        <v>214.0</v>
      </c>
      <c r="N86" s="149">
        <v>21.0</v>
      </c>
      <c r="O86" s="149">
        <v>21.0</v>
      </c>
      <c r="P86" s="149">
        <v>1879.6128145344</v>
      </c>
      <c r="Q86" s="149" t="s">
        <v>138</v>
      </c>
      <c r="R86" s="74"/>
      <c r="S86" s="74"/>
      <c r="T86" s="74"/>
      <c r="U86" s="74"/>
      <c r="V86" s="74"/>
      <c r="W86" s="74"/>
      <c r="X86" s="74"/>
      <c r="Y86" s="74"/>
      <c r="Z86" s="74"/>
    </row>
    <row r="87" ht="14.25" customHeight="1">
      <c r="A87" s="74"/>
      <c r="B87" s="81" t="s">
        <v>478</v>
      </c>
      <c r="C87" s="595">
        <v>38590.848</v>
      </c>
      <c r="D87" s="596">
        <v>3525750.0</v>
      </c>
      <c r="E87" s="594">
        <v>0.0</v>
      </c>
      <c r="F87" s="594">
        <v>0.0</v>
      </c>
      <c r="G87" s="594">
        <v>38590.848</v>
      </c>
      <c r="H87" s="594">
        <f t="shared" si="2"/>
        <v>3525750</v>
      </c>
      <c r="I87" s="147"/>
      <c r="J87" s="74"/>
      <c r="K87" s="118" t="s">
        <v>11</v>
      </c>
      <c r="L87" s="149">
        <v>265.0</v>
      </c>
      <c r="M87" s="149">
        <v>265.0</v>
      </c>
      <c r="N87" s="149">
        <v>51.0</v>
      </c>
      <c r="O87" s="149">
        <v>51.0</v>
      </c>
      <c r="P87" s="149">
        <v>1632.4494056856</v>
      </c>
      <c r="Q87" s="149" t="s">
        <v>138</v>
      </c>
      <c r="R87" s="74"/>
      <c r="S87" s="74"/>
      <c r="T87" s="74"/>
      <c r="U87" s="74"/>
      <c r="V87" s="74"/>
      <c r="W87" s="74"/>
      <c r="X87" s="74"/>
      <c r="Y87" s="74"/>
      <c r="Z87" s="74"/>
    </row>
    <row r="88" ht="14.25" customHeight="1">
      <c r="A88" s="74"/>
      <c r="B88" s="145" t="s">
        <v>34</v>
      </c>
      <c r="C88" s="586">
        <v>1334.5305440000002</v>
      </c>
      <c r="D88" s="597" t="s">
        <v>1790</v>
      </c>
      <c r="E88" s="597">
        <v>0.0</v>
      </c>
      <c r="F88" s="597">
        <v>0.0</v>
      </c>
      <c r="G88" s="597">
        <v>1334.5305440000002</v>
      </c>
      <c r="H88" s="596" t="str">
        <f t="shared" si="2"/>
        <v>46337,8 kW*</v>
      </c>
      <c r="I88" s="81"/>
      <c r="J88" s="74"/>
      <c r="K88" s="118" t="s">
        <v>12</v>
      </c>
      <c r="L88" s="159">
        <v>25.0</v>
      </c>
      <c r="M88" s="159">
        <v>40.0</v>
      </c>
      <c r="N88" s="160">
        <v>1.02</v>
      </c>
      <c r="O88" s="160">
        <v>1.02</v>
      </c>
      <c r="P88" s="160">
        <f>62.74243314036/(M88-L88)</f>
        <v>4.182828876</v>
      </c>
      <c r="Q88" s="159" t="s">
        <v>143</v>
      </c>
      <c r="R88" s="74"/>
      <c r="S88" s="74"/>
      <c r="T88" s="74"/>
      <c r="U88" s="74"/>
      <c r="V88" s="74"/>
      <c r="W88" s="74"/>
      <c r="X88" s="74"/>
      <c r="Y88" s="74"/>
      <c r="Z88" s="74"/>
    </row>
    <row r="89" ht="14.2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4.25" customHeight="1">
      <c r="A90" s="74"/>
      <c r="B90" s="598" t="s">
        <v>300</v>
      </c>
      <c r="C90" s="599"/>
      <c r="D90" s="317"/>
      <c r="E90" s="317"/>
      <c r="F90" s="317"/>
      <c r="G90" s="317"/>
      <c r="H90" s="317"/>
      <c r="I90" s="317"/>
      <c r="J90" s="317"/>
      <c r="K90" s="317"/>
      <c r="L90" s="317"/>
      <c r="M90" s="317"/>
      <c r="N90" s="317"/>
      <c r="O90" s="74"/>
      <c r="P90" s="74"/>
      <c r="Q90" s="74"/>
      <c r="R90" s="74"/>
      <c r="S90" s="74"/>
      <c r="T90" s="74"/>
      <c r="U90" s="74"/>
      <c r="V90" s="74"/>
      <c r="W90" s="74"/>
      <c r="X90" s="74"/>
      <c r="Y90" s="74"/>
      <c r="Z90" s="74"/>
    </row>
    <row r="91" ht="14.25" customHeight="1">
      <c r="A91" s="74"/>
      <c r="B91" s="600" t="s">
        <v>8</v>
      </c>
      <c r="C91" s="317"/>
      <c r="D91" s="317"/>
      <c r="E91" s="317"/>
      <c r="F91" s="317"/>
      <c r="G91" s="317"/>
      <c r="H91" s="317"/>
      <c r="I91" s="600" t="s">
        <v>10</v>
      </c>
      <c r="J91" s="317"/>
      <c r="K91" s="317"/>
      <c r="L91" s="317"/>
      <c r="M91" s="317"/>
      <c r="N91" s="317"/>
      <c r="O91" s="74"/>
      <c r="P91" s="74"/>
      <c r="Q91" s="74"/>
      <c r="R91" s="74"/>
      <c r="S91" s="74"/>
      <c r="T91" s="74"/>
      <c r="U91" s="74"/>
      <c r="V91" s="74"/>
      <c r="W91" s="74"/>
      <c r="X91" s="74"/>
      <c r="Y91" s="74"/>
      <c r="Z91" s="74"/>
    </row>
    <row r="92" ht="14.25" customHeight="1">
      <c r="A92" s="74"/>
      <c r="B92" s="283" t="s">
        <v>301</v>
      </c>
      <c r="C92" s="283" t="s">
        <v>302</v>
      </c>
      <c r="D92" s="283" t="s">
        <v>303</v>
      </c>
      <c r="E92" s="283" t="s">
        <v>304</v>
      </c>
      <c r="F92" s="283" t="s">
        <v>305</v>
      </c>
      <c r="G92" s="283" t="s">
        <v>128</v>
      </c>
      <c r="H92" s="317"/>
      <c r="I92" s="283" t="s">
        <v>301</v>
      </c>
      <c r="J92" s="283" t="s">
        <v>302</v>
      </c>
      <c r="K92" s="283" t="s">
        <v>303</v>
      </c>
      <c r="L92" s="283" t="s">
        <v>304</v>
      </c>
      <c r="M92" s="283" t="s">
        <v>305</v>
      </c>
      <c r="N92" s="283" t="s">
        <v>128</v>
      </c>
      <c r="O92" s="74"/>
      <c r="P92" s="74"/>
      <c r="Q92" s="74"/>
      <c r="R92" s="74"/>
      <c r="S92" s="74"/>
      <c r="T92" s="74"/>
      <c r="U92" s="74"/>
      <c r="V92" s="74"/>
      <c r="W92" s="74"/>
      <c r="X92" s="74"/>
      <c r="Y92" s="74"/>
      <c r="Z92" s="74"/>
    </row>
    <row r="93" ht="14.25" customHeight="1">
      <c r="A93" s="74"/>
      <c r="B93" s="285" t="s">
        <v>1791</v>
      </c>
      <c r="C93" s="256" t="s">
        <v>1792</v>
      </c>
      <c r="D93" s="256">
        <v>20012.1</v>
      </c>
      <c r="E93" s="256">
        <v>76.3538</v>
      </c>
      <c r="F93" s="256">
        <f t="shared" ref="F93:F95" si="3">E93/H98</f>
        <v>36.41497639</v>
      </c>
      <c r="G93" s="285"/>
      <c r="H93" s="317"/>
      <c r="I93" s="285" t="s">
        <v>1793</v>
      </c>
      <c r="J93" s="256" t="s">
        <v>1792</v>
      </c>
      <c r="K93" s="256">
        <v>1.32373E7</v>
      </c>
      <c r="L93" s="256">
        <f t="shared" ref="L93:L96" si="4">K93*0.008</f>
        <v>105898.4</v>
      </c>
      <c r="M93" s="256">
        <v>56340.4</v>
      </c>
      <c r="N93" s="285"/>
      <c r="O93" s="74"/>
      <c r="P93" s="74"/>
      <c r="Q93" s="74"/>
      <c r="R93" s="74"/>
      <c r="S93" s="74"/>
      <c r="T93" s="74"/>
      <c r="U93" s="74"/>
      <c r="V93" s="74"/>
      <c r="W93" s="74"/>
      <c r="X93" s="74"/>
      <c r="Y93" s="74"/>
      <c r="Z93" s="74"/>
    </row>
    <row r="94" ht="14.25" customHeight="1">
      <c r="A94" s="74"/>
      <c r="B94" s="285" t="s">
        <v>1794</v>
      </c>
      <c r="C94" s="256" t="s">
        <v>1792</v>
      </c>
      <c r="D94" s="256">
        <v>1711.56</v>
      </c>
      <c r="E94" s="256">
        <v>6.53025</v>
      </c>
      <c r="F94" s="256">
        <f t="shared" si="3"/>
        <v>3.114672242</v>
      </c>
      <c r="G94" s="285"/>
      <c r="H94" s="317"/>
      <c r="I94" s="285" t="s">
        <v>1795</v>
      </c>
      <c r="J94" s="256" t="s">
        <v>729</v>
      </c>
      <c r="K94" s="256">
        <v>-39048.4</v>
      </c>
      <c r="L94" s="256">
        <f t="shared" si="4"/>
        <v>-312.3872</v>
      </c>
      <c r="M94" s="256">
        <v>-166.19749</v>
      </c>
      <c r="N94" s="285" t="s">
        <v>297</v>
      </c>
      <c r="O94" s="74"/>
      <c r="P94" s="74"/>
      <c r="Q94" s="74"/>
      <c r="R94" s="74"/>
      <c r="S94" s="74"/>
      <c r="T94" s="74"/>
      <c r="U94" s="74"/>
      <c r="V94" s="74"/>
      <c r="W94" s="74"/>
      <c r="X94" s="74"/>
      <c r="Y94" s="74"/>
      <c r="Z94" s="74"/>
    </row>
    <row r="95" ht="14.25" customHeight="1">
      <c r="A95" s="74"/>
      <c r="B95" s="285" t="s">
        <v>1796</v>
      </c>
      <c r="C95" s="256" t="s">
        <v>1792</v>
      </c>
      <c r="D95" s="256">
        <v>3171.34</v>
      </c>
      <c r="E95" s="256">
        <v>12.0999</v>
      </c>
      <c r="F95" s="256">
        <f t="shared" si="3"/>
        <v>5.770732148</v>
      </c>
      <c r="G95" s="285"/>
      <c r="H95" s="317"/>
      <c r="I95" s="285" t="s">
        <v>1797</v>
      </c>
      <c r="J95" s="256" t="s">
        <v>729</v>
      </c>
      <c r="K95" s="256">
        <v>-73491.9</v>
      </c>
      <c r="L95" s="256">
        <f t="shared" si="4"/>
        <v>-587.9352</v>
      </c>
      <c r="M95" s="256">
        <v>-312.796271</v>
      </c>
      <c r="N95" s="285" t="s">
        <v>297</v>
      </c>
      <c r="O95" s="74"/>
      <c r="P95" s="74"/>
      <c r="Q95" s="74"/>
      <c r="R95" s="74"/>
      <c r="S95" s="74"/>
      <c r="T95" s="74"/>
      <c r="U95" s="74"/>
      <c r="V95" s="74"/>
      <c r="W95" s="74"/>
      <c r="X95" s="74"/>
      <c r="Y95" s="74"/>
      <c r="Z95" s="74"/>
    </row>
    <row r="96" ht="14.25" customHeight="1">
      <c r="A96" s="74"/>
      <c r="B96" s="285" t="s">
        <v>1798</v>
      </c>
      <c r="C96" s="256" t="s">
        <v>1792</v>
      </c>
      <c r="D96" s="256">
        <v>51.0198</v>
      </c>
      <c r="E96" s="256">
        <v>0.19466</v>
      </c>
      <c r="F96" s="256">
        <f t="shared" ref="F96:F97" si="5">E96/H99</f>
        <v>0.09284515886</v>
      </c>
      <c r="G96" s="285"/>
      <c r="H96" s="317"/>
      <c r="I96" s="285" t="s">
        <v>1799</v>
      </c>
      <c r="J96" s="256" t="s">
        <v>729</v>
      </c>
      <c r="K96" s="256">
        <v>-155243.0</v>
      </c>
      <c r="L96" s="256">
        <f t="shared" si="4"/>
        <v>-1241.944</v>
      </c>
      <c r="M96" s="256">
        <v>-660.811458</v>
      </c>
      <c r="N96" s="285" t="s">
        <v>297</v>
      </c>
      <c r="O96" s="74"/>
      <c r="P96" s="74"/>
      <c r="Q96" s="74"/>
      <c r="R96" s="74"/>
      <c r="S96" s="74"/>
      <c r="T96" s="74"/>
      <c r="U96" s="74"/>
      <c r="V96" s="74"/>
      <c r="W96" s="74"/>
      <c r="X96" s="74"/>
      <c r="Y96" s="74"/>
      <c r="Z96" s="74"/>
    </row>
    <row r="97" ht="14.25" customHeight="1">
      <c r="A97" s="74"/>
      <c r="B97" s="285" t="s">
        <v>1800</v>
      </c>
      <c r="C97" s="256" t="s">
        <v>1792</v>
      </c>
      <c r="D97" s="256">
        <v>53346.0</v>
      </c>
      <c r="E97" s="256">
        <v>203.536</v>
      </c>
      <c r="F97" s="256">
        <f t="shared" si="5"/>
        <v>97.07119385</v>
      </c>
      <c r="G97" s="285"/>
      <c r="H97" s="317"/>
      <c r="I97" s="285"/>
      <c r="J97" s="256"/>
      <c r="K97" s="256"/>
      <c r="L97" s="256"/>
      <c r="M97" s="256"/>
      <c r="N97" s="285"/>
      <c r="O97" s="74"/>
      <c r="P97" s="74"/>
      <c r="Q97" s="74"/>
      <c r="R97" s="74"/>
      <c r="S97" s="74"/>
      <c r="T97" s="74"/>
      <c r="U97" s="74"/>
      <c r="V97" s="74"/>
      <c r="W97" s="74"/>
      <c r="X97" s="74"/>
      <c r="Y97" s="74"/>
      <c r="Z97" s="74"/>
    </row>
    <row r="98" ht="14.25" customHeight="1">
      <c r="A98" s="74"/>
      <c r="B98" s="285" t="s">
        <v>1801</v>
      </c>
      <c r="C98" s="256" t="s">
        <v>729</v>
      </c>
      <c r="D98" s="256">
        <v>-34755.8</v>
      </c>
      <c r="E98" s="256">
        <f t="shared" ref="E98:E100" si="6">D98*0.008</f>
        <v>-278.0464</v>
      </c>
      <c r="F98" s="256">
        <v>-132.607062</v>
      </c>
      <c r="G98" s="285" t="s">
        <v>297</v>
      </c>
      <c r="H98" s="317">
        <f t="shared" ref="H98:H100" si="7">E98/F98</f>
        <v>2.096769175</v>
      </c>
      <c r="I98" s="285"/>
      <c r="J98" s="256"/>
      <c r="K98" s="256"/>
      <c r="L98" s="256"/>
      <c r="M98" s="256">
        <f>SUM(M94:M96)</f>
        <v>-1139.805219</v>
      </c>
      <c r="N98" s="285"/>
      <c r="O98" s="74"/>
      <c r="P98" s="74"/>
      <c r="Q98" s="74"/>
      <c r="R98" s="74"/>
      <c r="S98" s="74"/>
      <c r="T98" s="74"/>
      <c r="U98" s="74"/>
      <c r="V98" s="74"/>
      <c r="W98" s="74"/>
      <c r="X98" s="74"/>
      <c r="Y98" s="74"/>
      <c r="Z98" s="74"/>
    </row>
    <row r="99" ht="14.25" customHeight="1">
      <c r="A99" s="74"/>
      <c r="B99" s="285" t="s">
        <v>1802</v>
      </c>
      <c r="C99" s="256" t="s">
        <v>729</v>
      </c>
      <c r="D99" s="256">
        <v>-43723.4</v>
      </c>
      <c r="E99" s="256">
        <f t="shared" si="6"/>
        <v>-349.7872</v>
      </c>
      <c r="F99" s="256">
        <v>-166.834728</v>
      </c>
      <c r="G99" s="285" t="s">
        <v>297</v>
      </c>
      <c r="H99" s="317">
        <f t="shared" si="7"/>
        <v>2.096609047</v>
      </c>
      <c r="I99" s="285"/>
      <c r="J99" s="256"/>
      <c r="K99" s="256"/>
      <c r="L99" s="285"/>
      <c r="M99" s="256"/>
      <c r="N99" s="285"/>
      <c r="O99" s="74"/>
      <c r="P99" s="74"/>
      <c r="Q99" s="74"/>
      <c r="R99" s="74"/>
      <c r="S99" s="74"/>
      <c r="T99" s="74"/>
      <c r="U99" s="74"/>
      <c r="V99" s="74"/>
      <c r="W99" s="74"/>
      <c r="X99" s="74"/>
      <c r="Y99" s="74"/>
      <c r="Z99" s="74"/>
    </row>
    <row r="100" ht="14.25" customHeight="1">
      <c r="A100" s="74"/>
      <c r="B100" s="285" t="s">
        <v>1803</v>
      </c>
      <c r="C100" s="256" t="s">
        <v>729</v>
      </c>
      <c r="D100" s="256">
        <v>-36002.1</v>
      </c>
      <c r="E100" s="256">
        <f t="shared" si="6"/>
        <v>-288.0168</v>
      </c>
      <c r="F100" s="256">
        <v>-137.362111</v>
      </c>
      <c r="G100" s="285" t="s">
        <v>297</v>
      </c>
      <c r="H100" s="317">
        <f t="shared" si="7"/>
        <v>2.096770339</v>
      </c>
      <c r="I100" s="107"/>
      <c r="J100" s="601"/>
      <c r="K100" s="601"/>
      <c r="L100" s="107"/>
      <c r="M100" s="601"/>
      <c r="N100" s="107"/>
      <c r="O100" s="74"/>
      <c r="P100" s="74"/>
      <c r="Q100" s="74"/>
      <c r="R100" s="74"/>
      <c r="S100" s="74"/>
      <c r="T100" s="74"/>
      <c r="U100" s="74"/>
      <c r="V100" s="74"/>
      <c r="W100" s="74"/>
      <c r="X100" s="74"/>
      <c r="Y100" s="74"/>
      <c r="Z100" s="74"/>
    </row>
    <row r="101" ht="14.25" customHeight="1">
      <c r="A101" s="74"/>
      <c r="B101" s="317"/>
      <c r="C101" s="317"/>
      <c r="D101" s="317"/>
      <c r="E101" s="317"/>
      <c r="F101" s="563">
        <f>F98+F99+F100</f>
        <v>-436.803901</v>
      </c>
      <c r="G101" s="317"/>
      <c r="H101" s="317"/>
      <c r="I101" s="317"/>
      <c r="J101" s="317"/>
      <c r="K101" s="317"/>
      <c r="L101" s="317"/>
      <c r="M101" s="317"/>
      <c r="N101" s="317"/>
      <c r="O101" s="74"/>
      <c r="P101" s="74"/>
      <c r="Q101" s="74"/>
      <c r="R101" s="74"/>
      <c r="S101" s="74"/>
      <c r="T101" s="74"/>
      <c r="U101" s="74"/>
      <c r="V101" s="74"/>
      <c r="W101" s="74"/>
      <c r="X101" s="74"/>
      <c r="Y101" s="74"/>
      <c r="Z101" s="74"/>
    </row>
    <row r="102" ht="14.25" customHeight="1">
      <c r="A102" s="74"/>
      <c r="B102" s="600" t="s">
        <v>11</v>
      </c>
      <c r="C102" s="317"/>
      <c r="D102" s="317"/>
      <c r="E102" s="317"/>
      <c r="F102" s="317"/>
      <c r="G102" s="317"/>
      <c r="H102" s="317"/>
      <c r="I102" s="600" t="s">
        <v>675</v>
      </c>
      <c r="J102" s="317"/>
      <c r="K102" s="317"/>
      <c r="L102" s="317"/>
      <c r="M102" s="317"/>
      <c r="N102" s="317"/>
      <c r="O102" s="74"/>
      <c r="P102" s="74"/>
      <c r="Q102" s="74"/>
      <c r="R102" s="74"/>
      <c r="S102" s="74"/>
      <c r="T102" s="74"/>
      <c r="U102" s="74"/>
      <c r="V102" s="74"/>
      <c r="W102" s="74"/>
      <c r="X102" s="74"/>
      <c r="Y102" s="74"/>
      <c r="Z102" s="74"/>
    </row>
    <row r="103" ht="14.25" customHeight="1">
      <c r="A103" s="74"/>
      <c r="B103" s="283" t="s">
        <v>301</v>
      </c>
      <c r="C103" s="283" t="s">
        <v>302</v>
      </c>
      <c r="D103" s="283" t="s">
        <v>303</v>
      </c>
      <c r="E103" s="283" t="s">
        <v>304</v>
      </c>
      <c r="F103" s="283" t="s">
        <v>305</v>
      </c>
      <c r="G103" s="283" t="s">
        <v>128</v>
      </c>
      <c r="H103" s="317"/>
      <c r="I103" s="283" t="s">
        <v>301</v>
      </c>
      <c r="J103" s="283" t="s">
        <v>302</v>
      </c>
      <c r="K103" s="283" t="s">
        <v>303</v>
      </c>
      <c r="L103" s="283" t="s">
        <v>304</v>
      </c>
      <c r="M103" s="283" t="s">
        <v>305</v>
      </c>
      <c r="N103" s="283" t="s">
        <v>128</v>
      </c>
      <c r="O103" s="74"/>
      <c r="P103" s="74"/>
      <c r="Q103" s="74"/>
      <c r="R103" s="74"/>
      <c r="S103" s="74"/>
      <c r="T103" s="74"/>
      <c r="U103" s="74"/>
      <c r="V103" s="74"/>
      <c r="W103" s="74"/>
      <c r="X103" s="74"/>
      <c r="Y103" s="74"/>
      <c r="Z103" s="74"/>
    </row>
    <row r="104" ht="14.25" customHeight="1">
      <c r="A104" s="74"/>
      <c r="B104" s="285" t="s">
        <v>1804</v>
      </c>
      <c r="C104" s="256" t="s">
        <v>1792</v>
      </c>
      <c r="D104" s="256">
        <v>362791.0</v>
      </c>
      <c r="E104" s="256">
        <f t="shared" ref="E104:E105" si="8">D104*0.008</f>
        <v>2902.328</v>
      </c>
      <c r="F104" s="256">
        <v>1777.9</v>
      </c>
      <c r="G104" s="285"/>
      <c r="H104" s="317"/>
      <c r="I104" s="285" t="s">
        <v>1805</v>
      </c>
      <c r="J104" s="256" t="s">
        <v>1792</v>
      </c>
      <c r="K104" s="256">
        <v>79583.4380761631</v>
      </c>
      <c r="L104" s="256">
        <f t="shared" ref="L104:L108" si="9">K104*0.008</f>
        <v>636.6675046</v>
      </c>
      <c r="M104" s="256">
        <f t="shared" ref="M104:M108" si="10">(L104/$L$109)*91.71</f>
        <v>28.77720152</v>
      </c>
      <c r="N104" s="602" t="s">
        <v>1806</v>
      </c>
      <c r="O104" s="74"/>
      <c r="P104" s="74"/>
      <c r="Q104" s="74"/>
      <c r="R104" s="74"/>
      <c r="S104" s="74"/>
      <c r="T104" s="74"/>
      <c r="U104" s="74"/>
      <c r="V104" s="74"/>
      <c r="W104" s="74"/>
      <c r="X104" s="74"/>
      <c r="Y104" s="74"/>
      <c r="Z104" s="74"/>
    </row>
    <row r="105" ht="14.25" customHeight="1">
      <c r="A105" s="74"/>
      <c r="B105" s="285" t="s">
        <v>1807</v>
      </c>
      <c r="C105" s="256" t="s">
        <v>729</v>
      </c>
      <c r="D105" s="256">
        <v>-357335.268996095</v>
      </c>
      <c r="E105" s="256">
        <f t="shared" si="8"/>
        <v>-2858.682152</v>
      </c>
      <c r="F105" s="256">
        <v>-1751.16126</v>
      </c>
      <c r="G105" s="285" t="s">
        <v>297</v>
      </c>
      <c r="H105" s="317"/>
      <c r="I105" s="285" t="s">
        <v>1808</v>
      </c>
      <c r="J105" s="256" t="s">
        <v>1792</v>
      </c>
      <c r="K105" s="256">
        <v>55823.80356058</v>
      </c>
      <c r="L105" s="256">
        <f t="shared" si="9"/>
        <v>446.5904285</v>
      </c>
      <c r="M105" s="256">
        <f t="shared" si="10"/>
        <v>20.18576834</v>
      </c>
      <c r="N105" s="603"/>
      <c r="O105" s="74"/>
      <c r="P105" s="74"/>
      <c r="Q105" s="74"/>
      <c r="R105" s="74"/>
      <c r="S105" s="74"/>
      <c r="T105" s="74"/>
      <c r="U105" s="74"/>
      <c r="V105" s="74"/>
      <c r="W105" s="74"/>
      <c r="X105" s="74"/>
      <c r="Y105" s="74"/>
      <c r="Z105" s="74"/>
    </row>
    <row r="106" ht="14.25" customHeight="1">
      <c r="A106" s="74"/>
      <c r="B106" s="285"/>
      <c r="C106" s="256"/>
      <c r="D106" s="256"/>
      <c r="E106" s="256"/>
      <c r="F106" s="256"/>
      <c r="G106" s="285"/>
      <c r="H106" s="317"/>
      <c r="I106" s="285" t="s">
        <v>1809</v>
      </c>
      <c r="J106" s="256" t="s">
        <v>1792</v>
      </c>
      <c r="K106" s="256">
        <v>23731.5552826</v>
      </c>
      <c r="L106" s="256">
        <f t="shared" si="9"/>
        <v>189.8524423</v>
      </c>
      <c r="M106" s="256">
        <f t="shared" si="10"/>
        <v>8.581279788</v>
      </c>
      <c r="N106" s="603"/>
      <c r="O106" s="74"/>
      <c r="P106" s="74"/>
      <c r="Q106" s="74"/>
      <c r="R106" s="74"/>
      <c r="S106" s="74"/>
      <c r="T106" s="74"/>
      <c r="U106" s="74"/>
      <c r="V106" s="74"/>
      <c r="W106" s="74"/>
      <c r="X106" s="74"/>
      <c r="Y106" s="74"/>
      <c r="Z106" s="74"/>
    </row>
    <row r="107" ht="14.25" customHeight="1">
      <c r="A107" s="74"/>
      <c r="B107" s="285"/>
      <c r="C107" s="256"/>
      <c r="D107" s="256"/>
      <c r="E107" s="285"/>
      <c r="F107" s="285"/>
      <c r="G107" s="285"/>
      <c r="H107" s="317"/>
      <c r="I107" s="285" t="s">
        <v>1810</v>
      </c>
      <c r="J107" s="256" t="s">
        <v>1792</v>
      </c>
      <c r="K107" s="256">
        <v>87061.52238311</v>
      </c>
      <c r="L107" s="256">
        <f t="shared" si="9"/>
        <v>696.4921791</v>
      </c>
      <c r="M107" s="256">
        <f t="shared" si="10"/>
        <v>31.48126086</v>
      </c>
      <c r="N107" s="603"/>
      <c r="O107" s="74"/>
      <c r="P107" s="74"/>
      <c r="Q107" s="74"/>
      <c r="R107" s="74"/>
      <c r="S107" s="74"/>
      <c r="T107" s="74"/>
      <c r="U107" s="74"/>
      <c r="V107" s="74"/>
      <c r="W107" s="74"/>
      <c r="X107" s="74"/>
      <c r="Y107" s="74"/>
      <c r="Z107" s="74"/>
    </row>
    <row r="108" ht="14.25" customHeight="1">
      <c r="A108" s="74"/>
      <c r="B108" s="285"/>
      <c r="C108" s="256"/>
      <c r="D108" s="256"/>
      <c r="E108" s="285"/>
      <c r="F108" s="285"/>
      <c r="G108" s="285"/>
      <c r="H108" s="317"/>
      <c r="I108" s="285" t="s">
        <v>1811</v>
      </c>
      <c r="J108" s="256" t="s">
        <v>1812</v>
      </c>
      <c r="K108" s="256">
        <v>7423.963860758</v>
      </c>
      <c r="L108" s="256">
        <f t="shared" si="9"/>
        <v>59.39171089</v>
      </c>
      <c r="M108" s="256">
        <f t="shared" si="10"/>
        <v>2.684489502</v>
      </c>
      <c r="N108" s="604"/>
      <c r="O108" s="74"/>
      <c r="P108" s="74"/>
      <c r="Q108" s="74"/>
      <c r="R108" s="74"/>
      <c r="S108" s="74"/>
      <c r="T108" s="74"/>
      <c r="U108" s="74"/>
      <c r="V108" s="74"/>
      <c r="W108" s="74"/>
      <c r="X108" s="74"/>
      <c r="Y108" s="74"/>
      <c r="Z108" s="74"/>
    </row>
    <row r="109" ht="14.25" customHeight="1">
      <c r="A109" s="74"/>
      <c r="B109" s="317"/>
      <c r="C109" s="317"/>
      <c r="D109" s="317"/>
      <c r="E109" s="317"/>
      <c r="F109" s="317"/>
      <c r="G109" s="317"/>
      <c r="H109" s="317"/>
      <c r="I109" s="317"/>
      <c r="J109" s="317"/>
      <c r="K109" s="317"/>
      <c r="L109" s="605">
        <f t="shared" ref="L109:M109" si="11">SUM(L104:L108)</f>
        <v>2028.994265</v>
      </c>
      <c r="M109" s="606">
        <f t="shared" si="11"/>
        <v>91.71</v>
      </c>
      <c r="N109" s="317"/>
      <c r="O109" s="74"/>
      <c r="P109" s="74"/>
      <c r="Q109" s="74"/>
      <c r="R109" s="74"/>
      <c r="S109" s="74"/>
      <c r="T109" s="74"/>
      <c r="U109" s="74"/>
      <c r="V109" s="74"/>
      <c r="W109" s="74"/>
      <c r="X109" s="74"/>
      <c r="Y109" s="74"/>
      <c r="Z109" s="74"/>
    </row>
    <row r="110" ht="14.25" customHeight="1">
      <c r="A110" s="74"/>
      <c r="B110" s="600" t="s">
        <v>12</v>
      </c>
      <c r="C110" s="317"/>
      <c r="D110" s="317"/>
      <c r="E110" s="317"/>
      <c r="F110" s="317"/>
      <c r="G110" s="317"/>
      <c r="H110" s="317"/>
      <c r="I110" s="600" t="s">
        <v>1813</v>
      </c>
      <c r="J110" s="317"/>
      <c r="K110" s="317"/>
      <c r="L110" s="317"/>
      <c r="M110" s="317"/>
      <c r="N110" s="317"/>
      <c r="O110" s="74"/>
      <c r="P110" s="74"/>
      <c r="Q110" s="74"/>
      <c r="R110" s="74"/>
      <c r="S110" s="74"/>
      <c r="T110" s="74"/>
      <c r="U110" s="74"/>
      <c r="V110" s="74"/>
      <c r="W110" s="74"/>
      <c r="X110" s="74"/>
      <c r="Y110" s="74"/>
      <c r="Z110" s="74"/>
    </row>
    <row r="111" ht="14.25" customHeight="1">
      <c r="A111" s="74"/>
      <c r="B111" s="283" t="s">
        <v>301</v>
      </c>
      <c r="C111" s="283" t="s">
        <v>302</v>
      </c>
      <c r="D111" s="283" t="s">
        <v>303</v>
      </c>
      <c r="E111" s="283" t="s">
        <v>304</v>
      </c>
      <c r="F111" s="283" t="s">
        <v>305</v>
      </c>
      <c r="G111" s="283" t="s">
        <v>128</v>
      </c>
      <c r="H111" s="317"/>
      <c r="I111" s="283" t="s">
        <v>301</v>
      </c>
      <c r="J111" s="283" t="s">
        <v>302</v>
      </c>
      <c r="K111" s="283" t="s">
        <v>303</v>
      </c>
      <c r="L111" s="283" t="s">
        <v>304</v>
      </c>
      <c r="M111" s="283" t="s">
        <v>305</v>
      </c>
      <c r="N111" s="283" t="s">
        <v>128</v>
      </c>
      <c r="O111" s="74"/>
      <c r="P111" s="74"/>
      <c r="Q111" s="74"/>
      <c r="R111" s="74"/>
      <c r="S111" s="74"/>
      <c r="T111" s="74"/>
      <c r="U111" s="74"/>
      <c r="V111" s="74"/>
      <c r="W111" s="74"/>
      <c r="X111" s="74"/>
      <c r="Y111" s="74"/>
      <c r="Z111" s="74"/>
    </row>
    <row r="112" ht="14.25" customHeight="1">
      <c r="A112" s="74"/>
      <c r="B112" s="285" t="s">
        <v>1814</v>
      </c>
      <c r="C112" s="256" t="s">
        <v>729</v>
      </c>
      <c r="D112" s="256">
        <v>254745.0</v>
      </c>
      <c r="E112" s="256">
        <f t="shared" ref="E112:E115" si="12">D112*0.008</f>
        <v>2037.96</v>
      </c>
      <c r="F112" s="256">
        <v>32481.4</v>
      </c>
      <c r="G112" s="285"/>
      <c r="H112" s="317"/>
      <c r="I112" s="285" t="s">
        <v>1815</v>
      </c>
      <c r="J112" s="256" t="s">
        <v>729</v>
      </c>
      <c r="K112" s="256">
        <v>55562.4</v>
      </c>
      <c r="L112" s="256">
        <f>K112*0.008</f>
        <v>444.4992</v>
      </c>
      <c r="M112" s="256">
        <v>575100.0</v>
      </c>
      <c r="N112" s="285"/>
      <c r="O112" s="74"/>
      <c r="P112" s="74"/>
      <c r="Q112" s="74"/>
      <c r="R112" s="74"/>
      <c r="S112" s="74"/>
      <c r="T112" s="74"/>
      <c r="U112" s="74"/>
      <c r="V112" s="74"/>
      <c r="W112" s="74"/>
      <c r="X112" s="74"/>
      <c r="Y112" s="74"/>
      <c r="Z112" s="74"/>
    </row>
    <row r="113" ht="14.25" customHeight="1">
      <c r="A113" s="74"/>
      <c r="B113" s="285" t="s">
        <v>1816</v>
      </c>
      <c r="C113" s="256" t="s">
        <v>1817</v>
      </c>
      <c r="D113" s="256">
        <v>9248960.0</v>
      </c>
      <c r="E113" s="256">
        <f t="shared" si="12"/>
        <v>73991.68</v>
      </c>
      <c r="F113" s="256">
        <v>1179290.0</v>
      </c>
      <c r="G113" s="285"/>
      <c r="H113" s="317"/>
      <c r="I113" s="245"/>
      <c r="J113" s="245"/>
      <c r="K113" s="245"/>
      <c r="L113" s="245"/>
      <c r="M113" s="245"/>
      <c r="N113" s="245"/>
      <c r="O113" s="74"/>
      <c r="P113" s="74"/>
      <c r="Q113" s="74"/>
      <c r="R113" s="74"/>
      <c r="S113" s="74"/>
      <c r="T113" s="74"/>
      <c r="U113" s="74"/>
      <c r="V113" s="74"/>
      <c r="W113" s="74"/>
      <c r="X113" s="74"/>
      <c r="Y113" s="74"/>
      <c r="Z113" s="74"/>
    </row>
    <row r="114" ht="14.25" customHeight="1">
      <c r="A114" s="74"/>
      <c r="B114" s="285" t="s">
        <v>1818</v>
      </c>
      <c r="C114" s="256" t="s">
        <v>1819</v>
      </c>
      <c r="D114" s="256">
        <v>45115.0</v>
      </c>
      <c r="E114" s="256">
        <f t="shared" si="12"/>
        <v>360.92</v>
      </c>
      <c r="F114" s="256">
        <v>5752.41</v>
      </c>
      <c r="G114" s="285"/>
      <c r="H114" s="317"/>
      <c r="I114" s="600" t="s">
        <v>478</v>
      </c>
      <c r="J114" s="317"/>
      <c r="K114" s="317"/>
      <c r="L114" s="317"/>
      <c r="M114" s="317"/>
      <c r="N114" s="317"/>
      <c r="O114" s="74"/>
      <c r="P114" s="74"/>
      <c r="Q114" s="74"/>
      <c r="R114" s="74"/>
      <c r="S114" s="74"/>
      <c r="T114" s="74"/>
      <c r="U114" s="74"/>
      <c r="V114" s="74"/>
      <c r="W114" s="74"/>
      <c r="X114" s="74"/>
      <c r="Y114" s="74"/>
      <c r="Z114" s="74"/>
    </row>
    <row r="115" ht="14.25" customHeight="1">
      <c r="A115" s="74"/>
      <c r="B115" s="285" t="s">
        <v>1820</v>
      </c>
      <c r="C115" s="256" t="s">
        <v>1819</v>
      </c>
      <c r="D115" s="256">
        <v>17378.5</v>
      </c>
      <c r="E115" s="256">
        <f t="shared" si="12"/>
        <v>139.028</v>
      </c>
      <c r="F115" s="256">
        <v>2215.86</v>
      </c>
      <c r="G115" s="285"/>
      <c r="H115" s="317"/>
      <c r="I115" s="283" t="s">
        <v>301</v>
      </c>
      <c r="J115" s="283" t="s">
        <v>302</v>
      </c>
      <c r="K115" s="283" t="s">
        <v>303</v>
      </c>
      <c r="L115" s="283" t="s">
        <v>304</v>
      </c>
      <c r="M115" s="283" t="s">
        <v>305</v>
      </c>
      <c r="N115" s="283" t="s">
        <v>128</v>
      </c>
      <c r="O115" s="74"/>
      <c r="P115" s="74"/>
      <c r="Q115" s="74"/>
      <c r="R115" s="74"/>
      <c r="S115" s="74"/>
      <c r="T115" s="74"/>
      <c r="U115" s="74"/>
      <c r="V115" s="74"/>
      <c r="W115" s="74"/>
      <c r="X115" s="74"/>
      <c r="Y115" s="74"/>
      <c r="Z115" s="74"/>
    </row>
    <row r="116" ht="14.25" customHeight="1">
      <c r="A116" s="74"/>
      <c r="B116" s="245"/>
      <c r="C116" s="245"/>
      <c r="D116" s="245"/>
      <c r="E116" s="245"/>
      <c r="F116" s="329">
        <f>SUM(F112:F115)</f>
        <v>1219739.67</v>
      </c>
      <c r="G116" s="245"/>
      <c r="H116" s="317"/>
      <c r="I116" s="285" t="s">
        <v>1821</v>
      </c>
      <c r="J116" s="256" t="s">
        <v>729</v>
      </c>
      <c r="K116" s="256">
        <v>809236.0</v>
      </c>
      <c r="L116" s="256">
        <f t="shared" ref="L116:L117" si="13">K116*0.008</f>
        <v>6473.888</v>
      </c>
      <c r="M116" s="256">
        <v>591470.0</v>
      </c>
      <c r="N116" s="285"/>
      <c r="O116" s="74"/>
      <c r="P116" s="74"/>
      <c r="Q116" s="74"/>
      <c r="R116" s="74"/>
      <c r="S116" s="74"/>
      <c r="T116" s="74"/>
      <c r="U116" s="74"/>
      <c r="V116" s="74"/>
      <c r="W116" s="74"/>
      <c r="X116" s="74"/>
      <c r="Y116" s="74"/>
      <c r="Z116" s="74"/>
    </row>
    <row r="117" ht="14.25" customHeight="1">
      <c r="A117" s="74"/>
      <c r="B117" s="245"/>
      <c r="C117" s="245"/>
      <c r="D117" s="245"/>
      <c r="E117" s="245"/>
      <c r="F117" s="245"/>
      <c r="G117" s="245"/>
      <c r="H117" s="317"/>
      <c r="I117" s="285" t="s">
        <v>1822</v>
      </c>
      <c r="J117" s="256" t="s">
        <v>729</v>
      </c>
      <c r="K117" s="256">
        <v>4014620.0</v>
      </c>
      <c r="L117" s="256">
        <f t="shared" si="13"/>
        <v>32116.96</v>
      </c>
      <c r="M117" s="256">
        <v>2934280.0</v>
      </c>
      <c r="N117" s="285"/>
      <c r="O117" s="74"/>
      <c r="P117" s="74"/>
      <c r="Q117" s="74"/>
      <c r="R117" s="74"/>
      <c r="S117" s="74"/>
      <c r="T117" s="74"/>
      <c r="U117" s="74"/>
      <c r="V117" s="74"/>
      <c r="W117" s="74"/>
      <c r="X117" s="74"/>
      <c r="Y117" s="74"/>
      <c r="Z117" s="74"/>
    </row>
    <row r="118" ht="14.25" customHeight="1">
      <c r="A118" s="74"/>
      <c r="B118" s="317"/>
      <c r="C118" s="317"/>
      <c r="D118" s="317"/>
      <c r="E118" s="317"/>
      <c r="F118" s="317"/>
      <c r="G118" s="317"/>
      <c r="H118" s="317"/>
      <c r="I118" s="317"/>
      <c r="J118" s="317"/>
      <c r="K118" s="317"/>
      <c r="L118" s="317"/>
      <c r="M118" s="563">
        <f>SUM(M116:M117)</f>
        <v>3525750</v>
      </c>
      <c r="N118" s="317"/>
      <c r="O118" s="74"/>
      <c r="P118" s="74"/>
      <c r="Q118" s="74"/>
      <c r="R118" s="74"/>
      <c r="S118" s="74"/>
      <c r="T118" s="74"/>
      <c r="U118" s="74"/>
      <c r="V118" s="74"/>
      <c r="W118" s="74"/>
      <c r="X118" s="74"/>
      <c r="Y118" s="74"/>
      <c r="Z118" s="74"/>
    </row>
    <row r="119" ht="14.25" customHeight="1">
      <c r="A119" s="74"/>
      <c r="B119" s="600" t="s">
        <v>567</v>
      </c>
      <c r="C119" s="317"/>
      <c r="D119" s="317"/>
      <c r="E119" s="317"/>
      <c r="F119" s="317"/>
      <c r="G119" s="317"/>
      <c r="H119" s="317"/>
      <c r="I119" s="600" t="s">
        <v>1823</v>
      </c>
      <c r="J119" s="317"/>
      <c r="K119" s="317"/>
      <c r="L119" s="317"/>
      <c r="M119" s="317"/>
      <c r="N119" s="317"/>
      <c r="O119" s="74"/>
      <c r="P119" s="74"/>
      <c r="Q119" s="74"/>
      <c r="R119" s="74"/>
      <c r="S119" s="74"/>
      <c r="T119" s="74"/>
      <c r="U119" s="74"/>
      <c r="V119" s="74"/>
      <c r="W119" s="74"/>
      <c r="X119" s="74"/>
      <c r="Y119" s="74"/>
      <c r="Z119" s="74"/>
    </row>
    <row r="120" ht="14.25" customHeight="1">
      <c r="A120" s="74"/>
      <c r="B120" s="283" t="s">
        <v>301</v>
      </c>
      <c r="C120" s="283" t="s">
        <v>302</v>
      </c>
      <c r="D120" s="283" t="s">
        <v>303</v>
      </c>
      <c r="E120" s="283" t="s">
        <v>304</v>
      </c>
      <c r="F120" s="283" t="s">
        <v>305</v>
      </c>
      <c r="G120" s="283" t="s">
        <v>128</v>
      </c>
      <c r="H120" s="317"/>
      <c r="I120" s="283" t="s">
        <v>301</v>
      </c>
      <c r="J120" s="283" t="s">
        <v>302</v>
      </c>
      <c r="K120" s="283" t="s">
        <v>303</v>
      </c>
      <c r="L120" s="283" t="s">
        <v>304</v>
      </c>
      <c r="M120" s="283" t="s">
        <v>305</v>
      </c>
      <c r="N120" s="283" t="s">
        <v>128</v>
      </c>
      <c r="O120" s="74"/>
      <c r="P120" s="74"/>
      <c r="Q120" s="74"/>
      <c r="R120" s="74"/>
      <c r="S120" s="74"/>
      <c r="T120" s="74"/>
      <c r="U120" s="74"/>
      <c r="V120" s="74"/>
      <c r="W120" s="74"/>
      <c r="X120" s="74"/>
      <c r="Y120" s="74"/>
      <c r="Z120" s="74"/>
    </row>
    <row r="121" ht="14.25" customHeight="1">
      <c r="A121" s="74"/>
      <c r="B121" s="285" t="s">
        <v>1824</v>
      </c>
      <c r="C121" s="256" t="s">
        <v>729</v>
      </c>
      <c r="D121" s="256">
        <v>638005.0</v>
      </c>
      <c r="E121" s="256">
        <f>D121*0.008</f>
        <v>5104.04</v>
      </c>
      <c r="F121" s="256">
        <v>3118810.0</v>
      </c>
      <c r="G121" s="285"/>
      <c r="H121" s="317"/>
      <c r="I121" s="285" t="s">
        <v>1825</v>
      </c>
      <c r="J121" s="256" t="s">
        <v>729</v>
      </c>
      <c r="K121" s="256">
        <v>55780.2</v>
      </c>
      <c r="L121" s="285">
        <f t="shared" ref="L121:L122" si="14">K121*0.008</f>
        <v>446.2416</v>
      </c>
      <c r="M121" s="256">
        <v>2190.32</v>
      </c>
      <c r="N121" s="285"/>
      <c r="O121" s="74"/>
      <c r="P121" s="74"/>
      <c r="Q121" s="74"/>
      <c r="R121" s="74"/>
      <c r="S121" s="74"/>
      <c r="T121" s="74"/>
      <c r="U121" s="74"/>
      <c r="V121" s="74"/>
      <c r="W121" s="74"/>
      <c r="X121" s="74"/>
      <c r="Y121" s="74"/>
      <c r="Z121" s="74"/>
    </row>
    <row r="122" ht="14.25" customHeight="1">
      <c r="A122" s="74"/>
      <c r="B122" s="285"/>
      <c r="C122" s="256"/>
      <c r="D122" s="256"/>
      <c r="E122" s="285"/>
      <c r="F122" s="285"/>
      <c r="G122" s="285"/>
      <c r="H122" s="317"/>
      <c r="I122" s="285" t="s">
        <v>1800</v>
      </c>
      <c r="J122" s="256" t="s">
        <v>1826</v>
      </c>
      <c r="K122" s="256">
        <v>58187.5</v>
      </c>
      <c r="L122" s="285">
        <f t="shared" si="14"/>
        <v>465.5</v>
      </c>
      <c r="M122" s="256">
        <v>2284.85</v>
      </c>
      <c r="N122" s="285"/>
      <c r="O122" s="74"/>
      <c r="P122" s="74"/>
      <c r="Q122" s="74"/>
      <c r="R122" s="74"/>
      <c r="S122" s="74"/>
      <c r="T122" s="74"/>
      <c r="U122" s="74"/>
      <c r="V122" s="74"/>
      <c r="W122" s="74"/>
      <c r="X122" s="74"/>
      <c r="Y122" s="74"/>
      <c r="Z122" s="74"/>
    </row>
    <row r="123" ht="14.25" customHeight="1">
      <c r="A123" s="74"/>
      <c r="B123" s="285"/>
      <c r="C123" s="256"/>
      <c r="D123" s="256"/>
      <c r="E123" s="285"/>
      <c r="F123" s="285"/>
      <c r="G123" s="285"/>
      <c r="H123" s="317"/>
      <c r="I123" s="285"/>
      <c r="J123" s="256"/>
      <c r="K123" s="256"/>
      <c r="L123" s="285"/>
      <c r="M123" s="285"/>
      <c r="N123" s="285"/>
      <c r="O123" s="74"/>
      <c r="P123" s="74"/>
      <c r="Q123" s="74"/>
      <c r="R123" s="74"/>
      <c r="S123" s="74"/>
      <c r="T123" s="74"/>
      <c r="U123" s="74"/>
      <c r="V123" s="74"/>
      <c r="W123" s="74"/>
      <c r="X123" s="74"/>
      <c r="Y123" s="74"/>
      <c r="Z123" s="74"/>
    </row>
    <row r="124" ht="14.25" customHeight="1">
      <c r="A124" s="74"/>
      <c r="B124" s="317"/>
      <c r="C124" s="317"/>
      <c r="D124" s="317"/>
      <c r="E124" s="317"/>
      <c r="F124" s="317"/>
      <c r="G124" s="317"/>
      <c r="H124" s="317"/>
      <c r="I124" s="317"/>
      <c r="J124" s="317"/>
      <c r="K124" s="317"/>
      <c r="L124" s="317"/>
      <c r="M124" s="317"/>
      <c r="N124" s="317"/>
      <c r="O124" s="74"/>
      <c r="P124" s="74"/>
      <c r="Q124" s="74"/>
      <c r="R124" s="74"/>
      <c r="S124" s="74"/>
      <c r="T124" s="74"/>
      <c r="U124" s="74"/>
      <c r="V124" s="74"/>
      <c r="W124" s="74"/>
      <c r="X124" s="74"/>
      <c r="Y124" s="74"/>
      <c r="Z124" s="74"/>
    </row>
    <row r="125" ht="14.25" customHeight="1">
      <c r="A125" s="74"/>
      <c r="B125" s="245"/>
      <c r="C125" s="245"/>
      <c r="D125" s="245"/>
      <c r="E125" s="245"/>
      <c r="F125" s="245"/>
      <c r="G125" s="245"/>
      <c r="H125" s="245"/>
      <c r="I125" s="245"/>
      <c r="J125" s="245"/>
      <c r="K125" s="245"/>
      <c r="L125" s="245"/>
      <c r="M125" s="245"/>
      <c r="N125" s="245"/>
      <c r="O125" s="74"/>
      <c r="P125" s="74"/>
      <c r="Q125" s="74"/>
      <c r="R125" s="74"/>
      <c r="S125" s="74"/>
      <c r="T125" s="74"/>
      <c r="U125" s="74"/>
      <c r="V125" s="74"/>
      <c r="W125" s="74"/>
      <c r="X125" s="74"/>
      <c r="Y125" s="74"/>
      <c r="Z125" s="74"/>
    </row>
    <row r="126" ht="14.25" customHeight="1">
      <c r="A126" s="74"/>
      <c r="B126" s="318" t="s">
        <v>34</v>
      </c>
      <c r="C126" s="245"/>
      <c r="D126" s="245"/>
      <c r="E126" s="245"/>
      <c r="F126" s="245"/>
      <c r="G126" s="245"/>
      <c r="H126" s="245"/>
      <c r="I126" s="316"/>
      <c r="J126" s="317"/>
      <c r="K126" s="317"/>
      <c r="L126" s="317"/>
      <c r="M126" s="317"/>
      <c r="N126" s="317"/>
      <c r="O126" s="74"/>
      <c r="P126" s="74"/>
      <c r="Q126" s="74"/>
      <c r="R126" s="74"/>
      <c r="S126" s="74"/>
      <c r="T126" s="74"/>
      <c r="U126" s="74"/>
      <c r="V126" s="74"/>
      <c r="W126" s="74"/>
      <c r="X126" s="74"/>
      <c r="Y126" s="74"/>
      <c r="Z126" s="74"/>
    </row>
    <row r="127" ht="14.25" customHeight="1">
      <c r="A127" s="74"/>
      <c r="B127" s="246" t="s">
        <v>301</v>
      </c>
      <c r="C127" s="246" t="s">
        <v>302</v>
      </c>
      <c r="D127" s="246" t="s">
        <v>303</v>
      </c>
      <c r="E127" s="313" t="s">
        <v>304</v>
      </c>
      <c r="F127" s="246" t="s">
        <v>1827</v>
      </c>
      <c r="G127" s="246" t="s">
        <v>128</v>
      </c>
      <c r="H127" s="245"/>
      <c r="I127" s="316"/>
      <c r="J127" s="316"/>
      <c r="K127" s="316"/>
      <c r="L127" s="316"/>
      <c r="M127" s="316"/>
      <c r="N127" s="316"/>
      <c r="O127" s="74"/>
      <c r="P127" s="74"/>
      <c r="Q127" s="74"/>
      <c r="R127" s="74"/>
      <c r="S127" s="74"/>
      <c r="T127" s="74"/>
      <c r="U127" s="74"/>
      <c r="V127" s="74"/>
      <c r="W127" s="74"/>
      <c r="X127" s="74"/>
      <c r="Y127" s="74"/>
      <c r="Z127" s="74"/>
    </row>
    <row r="128" ht="14.25" customHeight="1">
      <c r="A128" s="74"/>
      <c r="B128" s="344" t="s">
        <v>1828</v>
      </c>
      <c r="C128" s="607" t="s">
        <v>1829</v>
      </c>
      <c r="D128" s="345">
        <v>31373.1</v>
      </c>
      <c r="E128" s="530">
        <f t="shared" ref="E128:E132" si="15">D128*0.008</f>
        <v>250.9848</v>
      </c>
      <c r="F128" s="345">
        <v>8714.75</v>
      </c>
      <c r="G128" s="344"/>
      <c r="H128" s="245"/>
      <c r="I128" s="317"/>
      <c r="J128" s="563"/>
      <c r="K128" s="563"/>
      <c r="L128" s="563"/>
      <c r="M128" s="563"/>
      <c r="N128" s="317"/>
      <c r="O128" s="74"/>
      <c r="P128" s="74"/>
      <c r="Q128" s="74"/>
      <c r="R128" s="74"/>
      <c r="S128" s="74"/>
      <c r="T128" s="74"/>
      <c r="U128" s="74"/>
      <c r="V128" s="74"/>
      <c r="W128" s="74"/>
      <c r="X128" s="74"/>
      <c r="Y128" s="74"/>
      <c r="Z128" s="74"/>
    </row>
    <row r="129" ht="14.25" customHeight="1">
      <c r="A129" s="74"/>
      <c r="B129" s="344" t="s">
        <v>1830</v>
      </c>
      <c r="C129" s="607" t="s">
        <v>1829</v>
      </c>
      <c r="D129" s="345">
        <v>101.118</v>
      </c>
      <c r="E129" s="530">
        <f t="shared" si="15"/>
        <v>0.808944</v>
      </c>
      <c r="F129" s="345">
        <v>28.0883</v>
      </c>
      <c r="G129" s="344"/>
      <c r="H129" s="245"/>
      <c r="I129" s="245"/>
      <c r="J129" s="245"/>
      <c r="K129" s="245"/>
      <c r="L129" s="245"/>
      <c r="M129" s="245"/>
      <c r="N129" s="245"/>
      <c r="O129" s="74"/>
      <c r="P129" s="74"/>
      <c r="Q129" s="74"/>
      <c r="R129" s="74"/>
      <c r="S129" s="74"/>
      <c r="T129" s="74"/>
      <c r="U129" s="74"/>
      <c r="V129" s="74"/>
      <c r="W129" s="74"/>
      <c r="X129" s="74"/>
      <c r="Y129" s="74"/>
      <c r="Z129" s="74"/>
    </row>
    <row r="130" ht="14.25" customHeight="1">
      <c r="A130" s="74"/>
      <c r="B130" s="344" t="s">
        <v>1831</v>
      </c>
      <c r="C130" s="345" t="s">
        <v>1832</v>
      </c>
      <c r="D130" s="345">
        <v>45946.0</v>
      </c>
      <c r="E130" s="530">
        <f t="shared" si="15"/>
        <v>367.568</v>
      </c>
      <c r="F130" s="345">
        <v>12762.8</v>
      </c>
      <c r="G130" s="344"/>
      <c r="H130" s="245"/>
      <c r="I130" s="245"/>
      <c r="J130" s="245"/>
      <c r="K130" s="245"/>
      <c r="L130" s="245"/>
      <c r="M130" s="245"/>
      <c r="N130" s="245"/>
      <c r="O130" s="74"/>
      <c r="P130" s="74"/>
      <c r="Q130" s="74"/>
      <c r="R130" s="74"/>
      <c r="S130" s="74"/>
      <c r="T130" s="74"/>
      <c r="U130" s="74"/>
      <c r="V130" s="74"/>
      <c r="W130" s="74"/>
      <c r="X130" s="74"/>
      <c r="Y130" s="74"/>
      <c r="Z130" s="74"/>
    </row>
    <row r="131" ht="14.25" customHeight="1">
      <c r="A131" s="74"/>
      <c r="B131" s="344" t="s">
        <v>1818</v>
      </c>
      <c r="C131" s="607" t="s">
        <v>1819</v>
      </c>
      <c r="D131" s="345">
        <v>53691.2</v>
      </c>
      <c r="E131" s="530">
        <f t="shared" si="15"/>
        <v>429.5296</v>
      </c>
      <c r="F131" s="345">
        <v>14914.2</v>
      </c>
      <c r="G131" s="344"/>
      <c r="H131" s="245"/>
      <c r="I131" s="245"/>
      <c r="J131" s="245"/>
      <c r="K131" s="245"/>
      <c r="L131" s="245"/>
      <c r="M131" s="245"/>
      <c r="N131" s="245"/>
      <c r="O131" s="74"/>
      <c r="P131" s="74"/>
      <c r="Q131" s="74"/>
      <c r="R131" s="74"/>
      <c r="S131" s="74"/>
      <c r="T131" s="74"/>
      <c r="U131" s="74"/>
      <c r="V131" s="74"/>
      <c r="W131" s="74"/>
      <c r="X131" s="74"/>
      <c r="Y131" s="74"/>
      <c r="Z131" s="74"/>
    </row>
    <row r="132" ht="14.25" customHeight="1">
      <c r="A132" s="74"/>
      <c r="B132" s="344" t="s">
        <v>1820</v>
      </c>
      <c r="C132" s="607" t="s">
        <v>1819</v>
      </c>
      <c r="D132" s="345">
        <v>35704.9</v>
      </c>
      <c r="E132" s="530">
        <f t="shared" si="15"/>
        <v>285.6392</v>
      </c>
      <c r="F132" s="345">
        <v>9918.01</v>
      </c>
      <c r="G132" s="344"/>
      <c r="H132" s="245"/>
      <c r="I132" s="245"/>
      <c r="J132" s="245"/>
      <c r="K132" s="245"/>
      <c r="L132" s="245"/>
      <c r="M132" s="245"/>
      <c r="N132" s="245"/>
      <c r="O132" s="74"/>
      <c r="P132" s="74"/>
      <c r="Q132" s="74"/>
      <c r="R132" s="74"/>
      <c r="S132" s="74"/>
      <c r="T132" s="74"/>
      <c r="U132" s="74"/>
      <c r="V132" s="74"/>
      <c r="W132" s="74"/>
      <c r="X132" s="74"/>
      <c r="Y132" s="74"/>
      <c r="Z132" s="74"/>
    </row>
    <row r="133" ht="14.25" customHeight="1">
      <c r="A133" s="74"/>
      <c r="B133" s="245"/>
      <c r="C133" s="245"/>
      <c r="D133" s="245"/>
      <c r="E133" s="245"/>
      <c r="F133" s="329">
        <f>SUM(F128:F132)</f>
        <v>46337.8483</v>
      </c>
      <c r="G133" s="245"/>
      <c r="H133" s="245"/>
      <c r="I133" s="245"/>
      <c r="J133" s="245"/>
      <c r="K133" s="245"/>
      <c r="L133" s="245"/>
      <c r="M133" s="245"/>
      <c r="N133" s="245"/>
      <c r="O133" s="74"/>
      <c r="P133" s="74"/>
      <c r="Q133" s="74"/>
      <c r="R133" s="74"/>
      <c r="S133" s="74"/>
      <c r="T133" s="74"/>
      <c r="U133" s="74"/>
      <c r="V133" s="74"/>
      <c r="W133" s="74"/>
      <c r="X133" s="74"/>
      <c r="Y133" s="74"/>
      <c r="Z133" s="74"/>
    </row>
    <row r="134" ht="14.25" customHeight="1">
      <c r="A134" s="74"/>
      <c r="B134" s="245"/>
      <c r="C134" s="245"/>
      <c r="D134" s="245"/>
      <c r="E134" s="245"/>
      <c r="F134" s="245"/>
      <c r="G134" s="245"/>
      <c r="H134" s="245"/>
      <c r="I134" s="245"/>
      <c r="J134" s="245"/>
      <c r="K134" s="245"/>
      <c r="L134" s="245"/>
      <c r="M134" s="245"/>
      <c r="N134" s="245"/>
      <c r="O134" s="74"/>
      <c r="P134" s="74"/>
      <c r="Q134" s="74"/>
      <c r="R134" s="74"/>
      <c r="S134" s="74"/>
      <c r="T134" s="74"/>
      <c r="U134" s="74"/>
      <c r="V134" s="74"/>
      <c r="W134" s="74"/>
      <c r="X134" s="74"/>
      <c r="Y134" s="74"/>
      <c r="Z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4.25" customHeight="1">
      <c r="A138" s="74"/>
      <c r="B138" s="267" t="s">
        <v>167</v>
      </c>
      <c r="C138" s="376" t="s">
        <v>168</v>
      </c>
      <c r="D138" s="377"/>
      <c r="E138" s="324"/>
      <c r="F138" s="74"/>
      <c r="G138" s="74"/>
      <c r="H138" s="74"/>
      <c r="I138" s="74"/>
      <c r="J138" s="74"/>
      <c r="K138" s="74"/>
      <c r="L138" s="74"/>
      <c r="M138" s="74"/>
      <c r="N138" s="74"/>
      <c r="O138" s="74"/>
      <c r="P138" s="74"/>
      <c r="Q138" s="74"/>
      <c r="R138" s="74"/>
      <c r="S138" s="74"/>
      <c r="T138" s="74"/>
      <c r="U138" s="74"/>
      <c r="V138" s="74"/>
      <c r="W138" s="74"/>
      <c r="X138" s="74"/>
      <c r="Y138" s="74"/>
      <c r="Z138" s="74"/>
    </row>
    <row r="139" ht="14.25" customHeight="1">
      <c r="A139" s="74"/>
      <c r="B139" s="608" t="s">
        <v>696</v>
      </c>
      <c r="C139" s="609" t="s">
        <v>1833</v>
      </c>
      <c r="D139" s="93"/>
      <c r="E139" s="94"/>
      <c r="F139" s="74"/>
      <c r="G139" s="74"/>
      <c r="H139" s="74"/>
      <c r="I139" s="74"/>
      <c r="J139" s="74"/>
      <c r="K139" s="74"/>
      <c r="L139" s="74"/>
      <c r="M139" s="74"/>
      <c r="N139" s="74"/>
      <c r="O139" s="74"/>
      <c r="P139" s="74"/>
      <c r="Q139" s="74"/>
      <c r="R139" s="74"/>
      <c r="S139" s="74"/>
      <c r="T139" s="74"/>
      <c r="U139" s="74"/>
      <c r="V139" s="74"/>
      <c r="W139" s="74"/>
      <c r="X139" s="74"/>
      <c r="Y139" s="74"/>
      <c r="Z139" s="74"/>
    </row>
    <row r="140" ht="14.25" customHeight="1">
      <c r="A140" s="74"/>
      <c r="B140" s="610" t="s">
        <v>698</v>
      </c>
      <c r="C140" s="368" t="s">
        <v>1834</v>
      </c>
      <c r="E140" s="29"/>
      <c r="F140" s="74"/>
      <c r="G140" s="74"/>
      <c r="H140" s="74"/>
      <c r="I140" s="74"/>
      <c r="J140" s="74"/>
      <c r="K140" s="74"/>
      <c r="L140" s="74"/>
      <c r="M140" s="74"/>
      <c r="N140" s="74"/>
      <c r="O140" s="74"/>
      <c r="P140" s="74"/>
      <c r="Q140" s="74"/>
      <c r="R140" s="74"/>
      <c r="S140" s="74"/>
      <c r="T140" s="74"/>
      <c r="U140" s="74"/>
      <c r="V140" s="74"/>
      <c r="W140" s="74"/>
      <c r="X140" s="74"/>
      <c r="Y140" s="74"/>
      <c r="Z140" s="74"/>
    </row>
    <row r="141" ht="14.25" customHeight="1">
      <c r="A141" s="74"/>
      <c r="B141" s="610" t="s">
        <v>700</v>
      </c>
      <c r="C141" s="368" t="s">
        <v>1835</v>
      </c>
      <c r="E141" s="29"/>
      <c r="F141" s="74"/>
      <c r="G141" s="74"/>
      <c r="H141" s="74"/>
      <c r="I141" s="74"/>
      <c r="J141" s="74"/>
      <c r="K141" s="74"/>
      <c r="L141" s="74"/>
      <c r="M141" s="74"/>
      <c r="N141" s="74"/>
      <c r="O141" s="74"/>
      <c r="P141" s="74"/>
      <c r="Q141" s="74"/>
      <c r="R141" s="74"/>
      <c r="S141" s="74"/>
      <c r="T141" s="74"/>
      <c r="U141" s="74"/>
      <c r="V141" s="74"/>
      <c r="W141" s="74"/>
      <c r="X141" s="74"/>
      <c r="Y141" s="74"/>
      <c r="Z141" s="74"/>
    </row>
    <row r="142" ht="14.25" customHeight="1">
      <c r="A142" s="74"/>
      <c r="B142" s="611" t="s">
        <v>702</v>
      </c>
      <c r="C142" s="590" t="s">
        <v>1836</v>
      </c>
      <c r="D142" s="95"/>
      <c r="E142" s="38"/>
      <c r="F142" s="74"/>
      <c r="G142" s="74"/>
      <c r="H142" s="74"/>
      <c r="I142" s="74"/>
      <c r="J142" s="74"/>
      <c r="K142" s="74"/>
      <c r="L142" s="74"/>
      <c r="M142" s="74"/>
      <c r="N142" s="74"/>
      <c r="O142" s="74"/>
      <c r="P142" s="74"/>
      <c r="Q142" s="74"/>
      <c r="R142" s="74"/>
      <c r="S142" s="74"/>
      <c r="T142" s="74"/>
      <c r="U142" s="74"/>
      <c r="V142" s="74"/>
      <c r="W142" s="74"/>
      <c r="X142" s="74"/>
      <c r="Y142" s="74"/>
      <c r="Z142" s="74"/>
    </row>
    <row r="143" ht="14.25" customHeight="1">
      <c r="A143" s="74"/>
      <c r="B143" s="387"/>
      <c r="C143" s="388"/>
      <c r="D143" s="76"/>
      <c r="E143" s="77"/>
      <c r="F143" s="74"/>
      <c r="G143" s="74"/>
      <c r="H143" s="74"/>
      <c r="I143" s="74"/>
      <c r="J143" s="74"/>
      <c r="K143" s="74"/>
      <c r="L143" s="74"/>
      <c r="M143" s="74"/>
      <c r="N143" s="74"/>
      <c r="O143" s="74"/>
      <c r="P143" s="74"/>
      <c r="Q143" s="74"/>
      <c r="R143" s="74"/>
      <c r="S143" s="74"/>
      <c r="T143" s="74"/>
      <c r="U143" s="74"/>
      <c r="V143" s="74"/>
      <c r="W143" s="74"/>
      <c r="X143" s="74"/>
      <c r="Y143" s="74"/>
      <c r="Z143" s="74"/>
    </row>
    <row r="144" ht="14.25" customHeight="1">
      <c r="A144" s="74"/>
      <c r="B144" s="387"/>
      <c r="C144" s="388"/>
      <c r="D144" s="76"/>
      <c r="E144" s="77"/>
      <c r="F144" s="74"/>
      <c r="G144" s="74"/>
      <c r="H144" s="74"/>
      <c r="I144" s="74"/>
      <c r="J144" s="74"/>
      <c r="K144" s="74"/>
      <c r="L144" s="74"/>
      <c r="M144" s="74"/>
      <c r="N144" s="74"/>
      <c r="O144" s="74"/>
      <c r="P144" s="74"/>
      <c r="Q144" s="74"/>
      <c r="R144" s="74"/>
      <c r="S144" s="74"/>
      <c r="T144" s="74"/>
      <c r="U144" s="74"/>
      <c r="V144" s="74"/>
      <c r="W144" s="74"/>
      <c r="X144" s="74"/>
      <c r="Y144" s="74"/>
      <c r="Z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17">
    <mergeCell ref="B3:O3"/>
    <mergeCell ref="B4:O4"/>
    <mergeCell ref="B6:C6"/>
    <mergeCell ref="E6:O7"/>
    <mergeCell ref="B7:C7"/>
    <mergeCell ref="B10:O14"/>
    <mergeCell ref="B19:O23"/>
    <mergeCell ref="C142:E142"/>
    <mergeCell ref="C143:E143"/>
    <mergeCell ref="C144:E144"/>
    <mergeCell ref="C62:D62"/>
    <mergeCell ref="K82:L82"/>
    <mergeCell ref="N104:N108"/>
    <mergeCell ref="C138:E138"/>
    <mergeCell ref="C139:E139"/>
    <mergeCell ref="C140:E140"/>
    <mergeCell ref="C141:E141"/>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3.57"/>
    <col customWidth="1" min="13" max="13" width="28.14"/>
    <col customWidth="1" min="14" max="14" width="19.86"/>
    <col customWidth="1" min="15" max="15" width="21.57"/>
    <col customWidth="1" min="16"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1837</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79" t="s">
        <v>85</v>
      </c>
      <c r="C6" s="80"/>
      <c r="D6" s="81" t="s">
        <v>1838</v>
      </c>
      <c r="E6" s="82"/>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t="s">
        <v>88</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97" t="s">
        <v>1839</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14.25"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97" t="s">
        <v>1840</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129.0"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t="s">
        <v>1841</v>
      </c>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110" t="s">
        <v>98</v>
      </c>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111"/>
      <c r="D61" s="111"/>
      <c r="E61" s="112"/>
      <c r="F61" s="91"/>
      <c r="G61" s="113"/>
      <c r="H61" s="74"/>
      <c r="I61" s="74"/>
      <c r="J61" s="74"/>
      <c r="K61" s="74"/>
      <c r="L61" s="74"/>
      <c r="M61" s="74"/>
      <c r="N61" s="74"/>
      <c r="O61" s="109"/>
      <c r="P61" s="74"/>
      <c r="Q61" s="74"/>
      <c r="R61" s="74"/>
      <c r="S61" s="74"/>
      <c r="T61" s="74"/>
      <c r="U61" s="74"/>
      <c r="V61" s="74"/>
      <c r="W61" s="74"/>
      <c r="X61" s="74"/>
      <c r="Y61" s="74"/>
      <c r="Z61" s="74"/>
    </row>
    <row r="62" ht="14.25" customHeight="1">
      <c r="A62" s="74"/>
      <c r="B62" s="114" t="s">
        <v>99</v>
      </c>
      <c r="C62" s="203"/>
      <c r="D62" s="80"/>
      <c r="E62" s="74"/>
      <c r="F62" s="74"/>
      <c r="G62" s="74"/>
      <c r="H62" s="118" t="s">
        <v>100</v>
      </c>
      <c r="I62" s="119"/>
      <c r="J62" s="120"/>
      <c r="K62" s="74"/>
      <c r="L62" s="74"/>
      <c r="M62" s="74"/>
      <c r="N62" s="118" t="s">
        <v>101</v>
      </c>
      <c r="O62" s="118"/>
      <c r="P62" s="74"/>
      <c r="Q62" s="74"/>
      <c r="R62" s="74"/>
      <c r="S62" s="74"/>
      <c r="T62" s="74"/>
      <c r="U62" s="74"/>
      <c r="V62" s="74"/>
      <c r="W62" s="74"/>
      <c r="X62" s="74"/>
      <c r="Y62" s="74"/>
      <c r="Z62" s="74"/>
    </row>
    <row r="63" ht="14.25" customHeight="1">
      <c r="A63" s="74"/>
      <c r="B63" s="121" t="s">
        <v>102</v>
      </c>
      <c r="C63" s="121" t="s">
        <v>103</v>
      </c>
      <c r="D63" s="121" t="s">
        <v>104</v>
      </c>
      <c r="E63" s="204" t="s">
        <v>240</v>
      </c>
      <c r="F63" s="204" t="s">
        <v>241</v>
      </c>
      <c r="G63" s="74"/>
      <c r="H63" s="121" t="s">
        <v>102</v>
      </c>
      <c r="I63" s="121" t="s">
        <v>103</v>
      </c>
      <c r="J63" s="121" t="s">
        <v>104</v>
      </c>
      <c r="K63" s="612" t="s">
        <v>240</v>
      </c>
      <c r="L63" s="613" t="s">
        <v>241</v>
      </c>
      <c r="M63" s="74"/>
      <c r="N63" s="118" t="s">
        <v>105</v>
      </c>
      <c r="O63" s="122"/>
      <c r="P63" s="74"/>
      <c r="Q63" s="74"/>
      <c r="R63" s="74"/>
      <c r="S63" s="74"/>
      <c r="T63" s="74"/>
      <c r="U63" s="74"/>
      <c r="V63" s="74"/>
      <c r="W63" s="74"/>
      <c r="X63" s="74"/>
      <c r="Y63" s="74"/>
      <c r="Z63" s="74"/>
    </row>
    <row r="64" ht="14.25" customHeight="1">
      <c r="A64" s="74"/>
      <c r="B64" s="145" t="s">
        <v>1842</v>
      </c>
      <c r="C64" s="124" t="s">
        <v>1843</v>
      </c>
      <c r="D64" s="124">
        <v>567.231568</v>
      </c>
      <c r="E64" s="460">
        <v>20.0</v>
      </c>
      <c r="F64" s="460">
        <v>1.5</v>
      </c>
      <c r="G64" s="74"/>
      <c r="H64" s="123" t="s">
        <v>1844</v>
      </c>
      <c r="I64" s="124" t="s">
        <v>1845</v>
      </c>
      <c r="J64" s="527">
        <v>758.071543</v>
      </c>
      <c r="K64" s="460">
        <v>40.0</v>
      </c>
      <c r="L64" s="460">
        <v>1.5</v>
      </c>
      <c r="M64" s="74"/>
      <c r="N64" s="110" t="s">
        <v>110</v>
      </c>
      <c r="O64" s="125">
        <f>SUM(D64:D65)</f>
        <v>770.3811</v>
      </c>
      <c r="P64" s="74"/>
      <c r="Q64" s="74"/>
      <c r="R64" s="74"/>
      <c r="S64" s="74"/>
      <c r="T64" s="74"/>
      <c r="U64" s="74"/>
      <c r="V64" s="74"/>
      <c r="W64" s="74"/>
      <c r="X64" s="74"/>
      <c r="Y64" s="74"/>
      <c r="Z64" s="74"/>
    </row>
    <row r="65" ht="14.25" customHeight="1">
      <c r="A65" s="74"/>
      <c r="B65" s="145" t="s">
        <v>1846</v>
      </c>
      <c r="C65" s="124" t="s">
        <v>1847</v>
      </c>
      <c r="D65" s="124">
        <v>203.149532</v>
      </c>
      <c r="E65" s="460">
        <v>20.0</v>
      </c>
      <c r="F65" s="460">
        <v>40.0</v>
      </c>
      <c r="G65" s="74"/>
      <c r="H65" s="371"/>
      <c r="I65" s="132"/>
      <c r="J65" s="132"/>
      <c r="K65" s="74"/>
      <c r="L65" s="74"/>
      <c r="M65" s="74"/>
      <c r="N65" s="110" t="s">
        <v>114</v>
      </c>
      <c r="O65" s="125">
        <f>J64</f>
        <v>758.071543</v>
      </c>
      <c r="P65" s="74"/>
      <c r="Q65" s="74"/>
      <c r="R65" s="74"/>
      <c r="S65" s="74"/>
      <c r="T65" s="74"/>
      <c r="U65" s="74"/>
      <c r="V65" s="74"/>
      <c r="W65" s="74"/>
      <c r="X65" s="74"/>
      <c r="Y65" s="74"/>
      <c r="Z65" s="74"/>
    </row>
    <row r="66" ht="14.25" customHeight="1">
      <c r="A66" s="74"/>
      <c r="B66" s="371"/>
      <c r="C66" s="132"/>
      <c r="D66" s="132"/>
      <c r="E66" s="74"/>
      <c r="F66" s="74"/>
      <c r="G66" s="74"/>
      <c r="H66" s="118" t="s">
        <v>280</v>
      </c>
      <c r="I66" s="119"/>
      <c r="J66" s="120"/>
      <c r="K66" s="74"/>
      <c r="L66" s="74"/>
      <c r="M66" s="74"/>
      <c r="N66" s="110" t="s">
        <v>117</v>
      </c>
      <c r="O66" s="125">
        <f>SUM(J68:J69)</f>
        <v>12.30980684</v>
      </c>
      <c r="P66" s="74"/>
      <c r="Q66" s="74"/>
      <c r="R66" s="74"/>
      <c r="S66" s="74"/>
      <c r="T66" s="74"/>
      <c r="U66" s="74"/>
      <c r="V66" s="74"/>
      <c r="W66" s="74"/>
      <c r="X66" s="74"/>
      <c r="Y66" s="74"/>
      <c r="Z66" s="74"/>
    </row>
    <row r="67" ht="14.25" customHeight="1">
      <c r="A67" s="74"/>
      <c r="B67" s="371"/>
      <c r="C67" s="132"/>
      <c r="D67" s="132"/>
      <c r="E67" s="74"/>
      <c r="F67" s="74"/>
      <c r="G67" s="74"/>
      <c r="H67" s="121" t="s">
        <v>102</v>
      </c>
      <c r="I67" s="121" t="s">
        <v>103</v>
      </c>
      <c r="J67" s="121" t="s">
        <v>104</v>
      </c>
      <c r="K67" s="612" t="s">
        <v>240</v>
      </c>
      <c r="L67" s="613" t="s">
        <v>241</v>
      </c>
      <c r="M67" s="74"/>
      <c r="N67" s="74"/>
      <c r="O67" s="74"/>
      <c r="P67" s="74"/>
      <c r="Q67" s="74"/>
      <c r="R67" s="74"/>
      <c r="S67" s="74"/>
      <c r="T67" s="74"/>
      <c r="U67" s="74"/>
      <c r="V67" s="74"/>
      <c r="W67" s="74"/>
      <c r="X67" s="74"/>
      <c r="Y67" s="74"/>
      <c r="Z67" s="74"/>
    </row>
    <row r="68" ht="14.25" customHeight="1">
      <c r="A68" s="105"/>
      <c r="B68" s="105"/>
      <c r="C68" s="108"/>
      <c r="D68" s="109"/>
      <c r="E68" s="292"/>
      <c r="F68" s="74"/>
      <c r="G68" s="74"/>
      <c r="H68" s="123" t="s">
        <v>1848</v>
      </c>
      <c r="I68" s="124" t="s">
        <v>1849</v>
      </c>
      <c r="J68" s="527">
        <v>3.06431273</v>
      </c>
      <c r="K68" s="460">
        <v>231.270672</v>
      </c>
      <c r="L68" s="460">
        <v>0.3</v>
      </c>
      <c r="M68" s="74"/>
      <c r="N68" s="110" t="s">
        <v>101</v>
      </c>
      <c r="O68" s="125">
        <f>O64-O65-O66</f>
        <v>-0.00024984</v>
      </c>
      <c r="P68" s="74"/>
      <c r="Q68" s="74"/>
      <c r="R68" s="74"/>
      <c r="S68" s="74"/>
      <c r="T68" s="74"/>
      <c r="U68" s="74"/>
      <c r="V68" s="74"/>
      <c r="W68" s="74"/>
      <c r="X68" s="74"/>
      <c r="Y68" s="74"/>
      <c r="Z68" s="74"/>
    </row>
    <row r="69" ht="14.25" customHeight="1">
      <c r="A69" s="105"/>
      <c r="B69" s="105"/>
      <c r="C69" s="108"/>
      <c r="D69" s="109"/>
      <c r="E69" s="292"/>
      <c r="F69" s="74"/>
      <c r="G69" s="74"/>
      <c r="H69" s="128" t="s">
        <v>1850</v>
      </c>
      <c r="I69" s="591" t="s">
        <v>1851</v>
      </c>
      <c r="J69" s="527">
        <v>9.24549411</v>
      </c>
      <c r="K69" s="460">
        <v>53.9209519</v>
      </c>
      <c r="L69" s="460">
        <v>1.5</v>
      </c>
      <c r="M69" s="74"/>
      <c r="N69" s="135" t="s">
        <v>121</v>
      </c>
      <c r="O69" s="124">
        <f>(O68/O64)*100</f>
        <v>-0.00003243070215</v>
      </c>
      <c r="P69" s="74"/>
      <c r="Q69" s="74"/>
      <c r="R69" s="74"/>
      <c r="S69" s="74"/>
      <c r="T69" s="74"/>
      <c r="U69" s="74"/>
      <c r="V69" s="74"/>
      <c r="W69" s="74"/>
      <c r="X69" s="74"/>
      <c r="Y69" s="74"/>
      <c r="Z69" s="74"/>
    </row>
    <row r="70" ht="14.25" customHeight="1">
      <c r="A70" s="74"/>
      <c r="B70" s="74"/>
      <c r="C70" s="74"/>
      <c r="D70" s="74"/>
      <c r="E70" s="74"/>
      <c r="F70" s="74"/>
      <c r="G70" s="74"/>
      <c r="H70" s="74"/>
      <c r="I70" s="74"/>
      <c r="J70" s="74"/>
      <c r="K70" s="74"/>
      <c r="L70" s="74"/>
      <c r="M70" s="74"/>
      <c r="N70" s="104"/>
      <c r="O70" s="105"/>
      <c r="P70" s="74"/>
      <c r="Q70" s="74"/>
      <c r="R70" s="74"/>
      <c r="S70" s="74"/>
      <c r="T70" s="74"/>
      <c r="U70" s="74"/>
      <c r="V70" s="74"/>
      <c r="W70" s="74"/>
      <c r="X70" s="74"/>
      <c r="Y70" s="74"/>
      <c r="Z70" s="74"/>
    </row>
    <row r="71" ht="14.25" customHeight="1">
      <c r="A71" s="74"/>
      <c r="B71" s="89"/>
      <c r="C71" s="89"/>
      <c r="D71" s="89"/>
      <c r="E71" s="89"/>
      <c r="F71" s="89"/>
      <c r="G71" s="89"/>
      <c r="H71" s="91"/>
      <c r="I71" s="91"/>
      <c r="J71" s="91"/>
      <c r="K71" s="91"/>
      <c r="L71" s="91"/>
      <c r="M71" s="74"/>
      <c r="N71" s="74"/>
      <c r="O71" s="74"/>
      <c r="P71" s="74"/>
      <c r="Q71" s="74"/>
      <c r="R71" s="74"/>
      <c r="S71" s="74"/>
      <c r="T71" s="74"/>
      <c r="U71" s="74"/>
      <c r="V71" s="74"/>
      <c r="W71" s="74"/>
      <c r="X71" s="74"/>
      <c r="Y71" s="74"/>
      <c r="Z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4.25" customHeight="1">
      <c r="A73" s="74"/>
      <c r="B73" s="110" t="s">
        <v>122</v>
      </c>
      <c r="C73" s="117"/>
      <c r="D73" s="117"/>
      <c r="E73" s="117"/>
      <c r="F73" s="117"/>
      <c r="G73" s="117"/>
      <c r="H73" s="117"/>
      <c r="I73" s="117"/>
      <c r="J73" s="74"/>
      <c r="K73" s="74"/>
      <c r="L73" s="74"/>
      <c r="M73" s="74"/>
      <c r="N73" s="74"/>
      <c r="O73" s="74"/>
      <c r="P73" s="74"/>
      <c r="Q73" s="74"/>
      <c r="R73" s="74"/>
      <c r="S73" s="74"/>
      <c r="T73" s="74"/>
      <c r="U73" s="74"/>
      <c r="V73" s="74"/>
      <c r="W73" s="74"/>
      <c r="X73" s="74"/>
      <c r="Y73" s="74"/>
      <c r="Z73" s="74"/>
    </row>
    <row r="74" ht="14.25" customHeight="1">
      <c r="A74" s="74"/>
      <c r="B74" s="117"/>
      <c r="C74" s="117"/>
      <c r="D74" s="117"/>
      <c r="E74" s="117"/>
      <c r="F74" s="117"/>
      <c r="G74" s="117"/>
      <c r="H74" s="117"/>
      <c r="I74" s="117"/>
      <c r="J74" s="74"/>
      <c r="K74" s="89"/>
      <c r="L74" s="74"/>
      <c r="M74" s="74"/>
      <c r="N74" s="74"/>
      <c r="O74" s="74"/>
      <c r="P74" s="74"/>
      <c r="Q74" s="74"/>
      <c r="R74" s="74"/>
      <c r="S74" s="74"/>
      <c r="T74" s="74"/>
      <c r="U74" s="74"/>
      <c r="V74" s="74"/>
      <c r="W74" s="74"/>
      <c r="X74" s="74"/>
      <c r="Y74" s="74"/>
      <c r="Z74" s="74"/>
    </row>
    <row r="75" ht="14.25" customHeight="1">
      <c r="A75" s="74"/>
      <c r="B75" s="118" t="s">
        <v>3</v>
      </c>
      <c r="C75" s="118" t="s">
        <v>4</v>
      </c>
      <c r="D75" s="118" t="s">
        <v>124</v>
      </c>
      <c r="E75" s="142" t="s">
        <v>5</v>
      </c>
      <c r="F75" s="142" t="s">
        <v>125</v>
      </c>
      <c r="G75" s="143" t="s">
        <v>126</v>
      </c>
      <c r="H75" s="143" t="s">
        <v>127</v>
      </c>
      <c r="I75" s="144" t="s">
        <v>128</v>
      </c>
      <c r="J75" s="129"/>
      <c r="K75" s="138" t="s">
        <v>123</v>
      </c>
      <c r="L75" s="139"/>
      <c r="M75" s="140"/>
      <c r="N75" s="140"/>
      <c r="O75" s="140"/>
      <c r="P75" s="140"/>
      <c r="Q75" s="141"/>
      <c r="R75" s="74"/>
      <c r="S75" s="74"/>
      <c r="T75" s="74"/>
      <c r="U75" s="74"/>
      <c r="V75" s="74"/>
      <c r="W75" s="74"/>
      <c r="X75" s="74"/>
      <c r="Y75" s="74"/>
      <c r="Z75" s="74"/>
    </row>
    <row r="76" ht="15.0" customHeight="1">
      <c r="A76" s="74"/>
      <c r="B76" s="81" t="s">
        <v>543</v>
      </c>
      <c r="C76" s="146">
        <v>0.0</v>
      </c>
      <c r="D76" s="146">
        <v>0.0</v>
      </c>
      <c r="E76" s="146">
        <v>-1407.88571096</v>
      </c>
      <c r="F76" s="146">
        <v>-636.6749520000001</v>
      </c>
      <c r="G76" s="146">
        <v>-1407.88571096</v>
      </c>
      <c r="H76" s="146">
        <f t="shared" ref="H76:H80" si="1">D76+F76</f>
        <v>-636.674952</v>
      </c>
      <c r="I76" s="147" t="s">
        <v>297</v>
      </c>
      <c r="J76" s="129"/>
      <c r="K76" s="118" t="s">
        <v>3</v>
      </c>
      <c r="L76" s="114" t="s">
        <v>129</v>
      </c>
      <c r="M76" s="121" t="s">
        <v>130</v>
      </c>
      <c r="N76" s="121" t="s">
        <v>131</v>
      </c>
      <c r="O76" s="121" t="s">
        <v>132</v>
      </c>
      <c r="P76" s="121" t="s">
        <v>133</v>
      </c>
      <c r="Q76" s="114" t="s">
        <v>134</v>
      </c>
      <c r="R76" s="74"/>
      <c r="S76" s="74"/>
      <c r="T76" s="74"/>
      <c r="U76" s="74"/>
      <c r="V76" s="74"/>
      <c r="W76" s="74"/>
      <c r="X76" s="74"/>
      <c r="Y76" s="74"/>
      <c r="Z76" s="74"/>
    </row>
    <row r="77" ht="15.0" customHeight="1">
      <c r="A77" s="74"/>
      <c r="B77" s="145" t="s">
        <v>8</v>
      </c>
      <c r="C77" s="146">
        <v>0.0</v>
      </c>
      <c r="D77" s="146">
        <v>0.0</v>
      </c>
      <c r="E77" s="146">
        <v>-291.1196704</v>
      </c>
      <c r="F77" s="146">
        <v>-130.299344</v>
      </c>
      <c r="G77" s="146">
        <v>-291.11967039999996</v>
      </c>
      <c r="H77" s="146">
        <f t="shared" si="1"/>
        <v>-130.299344</v>
      </c>
      <c r="I77" s="147" t="s">
        <v>297</v>
      </c>
      <c r="J77" s="129"/>
      <c r="K77" s="148" t="s">
        <v>136</v>
      </c>
      <c r="L77" s="149" t="s">
        <v>137</v>
      </c>
      <c r="M77" s="149" t="s">
        <v>137</v>
      </c>
      <c r="N77" s="149" t="s">
        <v>137</v>
      </c>
      <c r="O77" s="149" t="s">
        <v>137</v>
      </c>
      <c r="P77" s="149" t="s">
        <v>137</v>
      </c>
      <c r="Q77" s="149" t="s">
        <v>137</v>
      </c>
      <c r="R77" s="74"/>
      <c r="S77" s="74"/>
      <c r="T77" s="74"/>
      <c r="U77" s="74"/>
      <c r="V77" s="74"/>
      <c r="W77" s="74"/>
      <c r="X77" s="74"/>
      <c r="Y77" s="74"/>
      <c r="Z77" s="74"/>
    </row>
    <row r="78" ht="15.0" customHeight="1">
      <c r="A78" s="74"/>
      <c r="B78" s="145" t="s">
        <v>10</v>
      </c>
      <c r="C78" s="210">
        <v>52.591160079999995</v>
      </c>
      <c r="D78" s="146">
        <v>26.4016668</v>
      </c>
      <c r="E78" s="146">
        <v>0.0</v>
      </c>
      <c r="F78" s="146">
        <v>0.0</v>
      </c>
      <c r="G78" s="146">
        <v>52.591160079999995</v>
      </c>
      <c r="H78" s="146">
        <f t="shared" si="1"/>
        <v>26.4016668</v>
      </c>
      <c r="I78" s="147"/>
      <c r="J78" s="129"/>
      <c r="K78" s="150" t="s">
        <v>8</v>
      </c>
      <c r="L78" s="149">
        <v>155.0</v>
      </c>
      <c r="M78" s="149">
        <v>155.0</v>
      </c>
      <c r="N78" s="151">
        <v>5.5</v>
      </c>
      <c r="O78" s="151">
        <v>5.5</v>
      </c>
      <c r="P78" s="149">
        <v>2096.77163841359</v>
      </c>
      <c r="Q78" s="149" t="s">
        <v>138</v>
      </c>
      <c r="R78" s="74"/>
      <c r="S78" s="74"/>
      <c r="T78" s="74"/>
      <c r="U78" s="74"/>
      <c r="V78" s="74"/>
      <c r="W78" s="74"/>
      <c r="X78" s="74"/>
      <c r="Y78" s="74"/>
      <c r="Z78" s="74"/>
    </row>
    <row r="79" ht="14.25" customHeight="1">
      <c r="A79" s="74"/>
      <c r="B79" s="145" t="s">
        <v>11</v>
      </c>
      <c r="C79" s="210">
        <v>1155.34228008</v>
      </c>
      <c r="D79" s="146">
        <v>627.80590938</v>
      </c>
      <c r="E79" s="146">
        <v>0.0</v>
      </c>
      <c r="F79" s="146">
        <v>0.0</v>
      </c>
      <c r="G79" s="146">
        <v>1155.34228008</v>
      </c>
      <c r="H79" s="146">
        <f t="shared" si="1"/>
        <v>627.8059094</v>
      </c>
      <c r="I79" s="147"/>
      <c r="J79" s="129"/>
      <c r="K79" s="118" t="s">
        <v>10</v>
      </c>
      <c r="L79" s="149">
        <v>214.0</v>
      </c>
      <c r="M79" s="149">
        <v>214.0</v>
      </c>
      <c r="N79" s="149">
        <v>21.0</v>
      </c>
      <c r="O79" s="149">
        <v>21.0</v>
      </c>
      <c r="P79" s="149">
        <v>1879.6128145344</v>
      </c>
      <c r="Q79" s="149" t="s">
        <v>138</v>
      </c>
      <c r="R79" s="74"/>
      <c r="S79" s="74"/>
      <c r="T79" s="74"/>
      <c r="U79" s="74"/>
      <c r="V79" s="74"/>
      <c r="W79" s="74"/>
      <c r="X79" s="74"/>
      <c r="Y79" s="74"/>
      <c r="Z79" s="74"/>
    </row>
    <row r="80" ht="14.25" customHeight="1">
      <c r="A80" s="74"/>
      <c r="B80" s="145" t="s">
        <v>12</v>
      </c>
      <c r="C80" s="146">
        <v>295.726956</v>
      </c>
      <c r="D80" s="152">
        <v>14150.3659</v>
      </c>
      <c r="E80" s="146">
        <v>0.0</v>
      </c>
      <c r="F80" s="146">
        <v>0.0</v>
      </c>
      <c r="G80" s="146">
        <f t="shared" ref="G80:G81" si="2">C80</f>
        <v>295.726956</v>
      </c>
      <c r="H80" s="146">
        <f t="shared" si="1"/>
        <v>14150.3659</v>
      </c>
      <c r="I80" s="147"/>
      <c r="J80" s="129"/>
      <c r="K80" s="118" t="s">
        <v>11</v>
      </c>
      <c r="L80" s="149">
        <v>265.0</v>
      </c>
      <c r="M80" s="149">
        <v>265.0</v>
      </c>
      <c r="N80" s="149">
        <v>51.0</v>
      </c>
      <c r="O80" s="149">
        <v>51.0</v>
      </c>
      <c r="P80" s="149">
        <v>1632.4494056856</v>
      </c>
      <c r="Q80" s="149" t="s">
        <v>138</v>
      </c>
      <c r="R80" s="74"/>
      <c r="S80" s="74"/>
      <c r="T80" s="74"/>
      <c r="U80" s="74"/>
      <c r="V80" s="74"/>
      <c r="W80" s="74"/>
      <c r="X80" s="74"/>
      <c r="Y80" s="74"/>
      <c r="Z80" s="74"/>
    </row>
    <row r="81" ht="14.25" customHeight="1">
      <c r="A81" s="74"/>
      <c r="B81" s="145" t="s">
        <v>34</v>
      </c>
      <c r="C81" s="146">
        <v>8.570352840768</v>
      </c>
      <c r="D81" s="614" t="s">
        <v>1852</v>
      </c>
      <c r="E81" s="146">
        <v>0.0</v>
      </c>
      <c r="F81" s="146">
        <v>0.0</v>
      </c>
      <c r="G81" s="146">
        <f t="shared" si="2"/>
        <v>8.570352841</v>
      </c>
      <c r="H81" s="614" t="s">
        <v>1852</v>
      </c>
      <c r="I81" s="145"/>
      <c r="J81" s="74"/>
      <c r="K81" s="118" t="s">
        <v>12</v>
      </c>
      <c r="L81" s="159">
        <v>25.0</v>
      </c>
      <c r="M81" s="159">
        <v>40.0</v>
      </c>
      <c r="N81" s="160">
        <v>1.02</v>
      </c>
      <c r="O81" s="160">
        <v>1.02</v>
      </c>
      <c r="P81" s="160">
        <f>62.74243314036/(M81-L81)</f>
        <v>4.182828876</v>
      </c>
      <c r="Q81" s="159" t="s">
        <v>143</v>
      </c>
      <c r="R81" s="74"/>
      <c r="S81" s="74"/>
      <c r="T81" s="74"/>
      <c r="U81" s="74"/>
      <c r="V81" s="74"/>
      <c r="W81" s="74"/>
      <c r="X81" s="74"/>
      <c r="Y81" s="74"/>
      <c r="Z81" s="74"/>
    </row>
    <row r="82" ht="14.25" customHeight="1">
      <c r="A82" s="74"/>
      <c r="B82" s="117"/>
      <c r="C82" s="117"/>
      <c r="D82" s="117"/>
      <c r="E82" s="117"/>
      <c r="F82" s="117"/>
      <c r="G82" s="117"/>
      <c r="H82" s="117"/>
      <c r="I82" s="117"/>
      <c r="J82" s="74"/>
      <c r="K82" s="74"/>
      <c r="L82" s="74"/>
      <c r="M82" s="74"/>
      <c r="N82" s="74"/>
      <c r="O82" s="74"/>
      <c r="P82" s="74"/>
      <c r="Q82" s="74"/>
      <c r="R82" s="74"/>
      <c r="S82" s="74"/>
      <c r="T82" s="74"/>
      <c r="U82" s="74"/>
      <c r="V82" s="74"/>
      <c r="W82" s="74"/>
      <c r="X82" s="74"/>
      <c r="Y82" s="74"/>
      <c r="Z82" s="74"/>
    </row>
    <row r="83" ht="14.25" customHeight="1">
      <c r="A83" s="74"/>
      <c r="B83" s="447" t="s">
        <v>300</v>
      </c>
      <c r="C83" s="448"/>
      <c r="D83" s="449"/>
      <c r="E83" s="449"/>
      <c r="F83" s="449"/>
      <c r="G83" s="449"/>
      <c r="H83" s="449"/>
      <c r="I83" s="449"/>
      <c r="J83" s="449"/>
      <c r="K83" s="449"/>
      <c r="L83" s="615" t="s">
        <v>1853</v>
      </c>
      <c r="M83" s="241"/>
      <c r="N83" s="242"/>
      <c r="O83" s="74"/>
      <c r="P83" s="74"/>
      <c r="Q83" s="74"/>
      <c r="R83" s="74"/>
      <c r="S83" s="74"/>
      <c r="T83" s="74"/>
      <c r="U83" s="74"/>
      <c r="V83" s="74"/>
      <c r="W83" s="74"/>
      <c r="X83" s="74"/>
      <c r="Y83" s="74"/>
      <c r="Z83" s="74"/>
    </row>
    <row r="84" ht="14.25" customHeight="1">
      <c r="A84" s="74"/>
      <c r="B84" s="452" t="s">
        <v>658</v>
      </c>
      <c r="C84" s="245"/>
      <c r="D84" s="245"/>
      <c r="E84" s="245"/>
      <c r="F84" s="245"/>
      <c r="G84" s="245"/>
      <c r="H84" s="245"/>
      <c r="I84" s="318" t="s">
        <v>34</v>
      </c>
      <c r="J84" s="245"/>
      <c r="K84" s="245"/>
      <c r="L84" s="245"/>
      <c r="M84" s="245"/>
      <c r="N84" s="453"/>
      <c r="O84" s="74"/>
      <c r="P84" s="74"/>
      <c r="Q84" s="74"/>
      <c r="R84" s="74"/>
      <c r="S84" s="74"/>
      <c r="T84" s="74"/>
      <c r="U84" s="74"/>
      <c r="V84" s="74"/>
      <c r="W84" s="74"/>
      <c r="X84" s="74"/>
      <c r="Y84" s="74"/>
      <c r="Z84" s="74"/>
    </row>
    <row r="85" ht="14.25" customHeight="1">
      <c r="A85" s="74"/>
      <c r="B85" s="454" t="s">
        <v>301</v>
      </c>
      <c r="C85" s="246" t="s">
        <v>302</v>
      </c>
      <c r="D85" s="246" t="s">
        <v>303</v>
      </c>
      <c r="E85" s="246" t="s">
        <v>304</v>
      </c>
      <c r="F85" s="246" t="s">
        <v>305</v>
      </c>
      <c r="G85" s="246" t="s">
        <v>146</v>
      </c>
      <c r="H85" s="245"/>
      <c r="I85" s="616" t="s">
        <v>301</v>
      </c>
      <c r="J85" s="616" t="s">
        <v>302</v>
      </c>
      <c r="K85" s="616" t="s">
        <v>306</v>
      </c>
      <c r="L85" s="617" t="s">
        <v>307</v>
      </c>
      <c r="M85" s="617" t="s">
        <v>308</v>
      </c>
      <c r="N85" s="618" t="s">
        <v>146</v>
      </c>
      <c r="O85" s="74"/>
      <c r="P85" s="74"/>
      <c r="Q85" s="74"/>
      <c r="R85" s="74"/>
      <c r="S85" s="74"/>
      <c r="T85" s="74"/>
      <c r="U85" s="74"/>
      <c r="V85" s="74"/>
      <c r="W85" s="74"/>
      <c r="X85" s="74"/>
      <c r="Y85" s="74"/>
      <c r="Z85" s="74"/>
    </row>
    <row r="86" ht="14.25" customHeight="1">
      <c r="A86" s="74"/>
      <c r="B86" s="456" t="s">
        <v>1854</v>
      </c>
      <c r="C86" s="321" t="s">
        <v>1855</v>
      </c>
      <c r="D86" s="402">
        <v>-118596.667</v>
      </c>
      <c r="E86" s="402" t="str">
        <f t="shared" ref="E86:E88" si="3">D86*'[6]Inputs and assumptions'!$E$13*0.000001</f>
        <v>#REF!</v>
      </c>
      <c r="F86" s="402">
        <v>-429.054868</v>
      </c>
      <c r="G86" s="321"/>
      <c r="H86" s="245"/>
      <c r="I86" s="321" t="s">
        <v>1856</v>
      </c>
      <c r="J86" s="321" t="s">
        <v>1857</v>
      </c>
      <c r="K86" s="322">
        <v>234.44245</v>
      </c>
      <c r="L86" s="322">
        <v>1.8755396</v>
      </c>
      <c r="M86" s="322">
        <v>6.75194256</v>
      </c>
      <c r="N86" s="619"/>
      <c r="O86" s="74"/>
      <c r="P86" s="74"/>
      <c r="Q86" s="74"/>
      <c r="R86" s="74"/>
      <c r="S86" s="74"/>
      <c r="T86" s="74"/>
      <c r="U86" s="74"/>
      <c r="V86" s="74"/>
      <c r="W86" s="74"/>
      <c r="X86" s="74"/>
      <c r="Y86" s="74"/>
      <c r="Z86" s="74"/>
    </row>
    <row r="87" ht="14.25" customHeight="1">
      <c r="A87" s="74"/>
      <c r="B87" s="456" t="s">
        <v>1858</v>
      </c>
      <c r="C87" s="321" t="s">
        <v>1859</v>
      </c>
      <c r="D87" s="402">
        <v>-54447.8464</v>
      </c>
      <c r="E87" s="402" t="str">
        <f t="shared" si="3"/>
        <v>#REF!</v>
      </c>
      <c r="F87" s="402">
        <v>-196.979512</v>
      </c>
      <c r="G87" s="321"/>
      <c r="H87" s="245"/>
      <c r="I87" s="321" t="s">
        <v>1860</v>
      </c>
      <c r="J87" s="321" t="s">
        <v>1861</v>
      </c>
      <c r="K87" s="322">
        <v>15.4924614</v>
      </c>
      <c r="L87" s="322">
        <v>0.1239396912</v>
      </c>
      <c r="M87" s="322">
        <v>0.44618288832</v>
      </c>
      <c r="N87" s="619"/>
      <c r="O87" s="74"/>
      <c r="P87" s="74"/>
      <c r="Q87" s="74"/>
      <c r="R87" s="74"/>
      <c r="S87" s="74"/>
      <c r="T87" s="74"/>
      <c r="U87" s="74"/>
      <c r="V87" s="74"/>
      <c r="W87" s="74"/>
      <c r="X87" s="74"/>
      <c r="Y87" s="74"/>
      <c r="Z87" s="74"/>
    </row>
    <row r="88" ht="14.25" customHeight="1">
      <c r="A88" s="74"/>
      <c r="B88" s="456" t="s">
        <v>1862</v>
      </c>
      <c r="C88" s="321" t="s">
        <v>1863</v>
      </c>
      <c r="D88" s="402">
        <v>-2941.20047</v>
      </c>
      <c r="E88" s="402" t="str">
        <f t="shared" si="3"/>
        <v>#REF!</v>
      </c>
      <c r="F88" s="402">
        <v>-10.640572</v>
      </c>
      <c r="G88" s="321"/>
      <c r="H88" s="245"/>
      <c r="I88" s="321" t="s">
        <v>1864</v>
      </c>
      <c r="J88" s="321" t="s">
        <v>1865</v>
      </c>
      <c r="K88" s="322">
        <v>46.0035817</v>
      </c>
      <c r="L88" s="322">
        <v>0.3680286535999999</v>
      </c>
      <c r="M88" s="322">
        <v>1.32490315296</v>
      </c>
      <c r="N88" s="619"/>
      <c r="O88" s="74"/>
      <c r="P88" s="74"/>
      <c r="Q88" s="74"/>
      <c r="R88" s="74"/>
      <c r="S88" s="74"/>
      <c r="T88" s="74"/>
      <c r="U88" s="74"/>
      <c r="V88" s="74"/>
      <c r="W88" s="74"/>
      <c r="X88" s="74"/>
      <c r="Y88" s="74"/>
      <c r="Z88" s="74"/>
    </row>
    <row r="89" ht="14.25" customHeight="1">
      <c r="A89" s="74"/>
      <c r="B89" s="459"/>
      <c r="C89" s="245"/>
      <c r="D89" s="245"/>
      <c r="E89" s="245"/>
      <c r="F89" s="245"/>
      <c r="G89" s="245"/>
      <c r="H89" s="245"/>
      <c r="I89" s="321" t="s">
        <v>1866</v>
      </c>
      <c r="J89" s="321" t="s">
        <v>1867</v>
      </c>
      <c r="K89" s="322">
        <v>1.64320276</v>
      </c>
      <c r="L89" s="620">
        <v>0.01314562208</v>
      </c>
      <c r="M89" s="620">
        <v>0.04732423948800001</v>
      </c>
      <c r="N89" s="619"/>
      <c r="O89" s="74"/>
      <c r="P89" s="74"/>
      <c r="Q89" s="74"/>
      <c r="R89" s="74"/>
      <c r="S89" s="74"/>
      <c r="T89" s="74"/>
      <c r="U89" s="74"/>
      <c r="V89" s="74"/>
      <c r="W89" s="74"/>
      <c r="X89" s="74"/>
      <c r="Y89" s="74"/>
      <c r="Z89" s="74"/>
    </row>
    <row r="90" ht="14.25" customHeight="1">
      <c r="A90" s="74"/>
      <c r="B90" s="452" t="s">
        <v>8</v>
      </c>
      <c r="C90" s="245"/>
      <c r="D90" s="245"/>
      <c r="E90" s="245"/>
      <c r="F90" s="245"/>
      <c r="G90" s="245"/>
      <c r="H90" s="245"/>
      <c r="I90" s="245"/>
      <c r="J90" s="245"/>
      <c r="K90" s="329"/>
      <c r="L90" s="329"/>
      <c r="M90" s="329"/>
      <c r="N90" s="453"/>
      <c r="O90" s="74"/>
      <c r="P90" s="74"/>
      <c r="Q90" s="74"/>
      <c r="R90" s="74"/>
      <c r="S90" s="74"/>
      <c r="T90" s="74"/>
      <c r="U90" s="74"/>
      <c r="V90" s="74"/>
      <c r="W90" s="74"/>
      <c r="X90" s="74"/>
      <c r="Y90" s="74"/>
      <c r="Z90" s="74"/>
    </row>
    <row r="91" ht="14.25" customHeight="1">
      <c r="A91" s="74"/>
      <c r="B91" s="454" t="s">
        <v>301</v>
      </c>
      <c r="C91" s="246" t="s">
        <v>302</v>
      </c>
      <c r="D91" s="246" t="s">
        <v>303</v>
      </c>
      <c r="E91" s="246" t="s">
        <v>304</v>
      </c>
      <c r="F91" s="246" t="s">
        <v>305</v>
      </c>
      <c r="G91" s="246" t="s">
        <v>146</v>
      </c>
      <c r="H91" s="245"/>
      <c r="I91" s="318" t="s">
        <v>675</v>
      </c>
      <c r="J91" s="245"/>
      <c r="K91" s="329"/>
      <c r="L91" s="329"/>
      <c r="M91" s="329"/>
      <c r="N91" s="453"/>
      <c r="O91" s="74"/>
      <c r="P91" s="74"/>
      <c r="Q91" s="74"/>
      <c r="R91" s="74"/>
      <c r="S91" s="74"/>
      <c r="T91" s="74"/>
      <c r="U91" s="74"/>
      <c r="V91" s="74"/>
      <c r="W91" s="74"/>
      <c r="X91" s="74"/>
      <c r="Y91" s="74"/>
      <c r="Z91" s="74"/>
    </row>
    <row r="92" ht="14.25" customHeight="1">
      <c r="A92" s="74"/>
      <c r="B92" s="456" t="s">
        <v>1868</v>
      </c>
      <c r="C92" s="468" t="s">
        <v>1869</v>
      </c>
      <c r="D92" s="288">
        <v>-36389.9588</v>
      </c>
      <c r="E92" s="402" t="str">
        <f>D92*'[6]Inputs and assumptions'!$E$13*0.000001</f>
        <v>#REF!</v>
      </c>
      <c r="F92" s="621">
        <v>-130.299344</v>
      </c>
      <c r="G92" s="289" t="s">
        <v>137</v>
      </c>
      <c r="H92" s="245"/>
      <c r="I92" s="246" t="s">
        <v>301</v>
      </c>
      <c r="J92" s="246" t="s">
        <v>302</v>
      </c>
      <c r="K92" s="622" t="s">
        <v>303</v>
      </c>
      <c r="L92" s="622" t="s">
        <v>304</v>
      </c>
      <c r="M92" s="622" t="s">
        <v>305</v>
      </c>
      <c r="N92" s="455" t="s">
        <v>146</v>
      </c>
      <c r="O92" s="74"/>
      <c r="P92" s="74"/>
      <c r="Q92" s="74"/>
      <c r="R92" s="74"/>
      <c r="S92" s="74"/>
      <c r="T92" s="74"/>
      <c r="U92" s="74"/>
      <c r="V92" s="74"/>
      <c r="W92" s="74"/>
      <c r="X92" s="74"/>
      <c r="Y92" s="74"/>
      <c r="Z92" s="74"/>
    </row>
    <row r="93" ht="14.25" customHeight="1">
      <c r="A93" s="74"/>
      <c r="B93" s="459"/>
      <c r="C93" s="245"/>
      <c r="D93" s="245"/>
      <c r="E93" s="245"/>
      <c r="F93" s="245"/>
      <c r="G93" s="245"/>
      <c r="H93" s="245"/>
      <c r="I93" s="247"/>
      <c r="J93" s="247"/>
      <c r="K93" s="256"/>
      <c r="L93" s="256"/>
      <c r="M93" s="256"/>
      <c r="N93" s="457"/>
      <c r="O93" s="74"/>
      <c r="P93" s="74"/>
      <c r="Q93" s="74"/>
      <c r="R93" s="74"/>
      <c r="S93" s="74"/>
      <c r="T93" s="74"/>
      <c r="U93" s="74"/>
      <c r="V93" s="74"/>
      <c r="W93" s="74"/>
      <c r="X93" s="74"/>
      <c r="Y93" s="74"/>
      <c r="Z93" s="74"/>
    </row>
    <row r="94" ht="14.25" customHeight="1">
      <c r="A94" s="74"/>
      <c r="B94" s="452" t="s">
        <v>10</v>
      </c>
      <c r="C94" s="245"/>
      <c r="D94" s="245"/>
      <c r="E94" s="245"/>
      <c r="F94" s="245"/>
      <c r="G94" s="245"/>
      <c r="H94" s="245"/>
      <c r="I94" s="247" t="s">
        <v>137</v>
      </c>
      <c r="J94" s="247" t="s">
        <v>137</v>
      </c>
      <c r="K94" s="256" t="s">
        <v>137</v>
      </c>
      <c r="L94" s="256" t="s">
        <v>137</v>
      </c>
      <c r="M94" s="256" t="s">
        <v>137</v>
      </c>
      <c r="N94" s="457" t="s">
        <v>137</v>
      </c>
      <c r="O94" s="74"/>
      <c r="P94" s="74"/>
      <c r="Q94" s="74"/>
      <c r="R94" s="74"/>
      <c r="S94" s="74"/>
      <c r="T94" s="74"/>
      <c r="U94" s="74"/>
      <c r="V94" s="74"/>
      <c r="W94" s="74"/>
      <c r="X94" s="74"/>
      <c r="Y94" s="74"/>
      <c r="Z94" s="74"/>
    </row>
    <row r="95" ht="14.25" customHeight="1">
      <c r="A95" s="74"/>
      <c r="B95" s="454" t="s">
        <v>301</v>
      </c>
      <c r="C95" s="246" t="s">
        <v>302</v>
      </c>
      <c r="D95" s="246" t="s">
        <v>303</v>
      </c>
      <c r="E95" s="246" t="s">
        <v>304</v>
      </c>
      <c r="F95" s="246" t="s">
        <v>305</v>
      </c>
      <c r="G95" s="246" t="s">
        <v>146</v>
      </c>
      <c r="H95" s="245"/>
      <c r="I95" s="247" t="s">
        <v>137</v>
      </c>
      <c r="J95" s="247" t="s">
        <v>137</v>
      </c>
      <c r="K95" s="256" t="s">
        <v>137</v>
      </c>
      <c r="L95" s="256" t="s">
        <v>137</v>
      </c>
      <c r="M95" s="256" t="s">
        <v>137</v>
      </c>
      <c r="N95" s="457" t="s">
        <v>137</v>
      </c>
      <c r="O95" s="74"/>
      <c r="P95" s="74"/>
      <c r="Q95" s="74"/>
      <c r="R95" s="74"/>
      <c r="S95" s="74"/>
      <c r="T95" s="74"/>
      <c r="U95" s="74"/>
      <c r="V95" s="74"/>
      <c r="W95" s="74"/>
      <c r="X95" s="74"/>
      <c r="Y95" s="74"/>
      <c r="Z95" s="74"/>
    </row>
    <row r="96" ht="14.25" customHeight="1">
      <c r="A96" s="74"/>
      <c r="B96" s="456" t="s">
        <v>1870</v>
      </c>
      <c r="C96" s="321" t="s">
        <v>1871</v>
      </c>
      <c r="D96" s="402">
        <v>6573.89501</v>
      </c>
      <c r="E96" s="402" t="str">
        <f>D96*'[6]Inputs and assumptions'!$E$13*0.000001</f>
        <v>#REF!</v>
      </c>
      <c r="F96" s="402">
        <v>26.4016668</v>
      </c>
      <c r="G96" s="289" t="s">
        <v>137</v>
      </c>
      <c r="H96" s="245"/>
      <c r="I96" s="245"/>
      <c r="J96" s="245"/>
      <c r="K96" s="329"/>
      <c r="L96" s="329"/>
      <c r="M96" s="329"/>
      <c r="N96" s="453"/>
      <c r="O96" s="74"/>
      <c r="P96" s="74"/>
      <c r="Q96" s="74"/>
      <c r="R96" s="74"/>
      <c r="S96" s="74"/>
      <c r="T96" s="74"/>
      <c r="U96" s="74"/>
      <c r="V96" s="74"/>
      <c r="W96" s="74"/>
      <c r="X96" s="74"/>
      <c r="Y96" s="74"/>
      <c r="Z96" s="74"/>
    </row>
    <row r="97" ht="14.25" customHeight="1">
      <c r="A97" s="74"/>
      <c r="B97" s="459"/>
      <c r="C97" s="245"/>
      <c r="D97" s="245"/>
      <c r="E97" s="245"/>
      <c r="F97" s="245"/>
      <c r="G97" s="245"/>
      <c r="H97" s="245"/>
      <c r="I97" s="318" t="s">
        <v>12</v>
      </c>
      <c r="J97" s="245"/>
      <c r="K97" s="329"/>
      <c r="L97" s="329"/>
      <c r="M97" s="329"/>
      <c r="N97" s="453"/>
      <c r="O97" s="74"/>
      <c r="P97" s="74"/>
      <c r="Q97" s="74"/>
      <c r="R97" s="74"/>
      <c r="S97" s="74"/>
      <c r="T97" s="74"/>
      <c r="U97" s="74"/>
      <c r="V97" s="74"/>
      <c r="W97" s="74"/>
      <c r="X97" s="74"/>
      <c r="Y97" s="74"/>
      <c r="Z97" s="74"/>
    </row>
    <row r="98" ht="14.25" customHeight="1">
      <c r="A98" s="74"/>
      <c r="B98" s="452" t="s">
        <v>11</v>
      </c>
      <c r="C98" s="245"/>
      <c r="D98" s="245"/>
      <c r="E98" s="245"/>
      <c r="F98" s="245"/>
      <c r="G98" s="245"/>
      <c r="H98" s="245"/>
      <c r="I98" s="246" t="s">
        <v>301</v>
      </c>
      <c r="J98" s="246" t="s">
        <v>302</v>
      </c>
      <c r="K98" s="622" t="s">
        <v>303</v>
      </c>
      <c r="L98" s="622" t="s">
        <v>304</v>
      </c>
      <c r="M98" s="622" t="s">
        <v>305</v>
      </c>
      <c r="N98" s="455" t="s">
        <v>146</v>
      </c>
      <c r="O98" s="74"/>
      <c r="P98" s="74"/>
      <c r="Q98" s="74"/>
      <c r="R98" s="74"/>
      <c r="S98" s="74"/>
      <c r="T98" s="74"/>
      <c r="U98" s="74"/>
      <c r="V98" s="74"/>
      <c r="W98" s="74"/>
      <c r="X98" s="74"/>
      <c r="Y98" s="74"/>
      <c r="Z98" s="74"/>
    </row>
    <row r="99" ht="14.25" customHeight="1">
      <c r="A99" s="74"/>
      <c r="B99" s="454" t="s">
        <v>301</v>
      </c>
      <c r="C99" s="246" t="s">
        <v>302</v>
      </c>
      <c r="D99" s="246" t="s">
        <v>303</v>
      </c>
      <c r="E99" s="246" t="s">
        <v>304</v>
      </c>
      <c r="F99" s="246" t="s">
        <v>305</v>
      </c>
      <c r="G99" s="246" t="s">
        <v>146</v>
      </c>
      <c r="H99" s="245"/>
      <c r="I99" s="321" t="s">
        <v>1872</v>
      </c>
      <c r="J99" s="321" t="s">
        <v>1873</v>
      </c>
      <c r="K99" s="460">
        <v>20755.6411</v>
      </c>
      <c r="L99" s="460">
        <v>166.0451288</v>
      </c>
      <c r="M99" s="460">
        <v>7945.16456</v>
      </c>
      <c r="N99" s="619"/>
      <c r="O99" s="74"/>
      <c r="P99" s="74"/>
      <c r="Q99" s="74"/>
      <c r="R99" s="74"/>
      <c r="S99" s="74"/>
      <c r="T99" s="74"/>
      <c r="U99" s="74"/>
      <c r="V99" s="74"/>
      <c r="W99" s="74"/>
      <c r="X99" s="74"/>
      <c r="Y99" s="74"/>
      <c r="Z99" s="74"/>
    </row>
    <row r="100" ht="14.25" customHeight="1">
      <c r="A100" s="74"/>
      <c r="B100" s="456" t="s">
        <v>1854</v>
      </c>
      <c r="C100" s="321" t="s">
        <v>1855</v>
      </c>
      <c r="D100" s="402">
        <v>110422.019</v>
      </c>
      <c r="E100" s="402" t="str">
        <f t="shared" ref="E100:E102" si="4">D100*'[6]Inputs and assumptions'!$E$13*0.000001</f>
        <v>#REF!</v>
      </c>
      <c r="F100" s="402">
        <v>480.021183</v>
      </c>
      <c r="G100" s="289" t="s">
        <v>137</v>
      </c>
      <c r="H100" s="245"/>
      <c r="I100" s="321" t="s">
        <v>1874</v>
      </c>
      <c r="J100" s="321" t="s">
        <v>672</v>
      </c>
      <c r="K100" s="460">
        <v>16210.2284</v>
      </c>
      <c r="L100" s="460">
        <v>129.6818272</v>
      </c>
      <c r="M100" s="460">
        <v>6205.20134</v>
      </c>
      <c r="N100" s="619"/>
      <c r="O100" s="74"/>
      <c r="P100" s="74"/>
      <c r="Q100" s="74"/>
      <c r="R100" s="74"/>
      <c r="S100" s="74"/>
      <c r="T100" s="74"/>
      <c r="U100" s="74"/>
      <c r="V100" s="74"/>
      <c r="W100" s="74"/>
      <c r="X100" s="74"/>
      <c r="Y100" s="74"/>
      <c r="Z100" s="74"/>
    </row>
    <row r="101" ht="14.25" customHeight="1">
      <c r="A101" s="74"/>
      <c r="B101" s="456" t="s">
        <v>1858</v>
      </c>
      <c r="C101" s="321" t="s">
        <v>1859</v>
      </c>
      <c r="D101" s="402">
        <v>32202.4408</v>
      </c>
      <c r="E101" s="402" t="str">
        <f t="shared" si="4"/>
        <v>#REF!</v>
      </c>
      <c r="F101" s="402">
        <v>139.988871</v>
      </c>
      <c r="G101" s="289" t="s">
        <v>137</v>
      </c>
      <c r="H101" s="245"/>
      <c r="I101" s="245"/>
      <c r="J101" s="245"/>
      <c r="K101" s="245"/>
      <c r="L101" s="245"/>
      <c r="M101" s="245"/>
      <c r="N101" s="453"/>
      <c r="O101" s="74"/>
      <c r="P101" s="74"/>
      <c r="Q101" s="74"/>
      <c r="R101" s="74"/>
      <c r="S101" s="74"/>
      <c r="T101" s="74"/>
      <c r="U101" s="74"/>
      <c r="V101" s="74"/>
      <c r="W101" s="74"/>
      <c r="X101" s="74"/>
      <c r="Y101" s="74"/>
      <c r="Z101" s="74"/>
    </row>
    <row r="102" ht="14.25" customHeight="1">
      <c r="A102" s="74"/>
      <c r="B102" s="456" t="s">
        <v>1862</v>
      </c>
      <c r="C102" s="321" t="s">
        <v>1863</v>
      </c>
      <c r="D102" s="402">
        <v>1793.32521</v>
      </c>
      <c r="E102" s="402" t="str">
        <f t="shared" si="4"/>
        <v>#REF!</v>
      </c>
      <c r="F102" s="402">
        <v>7.79585538</v>
      </c>
      <c r="G102" s="289" t="s">
        <v>137</v>
      </c>
      <c r="H102" s="245"/>
      <c r="I102" s="245"/>
      <c r="J102" s="245"/>
      <c r="K102" s="245"/>
      <c r="L102" s="245"/>
      <c r="M102" s="245"/>
      <c r="N102" s="453"/>
      <c r="O102" s="74"/>
      <c r="P102" s="74"/>
      <c r="Q102" s="74"/>
      <c r="R102" s="74"/>
      <c r="S102" s="74"/>
      <c r="T102" s="74"/>
      <c r="U102" s="74"/>
      <c r="V102" s="74"/>
      <c r="W102" s="74"/>
      <c r="X102" s="74"/>
      <c r="Y102" s="74"/>
      <c r="Z102" s="74"/>
    </row>
    <row r="103" ht="14.25" customHeight="1">
      <c r="A103" s="74"/>
      <c r="B103" s="623" t="s">
        <v>137</v>
      </c>
      <c r="C103" s="289" t="s">
        <v>137</v>
      </c>
      <c r="D103" s="288" t="s">
        <v>137</v>
      </c>
      <c r="E103" s="288" t="s">
        <v>137</v>
      </c>
      <c r="F103" s="288" t="s">
        <v>137</v>
      </c>
      <c r="G103" s="289" t="s">
        <v>137</v>
      </c>
      <c r="H103" s="245"/>
      <c r="I103" s="245"/>
      <c r="J103" s="245"/>
      <c r="K103" s="245"/>
      <c r="L103" s="245"/>
      <c r="M103" s="245"/>
      <c r="N103" s="453"/>
      <c r="O103" s="74"/>
      <c r="P103" s="74"/>
      <c r="Q103" s="74"/>
      <c r="R103" s="74"/>
      <c r="S103" s="74"/>
      <c r="T103" s="74"/>
      <c r="U103" s="74"/>
      <c r="V103" s="74"/>
      <c r="W103" s="74"/>
      <c r="X103" s="74"/>
      <c r="Y103" s="74"/>
      <c r="Z103" s="74"/>
    </row>
    <row r="104" ht="14.25" customHeight="1">
      <c r="A104" s="74"/>
      <c r="B104" s="459"/>
      <c r="C104" s="245"/>
      <c r="D104" s="245"/>
      <c r="E104" s="245"/>
      <c r="F104" s="245"/>
      <c r="G104" s="245"/>
      <c r="H104" s="245"/>
      <c r="I104" s="245"/>
      <c r="J104" s="245"/>
      <c r="K104" s="245"/>
      <c r="L104" s="245"/>
      <c r="M104" s="245"/>
      <c r="N104" s="453"/>
      <c r="O104" s="74"/>
      <c r="P104" s="74"/>
      <c r="Q104" s="74"/>
      <c r="R104" s="74"/>
      <c r="S104" s="74"/>
      <c r="T104" s="74"/>
      <c r="U104" s="74"/>
      <c r="V104" s="74"/>
      <c r="W104" s="74"/>
      <c r="X104" s="74"/>
      <c r="Y104" s="74"/>
      <c r="Z104" s="74"/>
    </row>
    <row r="105" ht="14.25" customHeight="1">
      <c r="A105" s="74"/>
      <c r="B105" s="452" t="s">
        <v>1875</v>
      </c>
      <c r="C105" s="245"/>
      <c r="D105" s="245"/>
      <c r="E105" s="245"/>
      <c r="F105" s="245"/>
      <c r="G105" s="245"/>
      <c r="H105" s="245"/>
      <c r="I105" s="245"/>
      <c r="J105" s="245"/>
      <c r="K105" s="245"/>
      <c r="L105" s="245"/>
      <c r="M105" s="245"/>
      <c r="N105" s="453"/>
      <c r="O105" s="74"/>
      <c r="P105" s="74"/>
      <c r="Q105" s="74"/>
      <c r="R105" s="74"/>
      <c r="S105" s="74"/>
      <c r="T105" s="74"/>
      <c r="U105" s="74"/>
      <c r="V105" s="74"/>
      <c r="W105" s="74"/>
      <c r="X105" s="74"/>
      <c r="Y105" s="74"/>
      <c r="Z105" s="74"/>
    </row>
    <row r="106" ht="14.25" customHeight="1">
      <c r="A106" s="74"/>
      <c r="B106" s="454" t="s">
        <v>301</v>
      </c>
      <c r="C106" s="246" t="s">
        <v>302</v>
      </c>
      <c r="D106" s="246" t="s">
        <v>303</v>
      </c>
      <c r="E106" s="246" t="s">
        <v>304</v>
      </c>
      <c r="F106" s="246" t="s">
        <v>305</v>
      </c>
      <c r="G106" s="246" t="s">
        <v>146</v>
      </c>
      <c r="H106" s="245"/>
      <c r="I106" s="245"/>
      <c r="J106" s="245"/>
      <c r="K106" s="245"/>
      <c r="L106" s="245"/>
      <c r="M106" s="245"/>
      <c r="N106" s="453"/>
      <c r="O106" s="74"/>
      <c r="P106" s="74"/>
      <c r="Q106" s="74"/>
      <c r="R106" s="74"/>
      <c r="S106" s="74"/>
      <c r="T106" s="74"/>
      <c r="U106" s="74"/>
      <c r="V106" s="74"/>
      <c r="W106" s="74"/>
      <c r="X106" s="74"/>
      <c r="Y106" s="74"/>
      <c r="Z106" s="74"/>
    </row>
    <row r="107" ht="14.25" customHeight="1">
      <c r="A107" s="74"/>
      <c r="B107" s="471" t="s">
        <v>137</v>
      </c>
      <c r="C107" s="472" t="s">
        <v>137</v>
      </c>
      <c r="D107" s="472" t="s">
        <v>137</v>
      </c>
      <c r="E107" s="472" t="s">
        <v>137</v>
      </c>
      <c r="F107" s="472" t="s">
        <v>137</v>
      </c>
      <c r="G107" s="472" t="s">
        <v>137</v>
      </c>
      <c r="H107" s="473"/>
      <c r="I107" s="473"/>
      <c r="J107" s="473"/>
      <c r="K107" s="473"/>
      <c r="L107" s="473"/>
      <c r="M107" s="473"/>
      <c r="N107" s="503"/>
      <c r="O107" s="74"/>
      <c r="P107" s="74"/>
      <c r="Q107" s="74"/>
      <c r="R107" s="74"/>
      <c r="S107" s="74"/>
      <c r="T107" s="74"/>
      <c r="U107" s="74"/>
      <c r="V107" s="74"/>
      <c r="W107" s="74"/>
      <c r="X107" s="74"/>
      <c r="Y107" s="74"/>
      <c r="Z107" s="74"/>
    </row>
    <row r="108" ht="14.25" customHeight="1">
      <c r="A108" s="74"/>
      <c r="B108" s="117"/>
      <c r="C108" s="117"/>
      <c r="D108" s="117"/>
      <c r="E108" s="117"/>
      <c r="F108" s="117"/>
      <c r="G108" s="117"/>
      <c r="H108" s="117"/>
      <c r="I108" s="117"/>
      <c r="J108" s="74"/>
      <c r="K108" s="74"/>
      <c r="L108" s="74"/>
      <c r="M108" s="74"/>
      <c r="N108" s="74"/>
      <c r="O108" s="74"/>
      <c r="P108" s="74"/>
      <c r="Q108" s="74"/>
      <c r="R108" s="74"/>
      <c r="S108" s="74"/>
      <c r="T108" s="74"/>
      <c r="U108" s="74"/>
      <c r="V108" s="74"/>
      <c r="W108" s="74"/>
      <c r="X108" s="74"/>
      <c r="Y108" s="74"/>
      <c r="Z108" s="74"/>
    </row>
    <row r="109" ht="14.25" customHeight="1">
      <c r="A109" s="74"/>
      <c r="B109" s="117"/>
      <c r="C109" s="117"/>
      <c r="D109" s="117"/>
      <c r="E109" s="117"/>
      <c r="F109" s="117"/>
      <c r="G109" s="117"/>
      <c r="H109" s="117"/>
      <c r="I109" s="117"/>
      <c r="J109" s="74"/>
      <c r="K109" s="74"/>
      <c r="L109" s="74"/>
      <c r="M109" s="74"/>
      <c r="N109" s="74"/>
      <c r="O109" s="74"/>
      <c r="P109" s="74"/>
      <c r="Q109" s="74"/>
      <c r="R109" s="74"/>
      <c r="S109" s="74"/>
      <c r="T109" s="74"/>
      <c r="U109" s="74"/>
      <c r="V109" s="74"/>
      <c r="W109" s="74"/>
      <c r="X109" s="74"/>
      <c r="Y109" s="74"/>
      <c r="Z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4.25" customHeight="1">
      <c r="A111" s="74"/>
      <c r="B111" s="110" t="s">
        <v>163</v>
      </c>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4.25" customHeight="1">
      <c r="A112" s="74"/>
      <c r="B112" s="188" t="s">
        <v>1876</v>
      </c>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4.25" customHeight="1">
      <c r="A113" s="74"/>
      <c r="B113" s="188" t="s">
        <v>165</v>
      </c>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4.25" customHeight="1">
      <c r="A114" s="74"/>
      <c r="B114" s="188" t="s">
        <v>166</v>
      </c>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4.2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4.25" customHeight="1">
      <c r="A118" s="74"/>
      <c r="B118" s="267" t="s">
        <v>167</v>
      </c>
      <c r="C118" s="376" t="s">
        <v>168</v>
      </c>
      <c r="D118" s="377"/>
      <c r="E118" s="324"/>
      <c r="F118" s="74"/>
      <c r="G118" s="74"/>
      <c r="H118" s="74"/>
      <c r="I118" s="74"/>
      <c r="J118" s="74"/>
      <c r="K118" s="74"/>
      <c r="L118" s="74"/>
      <c r="M118" s="74"/>
      <c r="N118" s="74"/>
      <c r="O118" s="74"/>
      <c r="P118" s="74"/>
      <c r="Q118" s="74"/>
      <c r="R118" s="74"/>
      <c r="S118" s="74"/>
      <c r="T118" s="74"/>
      <c r="U118" s="74"/>
      <c r="V118" s="74"/>
      <c r="W118" s="74"/>
      <c r="X118" s="74"/>
      <c r="Y118" s="74"/>
      <c r="Z118" s="74"/>
    </row>
    <row r="119" ht="14.25" customHeight="1">
      <c r="A119" s="74"/>
      <c r="B119" s="608" t="s">
        <v>696</v>
      </c>
      <c r="C119" s="367" t="s">
        <v>1877</v>
      </c>
      <c r="D119" s="93"/>
      <c r="E119" s="94"/>
      <c r="F119" s="74"/>
      <c r="G119" s="74"/>
      <c r="H119" s="74"/>
      <c r="I119" s="74"/>
      <c r="J119" s="74"/>
      <c r="K119" s="74"/>
      <c r="L119" s="74"/>
      <c r="M119" s="74"/>
      <c r="N119" s="74"/>
      <c r="O119" s="74"/>
      <c r="P119" s="74"/>
      <c r="Q119" s="74"/>
      <c r="R119" s="74"/>
      <c r="S119" s="74"/>
      <c r="T119" s="74"/>
      <c r="U119" s="74"/>
      <c r="V119" s="74"/>
      <c r="W119" s="74"/>
      <c r="X119" s="74"/>
      <c r="Y119" s="74"/>
      <c r="Z119" s="74"/>
    </row>
    <row r="120" ht="14.25" customHeight="1">
      <c r="A120" s="74"/>
      <c r="B120" s="610" t="s">
        <v>698</v>
      </c>
      <c r="C120" s="368" t="s">
        <v>1878</v>
      </c>
      <c r="E120" s="29"/>
      <c r="F120" s="74"/>
      <c r="G120" s="74"/>
      <c r="H120" s="74"/>
      <c r="I120" s="74"/>
      <c r="J120" s="74"/>
      <c r="K120" s="74"/>
      <c r="L120" s="74"/>
      <c r="M120" s="74"/>
      <c r="N120" s="74"/>
      <c r="O120" s="74"/>
      <c r="P120" s="74"/>
      <c r="Q120" s="74"/>
      <c r="R120" s="74"/>
      <c r="S120" s="74"/>
      <c r="T120" s="74"/>
      <c r="U120" s="74"/>
      <c r="V120" s="74"/>
      <c r="W120" s="74"/>
      <c r="X120" s="74"/>
      <c r="Y120" s="74"/>
      <c r="Z120" s="74"/>
    </row>
    <row r="121" ht="14.25" customHeight="1">
      <c r="A121" s="74"/>
      <c r="B121" s="611" t="s">
        <v>700</v>
      </c>
      <c r="C121" s="590" t="s">
        <v>1879</v>
      </c>
      <c r="D121" s="95"/>
      <c r="E121" s="38"/>
      <c r="F121" s="74"/>
      <c r="G121" s="74"/>
      <c r="H121" s="74"/>
      <c r="I121" s="74"/>
      <c r="J121" s="74"/>
      <c r="K121" s="74"/>
      <c r="L121" s="74"/>
      <c r="M121" s="74"/>
      <c r="N121" s="74"/>
      <c r="O121" s="74"/>
      <c r="P121" s="74"/>
      <c r="Q121" s="74"/>
      <c r="R121" s="74"/>
      <c r="S121" s="74"/>
      <c r="T121" s="74"/>
      <c r="U121" s="74"/>
      <c r="V121" s="74"/>
      <c r="W121" s="74"/>
      <c r="X121" s="74"/>
      <c r="Y121" s="74"/>
      <c r="Z121" s="74"/>
    </row>
    <row r="122" ht="14.25" customHeight="1">
      <c r="A122" s="74"/>
      <c r="B122" s="387"/>
      <c r="C122" s="388"/>
      <c r="D122" s="76"/>
      <c r="E122" s="77"/>
      <c r="F122" s="74"/>
      <c r="G122" s="74"/>
      <c r="H122" s="74"/>
      <c r="I122" s="74"/>
      <c r="J122" s="74"/>
      <c r="K122" s="74"/>
      <c r="L122" s="74"/>
      <c r="M122" s="74"/>
      <c r="N122" s="74"/>
      <c r="O122" s="74"/>
      <c r="P122" s="74"/>
      <c r="Q122" s="74"/>
      <c r="R122" s="74"/>
      <c r="S122" s="74"/>
      <c r="T122" s="74"/>
      <c r="U122" s="74"/>
      <c r="V122" s="74"/>
      <c r="W122" s="74"/>
      <c r="X122" s="74"/>
      <c r="Y122" s="74"/>
      <c r="Z122" s="74"/>
    </row>
    <row r="123" ht="14.25" customHeight="1">
      <c r="A123" s="74"/>
      <c r="B123" s="387"/>
      <c r="C123" s="388"/>
      <c r="D123" s="76"/>
      <c r="E123" s="77"/>
      <c r="F123" s="74"/>
      <c r="G123" s="74"/>
      <c r="H123" s="74"/>
      <c r="I123" s="74"/>
      <c r="J123" s="74"/>
      <c r="K123" s="74"/>
      <c r="L123" s="74"/>
      <c r="M123" s="74"/>
      <c r="N123" s="74"/>
      <c r="O123" s="74"/>
      <c r="P123" s="74"/>
      <c r="Q123" s="74"/>
      <c r="R123" s="74"/>
      <c r="S123" s="74"/>
      <c r="T123" s="74"/>
      <c r="U123" s="74"/>
      <c r="V123" s="74"/>
      <c r="W123" s="74"/>
      <c r="X123" s="74"/>
      <c r="Y123" s="74"/>
      <c r="Z123" s="74"/>
    </row>
    <row r="124" ht="14.25" customHeight="1">
      <c r="A124" s="74"/>
      <c r="B124" s="387"/>
      <c r="C124" s="388"/>
      <c r="D124" s="76"/>
      <c r="E124" s="77"/>
      <c r="F124" s="74"/>
      <c r="G124" s="74"/>
      <c r="H124" s="74"/>
      <c r="I124" s="74"/>
      <c r="J124" s="74"/>
      <c r="K124" s="74"/>
      <c r="L124" s="74"/>
      <c r="M124" s="74"/>
      <c r="N124" s="74"/>
      <c r="O124" s="74"/>
      <c r="P124" s="74"/>
      <c r="Q124" s="74"/>
      <c r="R124" s="74"/>
      <c r="S124" s="74"/>
      <c r="T124" s="74"/>
      <c r="U124" s="74"/>
      <c r="V124" s="74"/>
      <c r="W124" s="74"/>
      <c r="X124" s="74"/>
      <c r="Y124" s="74"/>
      <c r="Z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17">
    <mergeCell ref="B3:O3"/>
    <mergeCell ref="B4:O4"/>
    <mergeCell ref="B6:C6"/>
    <mergeCell ref="E6:O7"/>
    <mergeCell ref="B7:C7"/>
    <mergeCell ref="B10:O14"/>
    <mergeCell ref="B19:O23"/>
    <mergeCell ref="C122:E122"/>
    <mergeCell ref="C123:E123"/>
    <mergeCell ref="C124:E124"/>
    <mergeCell ref="C62:D62"/>
    <mergeCell ref="K75:L75"/>
    <mergeCell ref="L83:N83"/>
    <mergeCell ref="C118:E118"/>
    <mergeCell ref="C119:E119"/>
    <mergeCell ref="C120:E120"/>
    <mergeCell ref="C121:E121"/>
  </mergeCells>
  <printOptions/>
  <pageMargins bottom="0.75" footer="0.0" header="0.0" left="0.7" right="0.7" top="0.75"/>
  <pageSetup orientation="landscape"/>
  <drawing r:id="rId1"/>
  <legacyDrawing r:id="rId2"/>
  <oleObjects>
    <oleObject progId="Visio.Drawing.15" shapeId="4097" r:id="rId3"/>
    <oleObject progId="Equation.DSMT4" shapeId="4098" r:id="rId4"/>
  </oleObjec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3.57"/>
    <col customWidth="1" min="13" max="13" width="28.14"/>
    <col customWidth="1" min="14" max="14" width="26.14"/>
    <col customWidth="1" min="15" max="15" width="21.57"/>
    <col customWidth="1" min="16" max="16" width="31.86"/>
    <col customWidth="1" min="17"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1880</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79" t="s">
        <v>85</v>
      </c>
      <c r="C6" s="80"/>
      <c r="D6" s="81" t="s">
        <v>1881</v>
      </c>
      <c r="E6" s="82"/>
      <c r="F6" s="83"/>
      <c r="G6" s="83"/>
      <c r="H6" s="83"/>
      <c r="I6" s="83"/>
      <c r="J6" s="83"/>
      <c r="K6" s="83"/>
      <c r="L6" s="83"/>
      <c r="M6" s="83"/>
      <c r="N6" s="83"/>
      <c r="O6" s="84"/>
      <c r="P6" s="74"/>
      <c r="Q6" s="74"/>
      <c r="R6" s="74"/>
      <c r="S6" s="74"/>
      <c r="T6" s="74"/>
      <c r="U6" s="74"/>
      <c r="V6" s="74"/>
      <c r="W6" s="74"/>
      <c r="X6" s="74"/>
      <c r="Y6" s="74"/>
      <c r="Z6" s="74"/>
    </row>
    <row r="7" ht="14.25" customHeight="1">
      <c r="A7" s="74"/>
      <c r="B7" s="79" t="s">
        <v>87</v>
      </c>
      <c r="C7" s="80"/>
      <c r="D7" s="81" t="s">
        <v>88</v>
      </c>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89</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97" t="s">
        <v>1882</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68.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285.0"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91</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97" t="s">
        <v>1883</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129.0"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113" t="s">
        <v>1884</v>
      </c>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t="s">
        <v>1885</v>
      </c>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110" t="s">
        <v>98</v>
      </c>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111"/>
      <c r="D61" s="111"/>
      <c r="E61" s="112"/>
      <c r="F61" s="91"/>
      <c r="G61" s="113"/>
      <c r="H61" s="74"/>
      <c r="I61" s="74"/>
      <c r="J61" s="74"/>
      <c r="K61" s="74"/>
      <c r="L61" s="74"/>
      <c r="M61" s="74"/>
      <c r="N61" s="74"/>
      <c r="O61" s="109"/>
      <c r="P61" s="74"/>
      <c r="Q61" s="74"/>
      <c r="R61" s="74"/>
      <c r="S61" s="74"/>
      <c r="T61" s="74"/>
      <c r="U61" s="74"/>
      <c r="V61" s="74"/>
      <c r="W61" s="74"/>
      <c r="X61" s="74"/>
      <c r="Y61" s="74"/>
      <c r="Z61" s="74"/>
    </row>
    <row r="62" ht="14.25" customHeight="1">
      <c r="A62" s="74"/>
      <c r="B62" s="114" t="s">
        <v>99</v>
      </c>
      <c r="C62" s="203"/>
      <c r="D62" s="80"/>
      <c r="E62" s="74"/>
      <c r="F62" s="74"/>
      <c r="G62" s="74"/>
      <c r="H62" s="118" t="s">
        <v>100</v>
      </c>
      <c r="I62" s="558"/>
      <c r="J62" s="559"/>
      <c r="K62" s="74"/>
      <c r="L62" s="74"/>
      <c r="M62" s="74"/>
      <c r="N62" s="118" t="s">
        <v>101</v>
      </c>
      <c r="O62" s="118"/>
      <c r="P62" s="89"/>
      <c r="Q62" s="74"/>
      <c r="R62" s="74"/>
      <c r="S62" s="74"/>
      <c r="T62" s="74"/>
      <c r="U62" s="74"/>
      <c r="V62" s="74"/>
      <c r="W62" s="74"/>
      <c r="X62" s="74"/>
      <c r="Y62" s="74"/>
      <c r="Z62" s="74"/>
    </row>
    <row r="63" ht="14.25" customHeight="1">
      <c r="A63" s="74"/>
      <c r="B63" s="121" t="s">
        <v>102</v>
      </c>
      <c r="C63" s="121" t="s">
        <v>103</v>
      </c>
      <c r="D63" s="121" t="s">
        <v>104</v>
      </c>
      <c r="E63" s="283" t="s">
        <v>1767</v>
      </c>
      <c r="F63" s="283" t="s">
        <v>241</v>
      </c>
      <c r="G63" s="74"/>
      <c r="H63" s="121" t="s">
        <v>102</v>
      </c>
      <c r="I63" s="121" t="s">
        <v>103</v>
      </c>
      <c r="J63" s="121" t="s">
        <v>104</v>
      </c>
      <c r="K63" s="283" t="s">
        <v>1767</v>
      </c>
      <c r="L63" s="283" t="s">
        <v>241</v>
      </c>
      <c r="M63" s="74"/>
      <c r="N63" s="118" t="s">
        <v>105</v>
      </c>
      <c r="O63" s="122"/>
      <c r="P63" s="74"/>
      <c r="Q63" s="74"/>
      <c r="R63" s="74"/>
      <c r="S63" s="74"/>
      <c r="T63" s="74"/>
      <c r="U63" s="74"/>
      <c r="V63" s="74"/>
      <c r="W63" s="74"/>
      <c r="X63" s="74"/>
      <c r="Y63" s="74"/>
      <c r="Z63" s="74"/>
    </row>
    <row r="64" ht="14.25" customHeight="1">
      <c r="A64" s="74"/>
      <c r="B64" s="154" t="s">
        <v>1886</v>
      </c>
      <c r="C64" s="151" t="s">
        <v>1887</v>
      </c>
      <c r="D64" s="124">
        <v>754.172</v>
      </c>
      <c r="E64" s="247">
        <v>20.0</v>
      </c>
      <c r="F64" s="285">
        <v>25.0</v>
      </c>
      <c r="G64" s="74"/>
      <c r="H64" s="154" t="s">
        <v>1888</v>
      </c>
      <c r="I64" s="151" t="s">
        <v>1889</v>
      </c>
      <c r="J64" s="527">
        <v>1233.25</v>
      </c>
      <c r="K64" s="247">
        <v>40.0</v>
      </c>
      <c r="L64" s="285">
        <v>1.02</v>
      </c>
      <c r="M64" s="74"/>
      <c r="N64" s="110" t="s">
        <v>110</v>
      </c>
      <c r="O64" s="125">
        <f>SUM(D64:D67)</f>
        <v>2222.0122</v>
      </c>
      <c r="P64" s="74"/>
      <c r="Q64" s="100" t="s">
        <v>93</v>
      </c>
      <c r="R64" s="74"/>
      <c r="S64" s="74"/>
      <c r="T64" s="74"/>
      <c r="U64" s="74"/>
      <c r="V64" s="74"/>
      <c r="W64" s="74"/>
      <c r="X64" s="74"/>
      <c r="Y64" s="74"/>
      <c r="Z64" s="74"/>
    </row>
    <row r="65" ht="14.25" customHeight="1">
      <c r="A65" s="74"/>
      <c r="B65" s="154" t="s">
        <v>639</v>
      </c>
      <c r="C65" s="151" t="s">
        <v>1890</v>
      </c>
      <c r="D65" s="124">
        <v>949.0</v>
      </c>
      <c r="E65" s="247">
        <v>20.0</v>
      </c>
      <c r="F65" s="285">
        <v>1.02</v>
      </c>
      <c r="G65" s="132"/>
      <c r="H65" s="132"/>
      <c r="I65" s="74"/>
      <c r="J65" s="74"/>
      <c r="K65" s="74"/>
      <c r="L65" s="74"/>
      <c r="M65" s="74"/>
      <c r="N65" s="110" t="s">
        <v>114</v>
      </c>
      <c r="O65" s="125">
        <f>J64</f>
        <v>1233.25</v>
      </c>
      <c r="P65" s="74"/>
      <c r="Q65" s="101" t="s">
        <v>94</v>
      </c>
      <c r="R65" s="74"/>
      <c r="S65" s="74"/>
      <c r="T65" s="74"/>
      <c r="U65" s="74"/>
      <c r="V65" s="74"/>
      <c r="W65" s="74"/>
      <c r="X65" s="74"/>
      <c r="Y65" s="74"/>
      <c r="Z65" s="74"/>
    </row>
    <row r="66" ht="14.25" customHeight="1">
      <c r="A66" s="74"/>
      <c r="B66" s="154" t="s">
        <v>1373</v>
      </c>
      <c r="C66" s="154" t="s">
        <v>1538</v>
      </c>
      <c r="D66" s="124">
        <v>504.428</v>
      </c>
      <c r="E66" s="285">
        <v>380.0</v>
      </c>
      <c r="F66" s="285">
        <v>140.0</v>
      </c>
      <c r="G66" s="74"/>
      <c r="H66" s="118" t="s">
        <v>280</v>
      </c>
      <c r="I66" s="558"/>
      <c r="J66" s="559"/>
      <c r="K66" s="74"/>
      <c r="L66" s="74"/>
      <c r="M66" s="74"/>
      <c r="N66" s="110" t="s">
        <v>117</v>
      </c>
      <c r="O66" s="125">
        <f>SUM(J68:J74)</f>
        <v>988.7598</v>
      </c>
      <c r="P66" s="74"/>
      <c r="Q66" s="101" t="s">
        <v>95</v>
      </c>
      <c r="R66" s="74"/>
      <c r="S66" s="74"/>
      <c r="T66" s="74"/>
      <c r="U66" s="74"/>
      <c r="V66" s="74"/>
      <c r="W66" s="74"/>
      <c r="X66" s="74"/>
      <c r="Y66" s="74"/>
      <c r="Z66" s="74"/>
    </row>
    <row r="67" ht="14.25" customHeight="1">
      <c r="A67" s="74"/>
      <c r="B67" s="154" t="s">
        <v>1891</v>
      </c>
      <c r="C67" s="154" t="s">
        <v>1538</v>
      </c>
      <c r="D67" s="124">
        <v>14.4122</v>
      </c>
      <c r="E67" s="285">
        <v>15.0</v>
      </c>
      <c r="F67" s="285">
        <v>1.02</v>
      </c>
      <c r="G67" s="74"/>
      <c r="H67" s="121" t="s">
        <v>102</v>
      </c>
      <c r="I67" s="121" t="s">
        <v>103</v>
      </c>
      <c r="J67" s="121" t="s">
        <v>104</v>
      </c>
      <c r="K67" s="283" t="s">
        <v>1767</v>
      </c>
      <c r="L67" s="283" t="s">
        <v>241</v>
      </c>
      <c r="M67" s="74"/>
      <c r="N67" s="74"/>
      <c r="O67" s="74"/>
      <c r="P67" s="126"/>
      <c r="Q67" s="101" t="s">
        <v>96</v>
      </c>
      <c r="R67" s="74"/>
      <c r="S67" s="74"/>
      <c r="T67" s="74"/>
      <c r="U67" s="74"/>
      <c r="V67" s="74"/>
      <c r="W67" s="74"/>
      <c r="X67" s="74"/>
      <c r="Y67" s="74"/>
      <c r="Z67" s="74"/>
    </row>
    <row r="68" ht="72.75" customHeight="1">
      <c r="A68" s="105"/>
      <c r="B68" s="105"/>
      <c r="C68" s="108"/>
      <c r="D68" s="109"/>
      <c r="E68" s="292"/>
      <c r="F68" s="74"/>
      <c r="G68" s="74"/>
      <c r="H68" s="154" t="s">
        <v>1892</v>
      </c>
      <c r="I68" s="151" t="s">
        <v>1893</v>
      </c>
      <c r="J68" s="151">
        <v>29.8003</v>
      </c>
      <c r="K68" s="247">
        <v>40.0</v>
      </c>
      <c r="L68" s="285">
        <v>2.0</v>
      </c>
      <c r="M68" s="74"/>
      <c r="N68" s="110" t="s">
        <v>101</v>
      </c>
      <c r="O68" s="125">
        <f>O64-O65-O66</f>
        <v>0.0024</v>
      </c>
      <c r="P68" s="74"/>
      <c r="Q68" s="74"/>
      <c r="R68" s="74"/>
      <c r="S68" s="74"/>
      <c r="T68" s="74"/>
      <c r="U68" s="74"/>
      <c r="V68" s="74"/>
      <c r="W68" s="74"/>
      <c r="X68" s="74"/>
      <c r="Y68" s="74"/>
      <c r="Z68" s="74"/>
    </row>
    <row r="69" ht="14.25" customHeight="1">
      <c r="A69" s="105"/>
      <c r="B69" s="105"/>
      <c r="C69" s="108"/>
      <c r="D69" s="109"/>
      <c r="E69" s="292"/>
      <c r="F69" s="74"/>
      <c r="G69" s="74"/>
      <c r="H69" s="154" t="s">
        <v>1894</v>
      </c>
      <c r="I69" s="151" t="s">
        <v>1895</v>
      </c>
      <c r="J69" s="151">
        <v>228.08</v>
      </c>
      <c r="K69" s="247">
        <v>40.0</v>
      </c>
      <c r="L69" s="285">
        <v>2.0</v>
      </c>
      <c r="M69" s="74"/>
      <c r="N69" s="135" t="s">
        <v>121</v>
      </c>
      <c r="O69" s="124">
        <f>(O68/O64)*100</f>
        <v>0.000108010208</v>
      </c>
      <c r="P69" s="74"/>
      <c r="Q69" s="104"/>
      <c r="R69" s="74"/>
      <c r="S69" s="74"/>
      <c r="T69" s="74"/>
      <c r="U69" s="74"/>
      <c r="V69" s="74"/>
      <c r="W69" s="74"/>
      <c r="X69" s="74"/>
      <c r="Y69" s="74"/>
      <c r="Z69" s="74"/>
    </row>
    <row r="70" ht="14.25" customHeight="1">
      <c r="A70" s="74"/>
      <c r="B70" s="74"/>
      <c r="C70" s="74"/>
      <c r="D70" s="74"/>
      <c r="E70" s="74"/>
      <c r="F70" s="74"/>
      <c r="G70" s="74"/>
      <c r="H70" s="154" t="s">
        <v>1896</v>
      </c>
      <c r="I70" s="151" t="s">
        <v>1897</v>
      </c>
      <c r="J70" s="286">
        <v>8.06</v>
      </c>
      <c r="K70" s="247">
        <v>40.0</v>
      </c>
      <c r="L70" s="285">
        <v>2.0</v>
      </c>
      <c r="M70" s="74"/>
      <c r="N70" s="104"/>
      <c r="O70" s="105"/>
      <c r="P70" s="74"/>
      <c r="Q70" s="74"/>
      <c r="R70" s="74"/>
      <c r="S70" s="74"/>
      <c r="T70" s="74"/>
      <c r="U70" s="74"/>
      <c r="V70" s="74"/>
      <c r="W70" s="74"/>
      <c r="X70" s="74"/>
      <c r="Y70" s="74"/>
      <c r="Z70" s="74"/>
    </row>
    <row r="71" ht="14.25" customHeight="1">
      <c r="A71" s="74"/>
      <c r="B71" s="74"/>
      <c r="C71" s="74"/>
      <c r="D71" s="74"/>
      <c r="E71" s="74"/>
      <c r="F71" s="74"/>
      <c r="G71" s="74"/>
      <c r="H71" s="154" t="s">
        <v>1898</v>
      </c>
      <c r="I71" s="151" t="s">
        <v>1899</v>
      </c>
      <c r="J71" s="286">
        <v>45.8865</v>
      </c>
      <c r="K71" s="247">
        <v>40.0</v>
      </c>
      <c r="L71" s="285">
        <v>1.02</v>
      </c>
      <c r="M71" s="74"/>
      <c r="N71" s="74"/>
      <c r="O71" s="74"/>
      <c r="P71" s="74"/>
      <c r="Q71" s="74"/>
      <c r="R71" s="74"/>
      <c r="S71" s="74"/>
      <c r="T71" s="74"/>
      <c r="U71" s="74"/>
      <c r="V71" s="74"/>
      <c r="W71" s="74"/>
      <c r="X71" s="74"/>
      <c r="Y71" s="74"/>
      <c r="Z71" s="74"/>
    </row>
    <row r="72" ht="14.25" customHeight="1">
      <c r="A72" s="74"/>
      <c r="B72" s="74"/>
      <c r="C72" s="74"/>
      <c r="D72" s="74"/>
      <c r="E72" s="74"/>
      <c r="F72" s="74"/>
      <c r="G72" s="74"/>
      <c r="H72" s="154" t="s">
        <v>1900</v>
      </c>
      <c r="I72" s="151" t="s">
        <v>1901</v>
      </c>
      <c r="J72" s="286">
        <v>90.053</v>
      </c>
      <c r="K72" s="247">
        <v>41.03</v>
      </c>
      <c r="L72" s="285">
        <v>1.02</v>
      </c>
      <c r="M72" s="74"/>
      <c r="N72" s="74"/>
      <c r="O72" s="74"/>
      <c r="P72" s="74"/>
      <c r="Q72" s="74"/>
      <c r="R72" s="74"/>
      <c r="S72" s="74"/>
      <c r="T72" s="74"/>
      <c r="U72" s="74"/>
      <c r="V72" s="74"/>
      <c r="W72" s="74"/>
      <c r="X72" s="74"/>
      <c r="Y72" s="74"/>
      <c r="Z72" s="74"/>
    </row>
    <row r="73" ht="14.25" customHeight="1">
      <c r="A73" s="74"/>
      <c r="B73" s="74"/>
      <c r="C73" s="74"/>
      <c r="D73" s="74"/>
      <c r="E73" s="74"/>
      <c r="F73" s="74"/>
      <c r="G73" s="74"/>
      <c r="H73" s="154" t="s">
        <v>1902</v>
      </c>
      <c r="I73" s="151" t="s">
        <v>1903</v>
      </c>
      <c r="J73" s="286">
        <v>586.88</v>
      </c>
      <c r="K73" s="290">
        <v>40.0</v>
      </c>
      <c r="L73" s="291">
        <v>1.02</v>
      </c>
      <c r="M73" s="74"/>
      <c r="N73" s="74"/>
      <c r="O73" s="74"/>
      <c r="P73" s="74"/>
      <c r="Q73" s="74"/>
      <c r="R73" s="74"/>
      <c r="S73" s="74"/>
      <c r="T73" s="74"/>
      <c r="U73" s="74"/>
      <c r="V73" s="74"/>
      <c r="W73" s="74"/>
      <c r="X73" s="74"/>
      <c r="Y73" s="74"/>
      <c r="Z73" s="74"/>
    </row>
    <row r="74" ht="14.25" customHeight="1">
      <c r="A74" s="74"/>
      <c r="B74" s="74"/>
      <c r="C74" s="74"/>
      <c r="D74" s="74"/>
      <c r="E74" s="74"/>
      <c r="F74" s="74"/>
      <c r="G74" s="74"/>
      <c r="H74" s="74" t="s">
        <v>1904</v>
      </c>
      <c r="I74" s="74"/>
      <c r="J74" s="74"/>
      <c r="K74" s="89"/>
      <c r="L74" s="74"/>
      <c r="M74" s="74"/>
      <c r="N74" s="74"/>
      <c r="O74" s="74"/>
      <c r="P74" s="74"/>
      <c r="Q74" s="74"/>
      <c r="R74" s="74"/>
      <c r="S74" s="74"/>
      <c r="T74" s="74"/>
      <c r="U74" s="74"/>
      <c r="V74" s="74"/>
      <c r="W74" s="74"/>
      <c r="X74" s="74"/>
      <c r="Y74" s="74"/>
      <c r="Z74" s="74"/>
    </row>
    <row r="75" ht="14.25" customHeight="1">
      <c r="A75" s="74"/>
      <c r="B75" s="74"/>
      <c r="C75" s="74"/>
      <c r="D75" s="74"/>
      <c r="E75" s="74"/>
      <c r="F75" s="74"/>
      <c r="G75" s="74"/>
      <c r="H75" s="74"/>
      <c r="I75" s="74"/>
      <c r="J75" s="129"/>
      <c r="K75" s="89"/>
      <c r="L75" s="136"/>
      <c r="M75" s="74"/>
      <c r="N75" s="74"/>
      <c r="O75" s="74"/>
      <c r="P75" s="74"/>
      <c r="Q75" s="74"/>
      <c r="R75" s="74"/>
      <c r="S75" s="74"/>
      <c r="T75" s="74"/>
      <c r="U75" s="74"/>
      <c r="V75" s="74"/>
      <c r="W75" s="74"/>
      <c r="X75" s="74"/>
      <c r="Y75" s="74"/>
      <c r="Z75" s="74"/>
    </row>
    <row r="76" ht="15.0" customHeight="1">
      <c r="A76" s="74"/>
      <c r="B76" s="74"/>
      <c r="C76" s="74"/>
      <c r="D76" s="74"/>
      <c r="E76" s="74"/>
      <c r="F76" s="74"/>
      <c r="G76" s="74"/>
      <c r="H76" s="74"/>
      <c r="I76" s="74"/>
      <c r="J76" s="129"/>
      <c r="K76" s="89"/>
      <c r="L76" s="91"/>
      <c r="M76" s="74"/>
      <c r="N76" s="74"/>
      <c r="O76" s="74"/>
      <c r="P76" s="74"/>
      <c r="Q76" s="74"/>
      <c r="R76" s="74"/>
      <c r="S76" s="74"/>
      <c r="T76" s="74"/>
      <c r="U76" s="74"/>
      <c r="V76" s="74"/>
      <c r="W76" s="74"/>
      <c r="X76" s="74"/>
      <c r="Y76" s="74"/>
      <c r="Z76" s="74"/>
    </row>
    <row r="77" ht="15.0" customHeight="1">
      <c r="A77" s="74"/>
      <c r="B77" s="74"/>
      <c r="C77" s="74"/>
      <c r="D77" s="74"/>
      <c r="E77" s="74"/>
      <c r="F77" s="74"/>
      <c r="G77" s="74"/>
      <c r="H77" s="74"/>
      <c r="I77" s="74"/>
      <c r="J77" s="129"/>
      <c r="K77" s="89"/>
      <c r="L77" s="91"/>
      <c r="M77" s="74"/>
      <c r="N77" s="74"/>
      <c r="O77" s="74"/>
      <c r="P77" s="74"/>
      <c r="Q77" s="74"/>
      <c r="R77" s="74"/>
      <c r="S77" s="74"/>
      <c r="T77" s="74"/>
      <c r="U77" s="74"/>
      <c r="V77" s="74"/>
      <c r="W77" s="74"/>
      <c r="X77" s="74"/>
      <c r="Y77" s="74"/>
      <c r="Z77" s="74"/>
    </row>
    <row r="78" ht="15.0" customHeight="1">
      <c r="A78" s="74"/>
      <c r="B78" s="74"/>
      <c r="C78" s="74"/>
      <c r="D78" s="74"/>
      <c r="E78" s="74"/>
      <c r="F78" s="74"/>
      <c r="G78" s="74"/>
      <c r="H78" s="74"/>
      <c r="I78" s="74"/>
      <c r="J78" s="129"/>
      <c r="K78" s="89"/>
      <c r="L78" s="91"/>
      <c r="M78" s="74"/>
      <c r="N78" s="74"/>
      <c r="O78" s="74"/>
      <c r="P78" s="74"/>
      <c r="Q78" s="74"/>
      <c r="R78" s="74"/>
      <c r="S78" s="74"/>
      <c r="T78" s="74"/>
      <c r="U78" s="74"/>
      <c r="V78" s="74"/>
      <c r="W78" s="74"/>
      <c r="X78" s="74"/>
      <c r="Y78" s="74"/>
      <c r="Z78" s="74"/>
    </row>
    <row r="79" ht="14.25" customHeight="1">
      <c r="A79" s="74"/>
      <c r="B79" s="74"/>
      <c r="C79" s="74"/>
      <c r="D79" s="74"/>
      <c r="E79" s="74"/>
      <c r="F79" s="74"/>
      <c r="G79" s="74"/>
      <c r="H79" s="74"/>
      <c r="I79" s="74"/>
      <c r="J79" s="129"/>
      <c r="K79" s="74"/>
      <c r="L79" s="74"/>
      <c r="M79" s="74"/>
      <c r="N79" s="74"/>
      <c r="O79" s="74"/>
      <c r="P79" s="74"/>
      <c r="Q79" s="74"/>
      <c r="R79" s="74"/>
      <c r="S79" s="74"/>
      <c r="T79" s="74"/>
      <c r="U79" s="74"/>
      <c r="V79" s="74"/>
      <c r="W79" s="74"/>
      <c r="X79" s="74"/>
      <c r="Y79" s="74"/>
      <c r="Z79" s="74"/>
    </row>
    <row r="80" ht="14.25" customHeight="1">
      <c r="A80" s="74"/>
      <c r="B80" s="74"/>
      <c r="C80" s="74"/>
      <c r="D80" s="74"/>
      <c r="E80" s="74"/>
      <c r="F80" s="74"/>
      <c r="G80" s="74"/>
      <c r="H80" s="74"/>
      <c r="I80" s="74"/>
      <c r="J80" s="129"/>
      <c r="K80" s="74"/>
      <c r="L80" s="74"/>
      <c r="M80" s="74"/>
      <c r="N80" s="74"/>
      <c r="O80" s="74"/>
      <c r="P80" s="74"/>
      <c r="Q80" s="74"/>
      <c r="R80" s="74"/>
      <c r="S80" s="74"/>
      <c r="T80" s="74"/>
      <c r="U80" s="74"/>
      <c r="V80" s="74"/>
      <c r="W80" s="74"/>
      <c r="X80" s="74"/>
      <c r="Y80" s="74"/>
      <c r="Z80" s="74"/>
    </row>
    <row r="81" ht="14.2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ht="14.25" customHeight="1">
      <c r="A82" s="74"/>
      <c r="B82" s="89"/>
      <c r="C82" s="89"/>
      <c r="D82" s="89"/>
      <c r="E82" s="89"/>
      <c r="F82" s="89"/>
      <c r="G82" s="89"/>
      <c r="H82" s="91"/>
      <c r="I82" s="91"/>
      <c r="J82" s="74"/>
      <c r="K82" s="74"/>
      <c r="L82" s="74"/>
      <c r="M82" s="74"/>
      <c r="N82" s="74"/>
      <c r="O82" s="74"/>
      <c r="P82" s="74"/>
      <c r="Q82" s="74"/>
      <c r="R82" s="74"/>
      <c r="S82" s="74"/>
      <c r="T82" s="74"/>
      <c r="U82" s="74"/>
      <c r="V82" s="74"/>
      <c r="W82" s="74"/>
      <c r="X82" s="74"/>
      <c r="Y82" s="74"/>
      <c r="Z82" s="74"/>
    </row>
    <row r="83" ht="14.2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4.25" customHeight="1">
      <c r="A84" s="74"/>
      <c r="B84" s="110" t="s">
        <v>122</v>
      </c>
      <c r="C84" s="117"/>
      <c r="D84" s="117"/>
      <c r="E84" s="117"/>
      <c r="F84" s="117"/>
      <c r="G84" s="117"/>
      <c r="H84" s="117"/>
      <c r="I84" s="117"/>
      <c r="J84" s="74"/>
      <c r="K84" s="74"/>
      <c r="L84" s="74"/>
      <c r="M84" s="74"/>
      <c r="N84" s="74"/>
      <c r="O84" s="74"/>
      <c r="P84" s="74"/>
      <c r="Q84" s="74"/>
      <c r="R84" s="74"/>
      <c r="S84" s="74"/>
      <c r="T84" s="74"/>
      <c r="U84" s="74"/>
      <c r="V84" s="74"/>
      <c r="W84" s="74"/>
      <c r="X84" s="74"/>
      <c r="Y84" s="74"/>
      <c r="Z84" s="74"/>
    </row>
    <row r="85" ht="14.25" customHeight="1">
      <c r="A85" s="74"/>
      <c r="B85" s="117"/>
      <c r="C85" s="117"/>
      <c r="D85" s="117"/>
      <c r="E85" s="117"/>
      <c r="F85" s="117"/>
      <c r="G85" s="117"/>
      <c r="H85" s="117"/>
      <c r="I85" s="117"/>
      <c r="J85" s="74"/>
      <c r="K85" s="74"/>
      <c r="L85" s="74"/>
      <c r="M85" s="74"/>
      <c r="N85" s="74"/>
      <c r="O85" s="74"/>
      <c r="P85" s="74"/>
      <c r="Q85" s="74"/>
      <c r="R85" s="74"/>
      <c r="S85" s="74"/>
      <c r="T85" s="74"/>
      <c r="U85" s="74"/>
      <c r="V85" s="74"/>
      <c r="W85" s="74"/>
      <c r="X85" s="74"/>
      <c r="Y85" s="74"/>
      <c r="Z85" s="74"/>
    </row>
    <row r="86" ht="14.25" customHeight="1">
      <c r="A86" s="74"/>
      <c r="B86" s="118" t="s">
        <v>3</v>
      </c>
      <c r="C86" s="118" t="s">
        <v>4</v>
      </c>
      <c r="D86" s="118" t="s">
        <v>124</v>
      </c>
      <c r="E86" s="142" t="s">
        <v>5</v>
      </c>
      <c r="F86" s="142" t="s">
        <v>125</v>
      </c>
      <c r="G86" s="143" t="s">
        <v>126</v>
      </c>
      <c r="H86" s="143" t="s">
        <v>127</v>
      </c>
      <c r="I86" s="144" t="s">
        <v>128</v>
      </c>
      <c r="J86" s="74"/>
      <c r="K86" s="138" t="s">
        <v>123</v>
      </c>
      <c r="L86" s="139"/>
      <c r="M86" s="140"/>
      <c r="N86" s="140"/>
      <c r="O86" s="140"/>
      <c r="P86" s="140"/>
      <c r="Q86" s="141"/>
      <c r="R86" s="74"/>
      <c r="S86" s="74"/>
      <c r="T86" s="74"/>
      <c r="U86" s="74"/>
      <c r="V86" s="74"/>
      <c r="W86" s="74"/>
      <c r="X86" s="74"/>
      <c r="Y86" s="74"/>
      <c r="Z86" s="74"/>
    </row>
    <row r="87" ht="14.25" customHeight="1">
      <c r="A87" s="74"/>
      <c r="B87" s="145" t="s">
        <v>8</v>
      </c>
      <c r="C87" s="146">
        <v>1469.784</v>
      </c>
      <c r="D87" s="146">
        <v>701.389</v>
      </c>
      <c r="E87" s="211">
        <v>-2076.728</v>
      </c>
      <c r="F87" s="146">
        <v>-991.024</v>
      </c>
      <c r="G87" s="146">
        <f t="shared" ref="G87:H87" si="1">C87+E87</f>
        <v>-606.944</v>
      </c>
      <c r="H87" s="146">
        <f t="shared" si="1"/>
        <v>-289.635</v>
      </c>
      <c r="I87" s="147" t="s">
        <v>297</v>
      </c>
      <c r="J87" s="74"/>
      <c r="K87" s="118" t="s">
        <v>3</v>
      </c>
      <c r="L87" s="114" t="s">
        <v>129</v>
      </c>
      <c r="M87" s="121" t="s">
        <v>130</v>
      </c>
      <c r="N87" s="121" t="s">
        <v>131</v>
      </c>
      <c r="O87" s="121" t="s">
        <v>132</v>
      </c>
      <c r="P87" s="121" t="s">
        <v>133</v>
      </c>
      <c r="Q87" s="114" t="s">
        <v>134</v>
      </c>
      <c r="R87" s="74"/>
      <c r="S87" s="74"/>
      <c r="T87" s="74"/>
      <c r="U87" s="74"/>
      <c r="V87" s="74"/>
      <c r="W87" s="74"/>
      <c r="X87" s="74"/>
      <c r="Y87" s="74"/>
      <c r="Z87" s="74"/>
    </row>
    <row r="88" ht="14.25" customHeight="1">
      <c r="A88" s="74"/>
      <c r="B88" s="145" t="s">
        <v>10</v>
      </c>
      <c r="C88" s="210">
        <v>1130.7128</v>
      </c>
      <c r="D88" s="146">
        <v>602.124</v>
      </c>
      <c r="E88" s="146">
        <v>0.0</v>
      </c>
      <c r="F88" s="146">
        <v>0.0</v>
      </c>
      <c r="G88" s="146">
        <f t="shared" ref="G88:H88" si="2">C88+E88</f>
        <v>1130.7128</v>
      </c>
      <c r="H88" s="146">
        <f t="shared" si="2"/>
        <v>602.124</v>
      </c>
      <c r="I88" s="147"/>
      <c r="J88" s="74"/>
      <c r="K88" s="148" t="s">
        <v>136</v>
      </c>
      <c r="L88" s="149" t="s">
        <v>137</v>
      </c>
      <c r="M88" s="149" t="s">
        <v>137</v>
      </c>
      <c r="N88" s="149" t="s">
        <v>137</v>
      </c>
      <c r="O88" s="149" t="s">
        <v>137</v>
      </c>
      <c r="P88" s="149" t="s">
        <v>137</v>
      </c>
      <c r="Q88" s="149" t="s">
        <v>137</v>
      </c>
      <c r="R88" s="74"/>
      <c r="S88" s="74"/>
      <c r="T88" s="74"/>
      <c r="U88" s="74"/>
      <c r="V88" s="74"/>
      <c r="W88" s="74"/>
      <c r="X88" s="74"/>
      <c r="Y88" s="74"/>
      <c r="Z88" s="74"/>
    </row>
    <row r="89" ht="14.25" customHeight="1">
      <c r="A89" s="74"/>
      <c r="B89" s="145" t="s">
        <v>11</v>
      </c>
      <c r="C89" s="210">
        <v>2923.136</v>
      </c>
      <c r="D89" s="146">
        <v>1790.76</v>
      </c>
      <c r="E89" s="146">
        <v>0.0</v>
      </c>
      <c r="F89" s="146">
        <v>0.0</v>
      </c>
      <c r="G89" s="146">
        <f t="shared" ref="G89:H89" si="3">C89+E89</f>
        <v>2923.136</v>
      </c>
      <c r="H89" s="146">
        <f t="shared" si="3"/>
        <v>1790.76</v>
      </c>
      <c r="I89" s="147"/>
      <c r="J89" s="74"/>
      <c r="K89" s="150" t="s">
        <v>8</v>
      </c>
      <c r="L89" s="149">
        <v>155.0</v>
      </c>
      <c r="M89" s="149">
        <v>155.0</v>
      </c>
      <c r="N89" s="151">
        <v>5.5</v>
      </c>
      <c r="O89" s="151">
        <v>5.5</v>
      </c>
      <c r="P89" s="149">
        <v>2096.77163841359</v>
      </c>
      <c r="Q89" s="149" t="s">
        <v>138</v>
      </c>
      <c r="R89" s="74"/>
      <c r="S89" s="74"/>
      <c r="T89" s="74"/>
      <c r="U89" s="74"/>
      <c r="V89" s="74"/>
      <c r="W89" s="74"/>
      <c r="X89" s="74"/>
      <c r="Y89" s="74"/>
      <c r="Z89" s="74"/>
    </row>
    <row r="90" ht="14.25" customHeight="1">
      <c r="A90" s="74"/>
      <c r="B90" s="145" t="s">
        <v>12</v>
      </c>
      <c r="C90" s="146">
        <v>6973.1932</v>
      </c>
      <c r="D90" s="152">
        <v>111413.16519999999</v>
      </c>
      <c r="E90" s="146">
        <v>0.0</v>
      </c>
      <c r="F90" s="146">
        <v>0.0</v>
      </c>
      <c r="G90" s="146">
        <f t="shared" ref="G90:H90" si="4">C90+E90</f>
        <v>6973.1932</v>
      </c>
      <c r="H90" s="146">
        <f t="shared" si="4"/>
        <v>111413.1652</v>
      </c>
      <c r="I90" s="147"/>
      <c r="J90" s="74"/>
      <c r="K90" s="118" t="s">
        <v>10</v>
      </c>
      <c r="L90" s="149">
        <v>214.0</v>
      </c>
      <c r="M90" s="149">
        <v>214.0</v>
      </c>
      <c r="N90" s="149">
        <v>21.0</v>
      </c>
      <c r="O90" s="149">
        <v>21.0</v>
      </c>
      <c r="P90" s="149">
        <v>1879.6128145344</v>
      </c>
      <c r="Q90" s="149" t="s">
        <v>138</v>
      </c>
      <c r="R90" s="74"/>
      <c r="S90" s="74"/>
      <c r="T90" s="74"/>
      <c r="U90" s="74"/>
      <c r="V90" s="74"/>
      <c r="W90" s="74"/>
      <c r="X90" s="74"/>
      <c r="Y90" s="74"/>
      <c r="Z90" s="74"/>
    </row>
    <row r="91" ht="14.25" customHeight="1">
      <c r="A91" s="74"/>
      <c r="B91" s="145" t="s">
        <v>34</v>
      </c>
      <c r="C91" s="146">
        <v>1014.78785808</v>
      </c>
      <c r="D91" s="614" t="s">
        <v>1905</v>
      </c>
      <c r="E91" s="146">
        <v>0.0</v>
      </c>
      <c r="F91" s="146">
        <v>0.0</v>
      </c>
      <c r="G91" s="146">
        <f t="shared" ref="G91:G92" si="5">C91+E91</f>
        <v>1014.787858</v>
      </c>
      <c r="H91" s="614" t="s">
        <v>1905</v>
      </c>
      <c r="I91" s="145"/>
      <c r="J91" s="74"/>
      <c r="K91" s="118" t="s">
        <v>11</v>
      </c>
      <c r="L91" s="149">
        <v>265.0</v>
      </c>
      <c r="M91" s="149">
        <v>265.0</v>
      </c>
      <c r="N91" s="149">
        <v>51.0</v>
      </c>
      <c r="O91" s="149">
        <v>51.0</v>
      </c>
      <c r="P91" s="149">
        <v>1632.4494056856</v>
      </c>
      <c r="Q91" s="149" t="s">
        <v>138</v>
      </c>
      <c r="R91" s="74"/>
      <c r="S91" s="74"/>
      <c r="T91" s="74"/>
      <c r="U91" s="74"/>
      <c r="V91" s="74"/>
      <c r="W91" s="74"/>
      <c r="X91" s="74"/>
      <c r="Y91" s="74"/>
      <c r="Z91" s="74"/>
    </row>
    <row r="92" ht="14.25" customHeight="1">
      <c r="A92" s="74"/>
      <c r="B92" s="145" t="s">
        <v>478</v>
      </c>
      <c r="C92" s="594">
        <v>1880.8552</v>
      </c>
      <c r="D92" s="145">
        <v>174675.8</v>
      </c>
      <c r="E92" s="145">
        <v>0.0</v>
      </c>
      <c r="F92" s="145">
        <v>0.0</v>
      </c>
      <c r="G92" s="146">
        <f t="shared" si="5"/>
        <v>1880.8552</v>
      </c>
      <c r="H92" s="614">
        <f>D92+F92</f>
        <v>174675.8</v>
      </c>
      <c r="I92" s="145"/>
      <c r="J92" s="74"/>
      <c r="K92" s="118" t="s">
        <v>12</v>
      </c>
      <c r="L92" s="159">
        <v>25.0</v>
      </c>
      <c r="M92" s="159">
        <v>40.0</v>
      </c>
      <c r="N92" s="160">
        <v>1.02</v>
      </c>
      <c r="O92" s="160">
        <v>1.02</v>
      </c>
      <c r="P92" s="160">
        <f>62.74243314036/(M92-L92)</f>
        <v>4.182828876</v>
      </c>
      <c r="Q92" s="159" t="s">
        <v>143</v>
      </c>
      <c r="R92" s="74"/>
      <c r="S92" s="74"/>
      <c r="T92" s="74"/>
      <c r="U92" s="74"/>
      <c r="V92" s="74"/>
      <c r="W92" s="74"/>
      <c r="X92" s="74"/>
      <c r="Y92" s="74"/>
      <c r="Z92" s="74"/>
    </row>
    <row r="93" ht="14.25" customHeight="1">
      <c r="A93" s="74"/>
      <c r="B93" s="117"/>
      <c r="C93" s="117"/>
      <c r="D93" s="117"/>
      <c r="E93" s="117"/>
      <c r="F93" s="117"/>
      <c r="G93" s="117"/>
      <c r="H93" s="117"/>
      <c r="I93" s="117"/>
      <c r="J93" s="74"/>
      <c r="K93" s="74"/>
      <c r="L93" s="74"/>
      <c r="M93" s="74"/>
      <c r="N93" s="74"/>
      <c r="O93" s="74"/>
      <c r="P93" s="74"/>
      <c r="Q93" s="74"/>
      <c r="R93" s="74"/>
      <c r="S93" s="74"/>
      <c r="T93" s="74"/>
      <c r="U93" s="74"/>
      <c r="V93" s="74"/>
      <c r="W93" s="74"/>
      <c r="X93" s="74"/>
      <c r="Y93" s="74"/>
      <c r="Z93" s="74"/>
    </row>
    <row r="94" ht="14.25" customHeight="1">
      <c r="A94" s="74"/>
      <c r="B94" s="89"/>
      <c r="C94" s="89"/>
      <c r="D94" s="91"/>
      <c r="E94" s="91"/>
      <c r="F94" s="91"/>
      <c r="G94" s="91"/>
      <c r="H94" s="74"/>
      <c r="I94" s="74"/>
      <c r="J94" s="74"/>
      <c r="K94" s="74"/>
      <c r="L94" s="624"/>
      <c r="M94" s="76"/>
      <c r="N94" s="77"/>
      <c r="O94" s="74"/>
      <c r="P94" s="74"/>
      <c r="Q94" s="105"/>
      <c r="R94" s="105"/>
      <c r="S94" s="105"/>
      <c r="T94" s="74"/>
      <c r="U94" s="74"/>
      <c r="V94" s="74"/>
      <c r="W94" s="74"/>
      <c r="X94" s="74"/>
      <c r="Y94" s="74"/>
      <c r="Z94" s="74"/>
    </row>
    <row r="95" ht="14.25" customHeight="1">
      <c r="A95" s="74"/>
      <c r="B95" s="136"/>
      <c r="C95" s="136"/>
      <c r="D95" s="136"/>
      <c r="E95" s="136"/>
      <c r="F95" s="136"/>
      <c r="G95" s="136"/>
      <c r="H95" s="293"/>
      <c r="I95" s="293"/>
      <c r="J95" s="293"/>
      <c r="K95" s="74"/>
      <c r="L95" s="199"/>
      <c r="M95" s="199"/>
      <c r="N95" s="199"/>
      <c r="O95" s="199"/>
      <c r="P95" s="199"/>
      <c r="Q95" s="199"/>
      <c r="R95" s="199"/>
      <c r="S95" s="199"/>
      <c r="T95" s="74"/>
      <c r="U95" s="74"/>
      <c r="V95" s="74"/>
      <c r="W95" s="74"/>
      <c r="X95" s="74"/>
      <c r="Y95" s="74"/>
      <c r="Z95" s="74"/>
    </row>
    <row r="96" ht="14.25" customHeight="1">
      <c r="A96" s="74"/>
      <c r="B96" s="136"/>
      <c r="C96" s="136"/>
      <c r="D96" s="540"/>
      <c r="E96" s="540"/>
      <c r="F96" s="540"/>
      <c r="G96" s="388"/>
      <c r="H96" s="76"/>
      <c r="I96" s="77"/>
      <c r="J96" s="105"/>
      <c r="K96" s="74"/>
      <c r="L96" s="199"/>
      <c r="M96" s="105"/>
      <c r="N96" s="105"/>
      <c r="O96" s="105"/>
      <c r="P96" s="105"/>
      <c r="Q96" s="109"/>
      <c r="R96" s="105"/>
      <c r="S96" s="105"/>
      <c r="T96" s="74"/>
      <c r="U96" s="74"/>
      <c r="V96" s="74"/>
      <c r="W96" s="74"/>
      <c r="X96" s="74"/>
      <c r="Y96" s="74"/>
      <c r="Z96" s="74"/>
    </row>
    <row r="97" ht="14.25" customHeight="1">
      <c r="A97" s="74"/>
      <c r="B97" s="136"/>
      <c r="C97" s="136"/>
      <c r="D97" s="540"/>
      <c r="E97" s="537"/>
      <c r="F97" s="540"/>
      <c r="G97" s="388"/>
      <c r="H97" s="76"/>
      <c r="I97" s="77"/>
      <c r="J97" s="105"/>
      <c r="K97" s="74"/>
      <c r="L97" s="199"/>
      <c r="M97" s="105"/>
      <c r="N97" s="105"/>
      <c r="O97" s="105"/>
      <c r="P97" s="105"/>
      <c r="Q97" s="109"/>
      <c r="R97" s="105"/>
      <c r="S97" s="105"/>
      <c r="T97" s="74"/>
      <c r="U97" s="74"/>
      <c r="V97" s="74"/>
      <c r="W97" s="74"/>
      <c r="X97" s="74"/>
      <c r="Y97" s="74"/>
      <c r="Z97" s="74"/>
    </row>
    <row r="98" ht="14.25" customHeight="1">
      <c r="A98" s="74"/>
      <c r="B98" s="136"/>
      <c r="C98" s="136"/>
      <c r="D98" s="540"/>
      <c r="E98" s="537"/>
      <c r="F98" s="540"/>
      <c r="G98" s="388"/>
      <c r="H98" s="76"/>
      <c r="I98" s="77"/>
      <c r="J98" s="105"/>
      <c r="K98" s="74"/>
      <c r="L98" s="199"/>
      <c r="M98" s="105"/>
      <c r="N98" s="105"/>
      <c r="O98" s="105"/>
      <c r="P98" s="105"/>
      <c r="Q98" s="109"/>
      <c r="R98" s="105"/>
      <c r="S98" s="105"/>
      <c r="T98" s="74"/>
      <c r="U98" s="74"/>
      <c r="V98" s="74"/>
      <c r="W98" s="74"/>
      <c r="X98" s="74"/>
      <c r="Y98" s="74"/>
      <c r="Z98" s="74"/>
    </row>
    <row r="99" ht="14.25" customHeight="1">
      <c r="A99" s="74"/>
      <c r="B99" s="136"/>
      <c r="C99" s="136"/>
      <c r="D99" s="540"/>
      <c r="E99" s="537"/>
      <c r="F99" s="540"/>
      <c r="G99" s="105"/>
      <c r="H99" s="105"/>
      <c r="I99" s="105"/>
      <c r="J99" s="105"/>
      <c r="K99" s="74"/>
      <c r="L99" s="199"/>
      <c r="M99" s="105"/>
      <c r="N99" s="105"/>
      <c r="O99" s="105"/>
      <c r="P99" s="105"/>
      <c r="Q99" s="109"/>
      <c r="R99" s="105"/>
      <c r="S99" s="105"/>
      <c r="T99" s="74"/>
      <c r="U99" s="74"/>
      <c r="V99" s="74"/>
      <c r="W99" s="74"/>
      <c r="X99" s="74"/>
      <c r="Y99" s="74"/>
      <c r="Z99" s="74"/>
    </row>
    <row r="100" ht="14.25" customHeight="1">
      <c r="A100" s="74"/>
      <c r="B100" s="136"/>
      <c r="C100" s="136"/>
      <c r="D100" s="540"/>
      <c r="E100" s="293"/>
      <c r="F100" s="540"/>
      <c r="G100" s="388"/>
      <c r="H100" s="76"/>
      <c r="I100" s="77"/>
      <c r="J100" s="105"/>
      <c r="K100" s="74"/>
      <c r="L100" s="199"/>
      <c r="M100" s="105"/>
      <c r="N100" s="105"/>
      <c r="O100" s="105"/>
      <c r="P100" s="105"/>
      <c r="Q100" s="109"/>
      <c r="R100" s="105"/>
      <c r="S100" s="105"/>
      <c r="T100" s="74"/>
      <c r="U100" s="74"/>
      <c r="V100" s="74"/>
      <c r="W100" s="74"/>
      <c r="X100" s="74"/>
      <c r="Y100" s="74"/>
      <c r="Z100" s="74"/>
    </row>
    <row r="101" ht="14.25" customHeight="1">
      <c r="A101" s="74"/>
      <c r="B101" s="136"/>
      <c r="C101" s="136"/>
      <c r="D101" s="540"/>
      <c r="E101" s="293"/>
      <c r="F101" s="540"/>
      <c r="G101" s="388"/>
      <c r="H101" s="76"/>
      <c r="I101" s="77"/>
      <c r="J101" s="105"/>
      <c r="K101" s="74"/>
      <c r="L101" s="199"/>
      <c r="M101" s="105"/>
      <c r="N101" s="105"/>
      <c r="O101" s="105"/>
      <c r="P101" s="105"/>
      <c r="Q101" s="109"/>
      <c r="R101" s="105"/>
      <c r="S101" s="105"/>
      <c r="T101" s="74"/>
      <c r="U101" s="74"/>
      <c r="V101" s="74"/>
      <c r="W101" s="74"/>
      <c r="X101" s="74"/>
      <c r="Y101" s="74"/>
      <c r="Z101" s="74"/>
    </row>
    <row r="102" ht="14.25" customHeight="1">
      <c r="A102" s="74"/>
      <c r="B102" s="89"/>
      <c r="C102" s="89"/>
      <c r="D102" s="625"/>
      <c r="E102" s="117"/>
      <c r="F102" s="625"/>
      <c r="G102" s="626"/>
      <c r="H102" s="76"/>
      <c r="I102" s="77"/>
      <c r="J102" s="117"/>
      <c r="K102" s="74"/>
      <c r="L102" s="199"/>
      <c r="M102" s="105"/>
      <c r="N102" s="105"/>
      <c r="O102" s="105"/>
      <c r="P102" s="105"/>
      <c r="Q102" s="109"/>
      <c r="R102" s="105"/>
      <c r="S102" s="105"/>
      <c r="T102" s="74"/>
      <c r="U102" s="74"/>
      <c r="V102" s="74"/>
      <c r="W102" s="74"/>
      <c r="X102" s="74"/>
      <c r="Y102" s="74"/>
      <c r="Z102" s="74"/>
    </row>
    <row r="103" ht="14.25" customHeight="1">
      <c r="A103" s="74"/>
      <c r="B103" s="459"/>
      <c r="C103" s="74"/>
      <c r="D103" s="74"/>
      <c r="E103" s="74"/>
      <c r="F103" s="74"/>
      <c r="G103" s="74"/>
      <c r="H103" s="74"/>
      <c r="I103" s="74"/>
      <c r="J103" s="74"/>
      <c r="K103" s="74"/>
      <c r="L103" s="199"/>
      <c r="M103" s="105"/>
      <c r="N103" s="105"/>
      <c r="O103" s="105"/>
      <c r="P103" s="105"/>
      <c r="Q103" s="109"/>
      <c r="R103" s="105"/>
      <c r="S103" s="105"/>
      <c r="T103" s="74"/>
      <c r="U103" s="74"/>
      <c r="V103" s="74"/>
      <c r="W103" s="74"/>
      <c r="X103" s="74"/>
      <c r="Y103" s="74"/>
      <c r="Z103" s="74"/>
    </row>
    <row r="104" ht="14.25" customHeight="1">
      <c r="A104" s="74"/>
      <c r="B104" s="552" t="s">
        <v>300</v>
      </c>
      <c r="C104" s="627"/>
      <c r="D104" s="628"/>
      <c r="E104" s="245"/>
      <c r="F104" s="245"/>
      <c r="G104" s="245"/>
      <c r="H104" s="245"/>
      <c r="I104" s="318" t="s">
        <v>10</v>
      </c>
      <c r="J104" s="319"/>
      <c r="K104" s="245"/>
      <c r="L104" s="245"/>
      <c r="M104" s="245"/>
      <c r="N104" s="245"/>
      <c r="O104" s="245"/>
      <c r="P104" s="245"/>
      <c r="Q104" s="245"/>
      <c r="R104" s="245"/>
      <c r="S104" s="453"/>
      <c r="T104" s="74"/>
      <c r="U104" s="74"/>
      <c r="V104" s="74"/>
      <c r="W104" s="74"/>
      <c r="X104" s="74"/>
      <c r="Y104" s="74"/>
      <c r="Z104" s="74"/>
    </row>
    <row r="105" ht="14.25" customHeight="1">
      <c r="A105" s="74"/>
      <c r="B105" s="452" t="s">
        <v>8</v>
      </c>
      <c r="C105" s="264"/>
      <c r="D105" s="245"/>
      <c r="E105" s="245"/>
      <c r="F105" s="245"/>
      <c r="G105" s="245"/>
      <c r="H105" s="245"/>
      <c r="I105" s="246" t="s">
        <v>483</v>
      </c>
      <c r="J105" s="283" t="s">
        <v>303</v>
      </c>
      <c r="K105" s="283" t="s">
        <v>304</v>
      </c>
      <c r="L105" s="246" t="s">
        <v>305</v>
      </c>
      <c r="M105" s="320" t="s">
        <v>128</v>
      </c>
      <c r="N105" s="80"/>
      <c r="O105" s="245"/>
      <c r="P105" s="245"/>
      <c r="Q105" s="245"/>
      <c r="R105" s="245"/>
      <c r="S105" s="453"/>
      <c r="T105" s="74"/>
      <c r="U105" s="74"/>
      <c r="V105" s="74"/>
      <c r="W105" s="74"/>
      <c r="X105" s="74"/>
      <c r="Y105" s="74"/>
      <c r="Z105" s="74"/>
    </row>
    <row r="106" ht="14.25" customHeight="1">
      <c r="A106" s="74"/>
      <c r="B106" s="454" t="s">
        <v>483</v>
      </c>
      <c r="C106" s="283" t="s">
        <v>303</v>
      </c>
      <c r="D106" s="283" t="s">
        <v>304</v>
      </c>
      <c r="E106" s="246" t="s">
        <v>305</v>
      </c>
      <c r="F106" s="333" t="s">
        <v>128</v>
      </c>
      <c r="G106" s="334"/>
      <c r="H106" s="245"/>
      <c r="I106" s="344" t="s">
        <v>1906</v>
      </c>
      <c r="J106" s="345">
        <v>47012.1</v>
      </c>
      <c r="K106" s="345">
        <f t="shared" ref="K106:K107" si="6">J106*0.008</f>
        <v>376.0968</v>
      </c>
      <c r="L106" s="345">
        <v>200.278</v>
      </c>
      <c r="M106" s="564"/>
      <c r="N106" s="324"/>
      <c r="O106" s="245"/>
      <c r="P106" s="245"/>
      <c r="Q106" s="245"/>
      <c r="R106" s="245"/>
      <c r="S106" s="453"/>
      <c r="T106" s="74"/>
      <c r="U106" s="74"/>
      <c r="V106" s="74"/>
      <c r="W106" s="74"/>
      <c r="X106" s="74"/>
      <c r="Y106" s="74"/>
      <c r="Z106" s="74"/>
    </row>
    <row r="107" ht="14.25" customHeight="1">
      <c r="A107" s="74"/>
      <c r="B107" s="466" t="s">
        <v>1907</v>
      </c>
      <c r="C107" s="344">
        <v>183723.0</v>
      </c>
      <c r="D107" s="345">
        <f t="shared" ref="D107:D108" si="7">C107*0.008</f>
        <v>1469.784</v>
      </c>
      <c r="E107" s="345">
        <v>701.389</v>
      </c>
      <c r="F107" s="341"/>
      <c r="G107" s="342"/>
      <c r="H107" s="245"/>
      <c r="I107" s="344" t="s">
        <v>1908</v>
      </c>
      <c r="J107" s="345">
        <v>94327.0</v>
      </c>
      <c r="K107" s="345">
        <f t="shared" si="6"/>
        <v>754.616</v>
      </c>
      <c r="L107" s="345">
        <v>401.846</v>
      </c>
      <c r="M107" s="564"/>
      <c r="N107" s="324"/>
      <c r="O107" s="245"/>
      <c r="P107" s="245"/>
      <c r="Q107" s="245"/>
      <c r="R107" s="245"/>
      <c r="S107" s="453"/>
      <c r="T107" s="74"/>
      <c r="U107" s="74"/>
      <c r="V107" s="74"/>
      <c r="W107" s="74"/>
      <c r="X107" s="74"/>
      <c r="Y107" s="74"/>
      <c r="Z107" s="74"/>
    </row>
    <row r="108" ht="14.25" customHeight="1">
      <c r="A108" s="74"/>
      <c r="B108" s="466" t="s">
        <v>1909</v>
      </c>
      <c r="C108" s="344">
        <v>-259591.0</v>
      </c>
      <c r="D108" s="345">
        <f t="shared" si="7"/>
        <v>-2076.728</v>
      </c>
      <c r="E108" s="345">
        <v>-991.024</v>
      </c>
      <c r="F108" s="350"/>
      <c r="G108" s="347"/>
      <c r="H108" s="245"/>
      <c r="I108" s="344"/>
      <c r="J108" s="344"/>
      <c r="K108" s="345"/>
      <c r="L108" s="345"/>
      <c r="M108" s="325"/>
      <c r="N108" s="80"/>
      <c r="O108" s="245"/>
      <c r="P108" s="245"/>
      <c r="Q108" s="245"/>
      <c r="R108" s="245"/>
      <c r="S108" s="453"/>
      <c r="T108" s="74"/>
      <c r="U108" s="74"/>
      <c r="V108" s="74"/>
      <c r="W108" s="74"/>
      <c r="X108" s="74"/>
      <c r="Y108" s="74"/>
      <c r="Z108" s="74"/>
    </row>
    <row r="109" ht="14.25" customHeight="1">
      <c r="A109" s="74"/>
      <c r="B109" s="466"/>
      <c r="C109" s="344"/>
      <c r="D109" s="344"/>
      <c r="E109" s="344"/>
      <c r="F109" s="378" t="s">
        <v>297</v>
      </c>
      <c r="G109" s="629"/>
      <c r="H109" s="245"/>
      <c r="I109" s="344"/>
      <c r="J109" s="344"/>
      <c r="K109" s="345"/>
      <c r="L109" s="345"/>
      <c r="M109" s="325"/>
      <c r="N109" s="80"/>
      <c r="O109" s="245"/>
      <c r="P109" s="245"/>
      <c r="Q109" s="245"/>
      <c r="R109" s="245"/>
      <c r="S109" s="453"/>
      <c r="T109" s="74"/>
      <c r="U109" s="74"/>
      <c r="V109" s="74"/>
      <c r="W109" s="74"/>
      <c r="X109" s="74"/>
      <c r="Y109" s="74"/>
      <c r="Z109" s="74"/>
    </row>
    <row r="110" ht="14.25" customHeight="1">
      <c r="A110" s="74"/>
      <c r="B110" s="630"/>
      <c r="C110" s="327"/>
      <c r="D110" s="328"/>
      <c r="E110" s="328"/>
      <c r="F110" s="378"/>
      <c r="G110" s="629"/>
      <c r="H110" s="245"/>
      <c r="I110" s="344"/>
      <c r="J110" s="344"/>
      <c r="K110" s="345"/>
      <c r="L110" s="345"/>
      <c r="M110" s="326"/>
      <c r="N110" s="80"/>
      <c r="O110" s="245"/>
      <c r="P110" s="245"/>
      <c r="Q110" s="245"/>
      <c r="R110" s="245"/>
      <c r="S110" s="453"/>
      <c r="T110" s="74"/>
      <c r="U110" s="74"/>
      <c r="V110" s="74"/>
      <c r="W110" s="74"/>
      <c r="X110" s="74"/>
      <c r="Y110" s="74"/>
      <c r="Z110" s="74"/>
    </row>
    <row r="111" ht="14.25" customHeight="1">
      <c r="A111" s="74"/>
      <c r="B111" s="459"/>
      <c r="C111" s="245"/>
      <c r="D111" s="245"/>
      <c r="E111" s="245"/>
      <c r="F111" s="245"/>
      <c r="G111" s="245"/>
      <c r="H111" s="245"/>
      <c r="I111" s="245"/>
      <c r="J111" s="245"/>
      <c r="K111" s="245"/>
      <c r="L111" s="329">
        <f>SUM(L106:L107)</f>
        <v>602.124</v>
      </c>
      <c r="M111" s="245"/>
      <c r="N111" s="245"/>
      <c r="O111" s="245"/>
      <c r="P111" s="245"/>
      <c r="Q111" s="245"/>
      <c r="R111" s="245"/>
      <c r="S111" s="453"/>
      <c r="T111" s="74"/>
      <c r="U111" s="74"/>
      <c r="V111" s="74"/>
      <c r="W111" s="74"/>
      <c r="X111" s="74"/>
      <c r="Y111" s="74"/>
      <c r="Z111" s="74"/>
    </row>
    <row r="112" ht="14.25" customHeight="1">
      <c r="A112" s="74"/>
      <c r="B112" s="452" t="s">
        <v>11</v>
      </c>
      <c r="C112" s="264"/>
      <c r="D112" s="245"/>
      <c r="E112" s="245"/>
      <c r="F112" s="245"/>
      <c r="G112" s="245"/>
      <c r="H112" s="245"/>
      <c r="I112" s="318" t="s">
        <v>1910</v>
      </c>
      <c r="J112" s="319"/>
      <c r="K112" s="245"/>
      <c r="L112" s="245"/>
      <c r="M112" s="245"/>
      <c r="N112" s="245"/>
      <c r="O112" s="245"/>
      <c r="P112" s="245"/>
      <c r="Q112" s="245"/>
      <c r="R112" s="245"/>
      <c r="S112" s="453"/>
      <c r="T112" s="74"/>
      <c r="U112" s="74"/>
      <c r="V112" s="74"/>
      <c r="W112" s="74"/>
      <c r="X112" s="74"/>
      <c r="Y112" s="74"/>
      <c r="Z112" s="74"/>
    </row>
    <row r="113" ht="14.25" customHeight="1">
      <c r="A113" s="74"/>
      <c r="B113" s="454" t="s">
        <v>483</v>
      </c>
      <c r="C113" s="283" t="s">
        <v>303</v>
      </c>
      <c r="D113" s="246" t="s">
        <v>485</v>
      </c>
      <c r="E113" s="246" t="s">
        <v>305</v>
      </c>
      <c r="F113" s="320" t="s">
        <v>128</v>
      </c>
      <c r="G113" s="80"/>
      <c r="H113" s="245"/>
      <c r="I113" s="246" t="s">
        <v>483</v>
      </c>
      <c r="J113" s="283" t="s">
        <v>303</v>
      </c>
      <c r="K113" s="283" t="s">
        <v>304</v>
      </c>
      <c r="L113" s="246" t="s">
        <v>305</v>
      </c>
      <c r="M113" s="320" t="s">
        <v>128</v>
      </c>
      <c r="N113" s="80"/>
      <c r="O113" s="245"/>
      <c r="P113" s="245"/>
      <c r="Q113" s="245"/>
      <c r="R113" s="245"/>
      <c r="S113" s="453"/>
      <c r="T113" s="74"/>
      <c r="U113" s="74"/>
      <c r="V113" s="74"/>
      <c r="W113" s="74"/>
      <c r="X113" s="74"/>
      <c r="Y113" s="74"/>
      <c r="Z113" s="74"/>
    </row>
    <row r="114" ht="14.25" customHeight="1">
      <c r="A114" s="74"/>
      <c r="B114" s="466" t="s">
        <v>1909</v>
      </c>
      <c r="C114" s="344">
        <v>365392.0</v>
      </c>
      <c r="D114" s="345">
        <f>C114*0.008</f>
        <v>2923.136</v>
      </c>
      <c r="E114" s="345">
        <v>1790.76</v>
      </c>
      <c r="F114" s="326"/>
      <c r="G114" s="80"/>
      <c r="H114" s="245"/>
      <c r="I114" s="344" t="s">
        <v>1911</v>
      </c>
      <c r="J114" s="530">
        <v>95340.5451</v>
      </c>
      <c r="K114" s="565">
        <f>J114*0.008</f>
        <v>762.7243608</v>
      </c>
      <c r="L114" s="566">
        <v>387.834726</v>
      </c>
      <c r="M114" s="326"/>
      <c r="N114" s="80"/>
      <c r="O114" s="245"/>
      <c r="P114" s="245"/>
      <c r="Q114" s="245"/>
      <c r="R114" s="245"/>
      <c r="S114" s="453"/>
      <c r="T114" s="74"/>
      <c r="U114" s="74"/>
      <c r="V114" s="74"/>
      <c r="W114" s="74"/>
      <c r="X114" s="74"/>
      <c r="Y114" s="74"/>
      <c r="Z114" s="74"/>
    </row>
    <row r="115" ht="14.25" customHeight="1">
      <c r="A115" s="74"/>
      <c r="B115" s="466"/>
      <c r="C115" s="344"/>
      <c r="D115" s="345"/>
      <c r="E115" s="345"/>
      <c r="F115" s="341"/>
      <c r="G115" s="342"/>
      <c r="H115" s="245"/>
      <c r="I115" s="344"/>
      <c r="J115" s="351"/>
      <c r="K115" s="565"/>
      <c r="L115" s="566"/>
      <c r="M115" s="341"/>
      <c r="N115" s="342"/>
      <c r="O115" s="245"/>
      <c r="P115" s="245"/>
      <c r="Q115" s="245"/>
      <c r="R115" s="245"/>
      <c r="S115" s="453"/>
      <c r="T115" s="74"/>
      <c r="U115" s="74"/>
      <c r="V115" s="74"/>
      <c r="W115" s="74"/>
      <c r="X115" s="74"/>
      <c r="Y115" s="74"/>
      <c r="Z115" s="74"/>
    </row>
    <row r="116" ht="14.25" customHeight="1">
      <c r="A116" s="74"/>
      <c r="B116" s="459"/>
      <c r="C116" s="245"/>
      <c r="D116" s="245"/>
      <c r="E116" s="245"/>
      <c r="F116" s="245"/>
      <c r="G116" s="245"/>
      <c r="H116" s="245"/>
      <c r="I116" s="245"/>
      <c r="J116" s="245"/>
      <c r="K116" s="245"/>
      <c r="L116" s="245"/>
      <c r="M116" s="245"/>
      <c r="N116" s="245"/>
      <c r="O116" s="245"/>
      <c r="P116" s="245"/>
      <c r="Q116" s="245"/>
      <c r="R116" s="245"/>
      <c r="S116" s="453"/>
      <c r="T116" s="74"/>
      <c r="U116" s="74"/>
      <c r="V116" s="74"/>
      <c r="W116" s="74"/>
      <c r="X116" s="74"/>
      <c r="Y116" s="74"/>
      <c r="Z116" s="74"/>
    </row>
    <row r="117" ht="14.25" customHeight="1">
      <c r="A117" s="74"/>
      <c r="B117" s="452" t="s">
        <v>12</v>
      </c>
      <c r="C117" s="264"/>
      <c r="D117" s="245"/>
      <c r="E117" s="245"/>
      <c r="F117" s="245"/>
      <c r="G117" s="245"/>
      <c r="H117" s="245"/>
      <c r="I117" s="318" t="s">
        <v>34</v>
      </c>
      <c r="J117" s="319"/>
      <c r="K117" s="245"/>
      <c r="L117" s="245"/>
      <c r="M117" s="245"/>
      <c r="N117" s="245"/>
      <c r="O117" s="245"/>
      <c r="P117" s="245"/>
      <c r="Q117" s="245"/>
      <c r="R117" s="245"/>
      <c r="S117" s="453"/>
      <c r="T117" s="74"/>
      <c r="U117" s="74"/>
      <c r="V117" s="74"/>
      <c r="W117" s="74"/>
      <c r="X117" s="74"/>
      <c r="Y117" s="74"/>
      <c r="Z117" s="74"/>
    </row>
    <row r="118" ht="14.25" customHeight="1">
      <c r="A118" s="74"/>
      <c r="B118" s="454" t="s">
        <v>483</v>
      </c>
      <c r="C118" s="283" t="s">
        <v>303</v>
      </c>
      <c r="D118" s="246" t="s">
        <v>485</v>
      </c>
      <c r="E118" s="246" t="s">
        <v>305</v>
      </c>
      <c r="F118" s="320" t="s">
        <v>128</v>
      </c>
      <c r="G118" s="80"/>
      <c r="H118" s="245"/>
      <c r="I118" s="246" t="s">
        <v>483</v>
      </c>
      <c r="J118" s="283" t="s">
        <v>303</v>
      </c>
      <c r="K118" s="283" t="s">
        <v>304</v>
      </c>
      <c r="L118" s="246" t="s">
        <v>499</v>
      </c>
      <c r="M118" s="320" t="s">
        <v>128</v>
      </c>
      <c r="N118" s="80"/>
      <c r="O118" s="245"/>
      <c r="P118" s="245"/>
      <c r="Q118" s="245"/>
      <c r="R118" s="245"/>
      <c r="S118" s="453"/>
      <c r="T118" s="74"/>
      <c r="U118" s="74"/>
      <c r="V118" s="74"/>
      <c r="W118" s="74"/>
      <c r="X118" s="74"/>
      <c r="Y118" s="74"/>
      <c r="Z118" s="74"/>
    </row>
    <row r="119" ht="14.25" customHeight="1">
      <c r="A119" s="74"/>
      <c r="B119" s="466" t="s">
        <v>1912</v>
      </c>
      <c r="C119" s="345">
        <v>132530.0</v>
      </c>
      <c r="D119" s="345">
        <f t="shared" ref="D119:D134" si="8">C119*0.008</f>
        <v>1060.24</v>
      </c>
      <c r="E119" s="345">
        <v>16939.8</v>
      </c>
      <c r="F119" s="326"/>
      <c r="G119" s="80"/>
      <c r="H119" s="245"/>
      <c r="I119" s="344" t="s">
        <v>1913</v>
      </c>
      <c r="J119" s="345">
        <v>5443.33</v>
      </c>
      <c r="K119" s="345">
        <f t="shared" ref="K119:K126" si="9">J119*0.008</f>
        <v>43.54664</v>
      </c>
      <c r="L119" s="345">
        <v>1512.04</v>
      </c>
      <c r="M119" s="325"/>
      <c r="N119" s="80"/>
      <c r="O119" s="245"/>
      <c r="P119" s="245"/>
      <c r="Q119" s="245"/>
      <c r="R119" s="245"/>
      <c r="S119" s="453"/>
      <c r="T119" s="74"/>
      <c r="U119" s="74"/>
      <c r="V119" s="74"/>
      <c r="W119" s="74"/>
      <c r="X119" s="74"/>
      <c r="Y119" s="74"/>
      <c r="Z119" s="74"/>
    </row>
    <row r="120" ht="14.25" customHeight="1">
      <c r="A120" s="74"/>
      <c r="B120" s="466" t="s">
        <v>1914</v>
      </c>
      <c r="C120" s="345">
        <v>32841.1</v>
      </c>
      <c r="D120" s="345">
        <f t="shared" si="8"/>
        <v>262.7288</v>
      </c>
      <c r="E120" s="345">
        <v>4197.72</v>
      </c>
      <c r="F120" s="326"/>
      <c r="G120" s="80"/>
      <c r="H120" s="245"/>
      <c r="I120" s="344" t="s">
        <v>1915</v>
      </c>
      <c r="J120" s="345">
        <v>154.711</v>
      </c>
      <c r="K120" s="345">
        <f t="shared" si="9"/>
        <v>1.237688</v>
      </c>
      <c r="L120" s="345">
        <v>42.9754</v>
      </c>
      <c r="M120" s="325"/>
      <c r="N120" s="80"/>
      <c r="O120" s="245"/>
      <c r="P120" s="245"/>
      <c r="Q120" s="245"/>
      <c r="R120" s="245"/>
      <c r="S120" s="453"/>
      <c r="T120" s="74"/>
      <c r="U120" s="74"/>
      <c r="V120" s="74"/>
      <c r="W120" s="74"/>
      <c r="X120" s="74"/>
      <c r="Y120" s="74"/>
      <c r="Z120" s="74"/>
    </row>
    <row r="121" ht="14.25" customHeight="1">
      <c r="A121" s="74"/>
      <c r="B121" s="466" t="s">
        <v>1916</v>
      </c>
      <c r="C121" s="345">
        <v>8875.36</v>
      </c>
      <c r="D121" s="345">
        <f t="shared" si="8"/>
        <v>71.00288</v>
      </c>
      <c r="E121" s="345">
        <v>1134.44</v>
      </c>
      <c r="F121" s="341"/>
      <c r="G121" s="342"/>
      <c r="H121" s="245"/>
      <c r="I121" s="344" t="s">
        <v>1917</v>
      </c>
      <c r="J121" s="345">
        <v>164.73</v>
      </c>
      <c r="K121" s="345">
        <f t="shared" si="9"/>
        <v>1.31784</v>
      </c>
      <c r="L121" s="345">
        <v>45.7583</v>
      </c>
      <c r="M121" s="326"/>
      <c r="N121" s="80"/>
      <c r="O121" s="245"/>
      <c r="P121" s="245"/>
      <c r="Q121" s="245"/>
      <c r="R121" s="245"/>
      <c r="S121" s="453"/>
      <c r="T121" s="74"/>
      <c r="U121" s="74"/>
      <c r="V121" s="74"/>
      <c r="W121" s="74"/>
      <c r="X121" s="74"/>
      <c r="Y121" s="74"/>
      <c r="Z121" s="74"/>
    </row>
    <row r="122" ht="14.25" customHeight="1">
      <c r="A122" s="74"/>
      <c r="B122" s="466" t="s">
        <v>1918</v>
      </c>
      <c r="C122" s="345">
        <v>646.353</v>
      </c>
      <c r="D122" s="345">
        <f t="shared" si="8"/>
        <v>5.170824</v>
      </c>
      <c r="E122" s="345">
        <v>82.6162</v>
      </c>
      <c r="F122" s="341"/>
      <c r="G122" s="342"/>
      <c r="H122" s="245"/>
      <c r="I122" s="344" t="s">
        <v>1919</v>
      </c>
      <c r="J122" s="345">
        <v>1.91556</v>
      </c>
      <c r="K122" s="345">
        <f t="shared" si="9"/>
        <v>0.01532448</v>
      </c>
      <c r="L122" s="345">
        <v>0.5321</v>
      </c>
      <c r="M122" s="341"/>
      <c r="N122" s="342"/>
      <c r="O122" s="245"/>
      <c r="P122" s="245"/>
      <c r="Q122" s="245"/>
      <c r="R122" s="245"/>
      <c r="S122" s="453"/>
      <c r="T122" s="74"/>
      <c r="U122" s="74"/>
      <c r="V122" s="74"/>
      <c r="W122" s="74"/>
      <c r="X122" s="74"/>
      <c r="Y122" s="74"/>
      <c r="Z122" s="74"/>
    </row>
    <row r="123" ht="14.25" customHeight="1">
      <c r="A123" s="74"/>
      <c r="B123" s="466" t="s">
        <v>1920</v>
      </c>
      <c r="C123" s="345">
        <v>1783.06</v>
      </c>
      <c r="D123" s="345">
        <f t="shared" si="8"/>
        <v>14.26448</v>
      </c>
      <c r="E123" s="345">
        <v>227.909</v>
      </c>
      <c r="F123" s="341"/>
      <c r="G123" s="342"/>
      <c r="H123" s="245"/>
      <c r="I123" s="344" t="s">
        <v>1921</v>
      </c>
      <c r="J123" s="345">
        <v>15.9957</v>
      </c>
      <c r="K123" s="345">
        <f t="shared" si="9"/>
        <v>0.1279656</v>
      </c>
      <c r="L123" s="345">
        <v>4.44324</v>
      </c>
      <c r="M123" s="341"/>
      <c r="N123" s="342"/>
      <c r="O123" s="245"/>
      <c r="P123" s="245"/>
      <c r="Q123" s="245"/>
      <c r="R123" s="245"/>
      <c r="S123" s="453"/>
      <c r="T123" s="74"/>
      <c r="U123" s="74"/>
      <c r="V123" s="74"/>
      <c r="W123" s="74"/>
      <c r="X123" s="74"/>
      <c r="Y123" s="74"/>
      <c r="Z123" s="74"/>
    </row>
    <row r="124" ht="14.25" customHeight="1">
      <c r="A124" s="74"/>
      <c r="B124" s="466" t="s">
        <v>1922</v>
      </c>
      <c r="C124" s="345">
        <v>966.677</v>
      </c>
      <c r="D124" s="345">
        <f t="shared" si="8"/>
        <v>7.733416</v>
      </c>
      <c r="E124" s="345">
        <v>123.56</v>
      </c>
      <c r="F124" s="341"/>
      <c r="G124" s="342"/>
      <c r="H124" s="245"/>
      <c r="I124" s="344" t="s">
        <v>1923</v>
      </c>
      <c r="J124" s="631">
        <v>49611.8</v>
      </c>
      <c r="K124" s="345">
        <f t="shared" si="9"/>
        <v>396.8944</v>
      </c>
      <c r="L124" s="345">
        <v>13781.1</v>
      </c>
      <c r="M124" s="341"/>
      <c r="N124" s="342"/>
      <c r="O124" s="245"/>
      <c r="P124" s="245"/>
      <c r="Q124" s="245"/>
      <c r="R124" s="245"/>
      <c r="S124" s="453"/>
      <c r="T124" s="74"/>
      <c r="U124" s="74"/>
      <c r="V124" s="74"/>
      <c r="W124" s="74"/>
      <c r="X124" s="74"/>
      <c r="Y124" s="74"/>
      <c r="Z124" s="74"/>
    </row>
    <row r="125" ht="14.25" customHeight="1">
      <c r="A125" s="74"/>
      <c r="B125" s="466" t="s">
        <v>1924</v>
      </c>
      <c r="C125" s="345">
        <v>68712.3</v>
      </c>
      <c r="D125" s="345">
        <f t="shared" si="8"/>
        <v>549.6984</v>
      </c>
      <c r="E125" s="345">
        <v>8782.73</v>
      </c>
      <c r="F125" s="341"/>
      <c r="G125" s="342"/>
      <c r="H125" s="245"/>
      <c r="I125" s="344" t="s">
        <v>1925</v>
      </c>
      <c r="J125" s="345">
        <v>17353.4</v>
      </c>
      <c r="K125" s="345">
        <f t="shared" si="9"/>
        <v>138.8272</v>
      </c>
      <c r="L125" s="345">
        <v>4820.38</v>
      </c>
      <c r="M125" s="341"/>
      <c r="N125" s="342"/>
      <c r="O125" s="245"/>
      <c r="P125" s="245"/>
      <c r="Q125" s="245"/>
      <c r="R125" s="245"/>
      <c r="S125" s="453"/>
      <c r="T125" s="74"/>
      <c r="U125" s="74"/>
      <c r="V125" s="74"/>
      <c r="W125" s="74"/>
      <c r="X125" s="74"/>
      <c r="Y125" s="74"/>
      <c r="Z125" s="74"/>
    </row>
    <row r="126" ht="14.25" customHeight="1">
      <c r="A126" s="74"/>
      <c r="B126" s="466" t="s">
        <v>1926</v>
      </c>
      <c r="C126" s="345">
        <v>27350.5</v>
      </c>
      <c r="D126" s="345">
        <f t="shared" si="8"/>
        <v>218.804</v>
      </c>
      <c r="E126" s="345">
        <v>3495.91</v>
      </c>
      <c r="F126" s="341"/>
      <c r="G126" s="342"/>
      <c r="H126" s="245"/>
      <c r="I126" s="344" t="s">
        <v>1927</v>
      </c>
      <c r="J126" s="631">
        <v>54102.6</v>
      </c>
      <c r="K126" s="345">
        <f t="shared" si="9"/>
        <v>432.8208</v>
      </c>
      <c r="L126" s="345">
        <v>15028.5</v>
      </c>
      <c r="M126" s="341"/>
      <c r="N126" s="342"/>
      <c r="O126" s="245"/>
      <c r="P126" s="245"/>
      <c r="Q126" s="245"/>
      <c r="R126" s="245"/>
      <c r="S126" s="453"/>
      <c r="T126" s="74"/>
      <c r="U126" s="74"/>
      <c r="V126" s="74"/>
      <c r="W126" s="74"/>
      <c r="X126" s="74"/>
      <c r="Y126" s="74"/>
      <c r="Z126" s="74"/>
    </row>
    <row r="127" ht="14.25" customHeight="1">
      <c r="A127" s="74"/>
      <c r="B127" s="466" t="s">
        <v>1928</v>
      </c>
      <c r="C127" s="345">
        <v>7964.1</v>
      </c>
      <c r="D127" s="345">
        <f t="shared" si="8"/>
        <v>63.7128</v>
      </c>
      <c r="E127" s="345">
        <v>1017.96</v>
      </c>
      <c r="F127" s="341"/>
      <c r="G127" s="342"/>
      <c r="H127" s="245"/>
      <c r="I127" s="327"/>
      <c r="J127" s="327"/>
      <c r="K127" s="328"/>
      <c r="L127" s="328"/>
      <c r="M127" s="350"/>
      <c r="N127" s="347"/>
      <c r="O127" s="245"/>
      <c r="P127" s="245"/>
      <c r="Q127" s="245"/>
      <c r="R127" s="245"/>
      <c r="S127" s="453"/>
      <c r="T127" s="74"/>
      <c r="U127" s="74"/>
      <c r="V127" s="74"/>
      <c r="W127" s="74"/>
      <c r="X127" s="74"/>
      <c r="Y127" s="74"/>
      <c r="Z127" s="74"/>
    </row>
    <row r="128" ht="14.25" customHeight="1">
      <c r="A128" s="74"/>
      <c r="B128" s="466" t="s">
        <v>1929</v>
      </c>
      <c r="C128" s="345">
        <v>15787.5</v>
      </c>
      <c r="D128" s="345">
        <f t="shared" si="8"/>
        <v>126.3</v>
      </c>
      <c r="E128" s="345">
        <v>2017.95</v>
      </c>
      <c r="F128" s="341"/>
      <c r="G128" s="342"/>
      <c r="H128" s="245"/>
      <c r="I128" s="245"/>
      <c r="J128" s="245"/>
      <c r="K128" s="329"/>
      <c r="L128" s="329"/>
      <c r="M128" s="348"/>
      <c r="N128" s="348"/>
      <c r="O128" s="245"/>
      <c r="P128" s="245"/>
      <c r="Q128" s="245"/>
      <c r="R128" s="245"/>
      <c r="S128" s="453"/>
      <c r="T128" s="74"/>
      <c r="U128" s="74"/>
      <c r="V128" s="74"/>
      <c r="W128" s="74"/>
      <c r="X128" s="74"/>
      <c r="Y128" s="74"/>
      <c r="Z128" s="74"/>
    </row>
    <row r="129" ht="14.25" customHeight="1">
      <c r="A129" s="74"/>
      <c r="B129" s="466" t="s">
        <v>1930</v>
      </c>
      <c r="C129" s="345">
        <v>27537.0</v>
      </c>
      <c r="D129" s="345">
        <f t="shared" si="8"/>
        <v>220.296</v>
      </c>
      <c r="E129" s="345">
        <v>3519.75</v>
      </c>
      <c r="F129" s="341"/>
      <c r="G129" s="342"/>
      <c r="H129" s="245"/>
      <c r="I129" s="245"/>
      <c r="J129" s="245"/>
      <c r="K129" s="329"/>
      <c r="L129" s="329"/>
      <c r="M129" s="348"/>
      <c r="N129" s="348"/>
      <c r="O129" s="245"/>
      <c r="P129" s="245"/>
      <c r="Q129" s="245"/>
      <c r="R129" s="245"/>
      <c r="S129" s="453"/>
      <c r="T129" s="74"/>
      <c r="U129" s="74"/>
      <c r="V129" s="74"/>
      <c r="W129" s="74"/>
      <c r="X129" s="74"/>
      <c r="Y129" s="74"/>
      <c r="Z129" s="74"/>
    </row>
    <row r="130" ht="14.25" customHeight="1">
      <c r="A130" s="74"/>
      <c r="B130" s="466" t="s">
        <v>1931</v>
      </c>
      <c r="C130" s="345">
        <v>104259.0</v>
      </c>
      <c r="D130" s="345">
        <f t="shared" si="8"/>
        <v>834.072</v>
      </c>
      <c r="E130" s="345">
        <v>13326.2</v>
      </c>
      <c r="F130" s="341"/>
      <c r="G130" s="342"/>
      <c r="H130" s="245"/>
      <c r="I130" s="318" t="s">
        <v>21</v>
      </c>
      <c r="J130" s="319"/>
      <c r="K130" s="245"/>
      <c r="L130" s="245"/>
      <c r="M130" s="245"/>
      <c r="N130" s="245"/>
      <c r="O130" s="245"/>
      <c r="P130" s="245"/>
      <c r="Q130" s="245"/>
      <c r="R130" s="245"/>
      <c r="S130" s="453"/>
      <c r="T130" s="74"/>
      <c r="U130" s="74"/>
      <c r="V130" s="74"/>
      <c r="W130" s="74"/>
      <c r="X130" s="74"/>
      <c r="Y130" s="74"/>
      <c r="Z130" s="74"/>
    </row>
    <row r="131" ht="14.25" customHeight="1">
      <c r="A131" s="74"/>
      <c r="B131" s="466" t="s">
        <v>1932</v>
      </c>
      <c r="C131" s="631">
        <v>143451.0</v>
      </c>
      <c r="D131" s="345">
        <f t="shared" si="8"/>
        <v>1147.608</v>
      </c>
      <c r="E131" s="345">
        <v>18335.8</v>
      </c>
      <c r="F131" s="326"/>
      <c r="G131" s="80"/>
      <c r="H131" s="245"/>
      <c r="I131" s="246" t="s">
        <v>483</v>
      </c>
      <c r="J131" s="283" t="s">
        <v>303</v>
      </c>
      <c r="K131" s="283" t="s">
        <v>304</v>
      </c>
      <c r="L131" s="246" t="s">
        <v>305</v>
      </c>
      <c r="M131" s="320" t="s">
        <v>128</v>
      </c>
      <c r="N131" s="80"/>
      <c r="O131" s="245"/>
      <c r="P131" s="245"/>
      <c r="Q131" s="245"/>
      <c r="R131" s="245"/>
      <c r="S131" s="453"/>
      <c r="T131" s="74"/>
      <c r="U131" s="74"/>
      <c r="V131" s="74"/>
      <c r="W131" s="74"/>
      <c r="X131" s="74"/>
      <c r="Y131" s="74"/>
      <c r="Z131" s="74"/>
    </row>
    <row r="132" ht="14.25" customHeight="1">
      <c r="A132" s="74"/>
      <c r="B132" s="466" t="s">
        <v>1923</v>
      </c>
      <c r="C132" s="631">
        <v>58270.7</v>
      </c>
      <c r="D132" s="345">
        <f t="shared" si="8"/>
        <v>466.1656</v>
      </c>
      <c r="E132" s="631">
        <v>7448.1</v>
      </c>
      <c r="F132" s="341"/>
      <c r="G132" s="342"/>
      <c r="H132" s="245"/>
      <c r="I132" s="344" t="s">
        <v>1933</v>
      </c>
      <c r="J132" s="632">
        <v>67359.9</v>
      </c>
      <c r="K132" s="345">
        <f t="shared" ref="K132:K133" si="10">J132*0.008</f>
        <v>538.8792</v>
      </c>
      <c r="L132" s="345">
        <v>50045.8</v>
      </c>
      <c r="M132" s="341"/>
      <c r="N132" s="342"/>
      <c r="O132" s="245"/>
      <c r="P132" s="245"/>
      <c r="Q132" s="245"/>
      <c r="R132" s="245"/>
      <c r="S132" s="453"/>
      <c r="T132" s="74"/>
      <c r="U132" s="74"/>
      <c r="V132" s="74"/>
      <c r="W132" s="74"/>
      <c r="X132" s="74"/>
      <c r="Y132" s="74"/>
      <c r="Z132" s="74"/>
    </row>
    <row r="133" ht="14.25" customHeight="1">
      <c r="A133" s="74"/>
      <c r="B133" s="466" t="s">
        <v>1925</v>
      </c>
      <c r="C133" s="345">
        <v>11196.5</v>
      </c>
      <c r="D133" s="345">
        <f t="shared" si="8"/>
        <v>89.572</v>
      </c>
      <c r="E133" s="345">
        <v>1431.12</v>
      </c>
      <c r="F133" s="341"/>
      <c r="G133" s="342"/>
      <c r="H133" s="245"/>
      <c r="I133" s="344" t="s">
        <v>1934</v>
      </c>
      <c r="J133" s="345">
        <v>167747.0</v>
      </c>
      <c r="K133" s="345">
        <f t="shared" si="10"/>
        <v>1341.976</v>
      </c>
      <c r="L133" s="345">
        <v>124630.0</v>
      </c>
      <c r="M133" s="341"/>
      <c r="N133" s="342"/>
      <c r="O133" s="245"/>
      <c r="P133" s="245"/>
      <c r="Q133" s="245"/>
      <c r="R133" s="245"/>
      <c r="S133" s="453"/>
      <c r="T133" s="74"/>
      <c r="U133" s="74"/>
      <c r="V133" s="74"/>
      <c r="W133" s="74"/>
      <c r="X133" s="74"/>
      <c r="Y133" s="74"/>
      <c r="Z133" s="74"/>
    </row>
    <row r="134" ht="14.25" customHeight="1">
      <c r="A134" s="74"/>
      <c r="B134" s="633" t="s">
        <v>1927</v>
      </c>
      <c r="C134" s="634">
        <v>229478.0</v>
      </c>
      <c r="D134" s="635">
        <f t="shared" si="8"/>
        <v>1835.824</v>
      </c>
      <c r="E134" s="634">
        <v>29331.6</v>
      </c>
      <c r="F134" s="636"/>
      <c r="G134" s="637"/>
      <c r="H134" s="473"/>
      <c r="I134" s="473"/>
      <c r="J134" s="473"/>
      <c r="K134" s="473"/>
      <c r="L134" s="638"/>
      <c r="M134" s="473"/>
      <c r="N134" s="473"/>
      <c r="O134" s="473"/>
      <c r="P134" s="473"/>
      <c r="Q134" s="473"/>
      <c r="R134" s="473"/>
      <c r="S134" s="503"/>
      <c r="T134" s="74"/>
      <c r="U134" s="74"/>
      <c r="V134" s="74"/>
      <c r="W134" s="74"/>
      <c r="X134" s="74"/>
      <c r="Y134" s="74"/>
      <c r="Z134" s="74"/>
    </row>
    <row r="135" ht="14.25" customHeight="1">
      <c r="A135" s="74"/>
      <c r="B135" s="117"/>
      <c r="C135" s="117"/>
      <c r="D135" s="117"/>
      <c r="E135" s="117"/>
      <c r="F135" s="117"/>
      <c r="G135" s="117"/>
      <c r="H135" s="117"/>
      <c r="I135" s="117"/>
      <c r="J135" s="74"/>
      <c r="K135" s="74"/>
      <c r="L135" s="74"/>
      <c r="M135" s="74"/>
      <c r="N135" s="74"/>
      <c r="O135" s="74"/>
      <c r="P135" s="74"/>
      <c r="Q135" s="74"/>
      <c r="R135" s="74"/>
      <c r="S135" s="74"/>
      <c r="T135" s="74"/>
      <c r="U135" s="74"/>
      <c r="V135" s="74"/>
      <c r="W135" s="74"/>
      <c r="X135" s="74"/>
      <c r="Y135" s="74"/>
      <c r="Z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4.25" customHeight="1">
      <c r="A137" s="74"/>
      <c r="B137" s="110" t="s">
        <v>163</v>
      </c>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4.25" customHeight="1">
      <c r="A138" s="74"/>
      <c r="B138" s="188" t="s">
        <v>1935</v>
      </c>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4.25" customHeight="1">
      <c r="A139" s="74"/>
      <c r="B139" s="188" t="s">
        <v>165</v>
      </c>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4.25" customHeight="1">
      <c r="A140" s="74"/>
      <c r="B140" s="188" t="s">
        <v>166</v>
      </c>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4.25" customHeight="1">
      <c r="A144" s="74"/>
      <c r="B144" s="639" t="s">
        <v>167</v>
      </c>
      <c r="C144" s="382"/>
      <c r="D144" s="639" t="s">
        <v>168</v>
      </c>
      <c r="E144" s="76"/>
      <c r="F144" s="76"/>
      <c r="G144" s="76"/>
      <c r="H144" s="76"/>
      <c r="I144" s="76"/>
      <c r="J144" s="77"/>
      <c r="K144" s="74"/>
      <c r="L144" s="74"/>
      <c r="M144" s="74"/>
      <c r="N144" s="74"/>
      <c r="O144" s="74"/>
      <c r="P144" s="74"/>
      <c r="Q144" s="74"/>
      <c r="R144" s="74"/>
      <c r="S144" s="74"/>
      <c r="T144" s="74"/>
      <c r="U144" s="74"/>
      <c r="V144" s="74"/>
      <c r="W144" s="74"/>
      <c r="X144" s="74"/>
      <c r="Y144" s="74"/>
      <c r="Z144" s="74"/>
    </row>
    <row r="145" ht="14.25" customHeight="1">
      <c r="A145" s="74"/>
      <c r="B145" s="608" t="s">
        <v>696</v>
      </c>
      <c r="C145" s="93"/>
      <c r="D145" s="640" t="s">
        <v>1936</v>
      </c>
      <c r="E145" s="93"/>
      <c r="F145" s="93"/>
      <c r="G145" s="93"/>
      <c r="H145" s="93"/>
      <c r="I145" s="93"/>
      <c r="J145" s="94"/>
      <c r="K145" s="74"/>
      <c r="L145" s="74"/>
      <c r="M145" s="74"/>
      <c r="N145" s="74"/>
      <c r="O145" s="74"/>
      <c r="P145" s="74"/>
      <c r="Q145" s="74"/>
      <c r="R145" s="74"/>
      <c r="S145" s="74"/>
      <c r="T145" s="74"/>
      <c r="U145" s="74"/>
      <c r="V145" s="74"/>
      <c r="W145" s="74"/>
      <c r="X145" s="74"/>
      <c r="Y145" s="74"/>
      <c r="Z145" s="74"/>
    </row>
    <row r="146" ht="14.25" customHeight="1">
      <c r="A146" s="74"/>
      <c r="B146" s="610" t="s">
        <v>698</v>
      </c>
      <c r="D146" s="368" t="s">
        <v>1937</v>
      </c>
      <c r="J146" s="29"/>
      <c r="K146" s="74"/>
      <c r="L146" s="74"/>
      <c r="M146" s="74"/>
      <c r="N146" s="74"/>
      <c r="O146" s="74"/>
      <c r="P146" s="74"/>
      <c r="Q146" s="74"/>
      <c r="R146" s="74"/>
      <c r="S146" s="74"/>
      <c r="T146" s="74"/>
      <c r="U146" s="74"/>
      <c r="V146" s="74"/>
      <c r="W146" s="74"/>
      <c r="X146" s="74"/>
      <c r="Y146" s="74"/>
      <c r="Z146" s="74"/>
    </row>
    <row r="147" ht="14.25" customHeight="1">
      <c r="A147" s="74"/>
      <c r="B147" s="610" t="s">
        <v>700</v>
      </c>
      <c r="D147" s="368" t="s">
        <v>1938</v>
      </c>
      <c r="J147" s="29"/>
      <c r="K147" s="74"/>
      <c r="L147" s="74"/>
      <c r="M147" s="74"/>
      <c r="N147" s="74"/>
      <c r="O147" s="74"/>
      <c r="P147" s="74"/>
      <c r="Q147" s="74"/>
      <c r="R147" s="74"/>
      <c r="S147" s="74"/>
      <c r="T147" s="74"/>
      <c r="U147" s="74"/>
      <c r="V147" s="74"/>
      <c r="W147" s="74"/>
      <c r="X147" s="74"/>
      <c r="Y147" s="74"/>
      <c r="Z147" s="74"/>
    </row>
    <row r="148" ht="14.25" customHeight="1">
      <c r="A148" s="74"/>
      <c r="B148" s="610" t="s">
        <v>702</v>
      </c>
      <c r="D148" s="572" t="s">
        <v>1939</v>
      </c>
      <c r="J148" s="29"/>
      <c r="K148" s="74"/>
      <c r="L148" s="74"/>
      <c r="M148" s="74"/>
      <c r="N148" s="74"/>
      <c r="O148" s="74"/>
      <c r="P148" s="74"/>
      <c r="Q148" s="74"/>
      <c r="R148" s="74"/>
      <c r="S148" s="74"/>
      <c r="T148" s="74"/>
      <c r="U148" s="74"/>
      <c r="V148" s="74"/>
      <c r="W148" s="74"/>
      <c r="X148" s="74"/>
      <c r="Y148" s="74"/>
      <c r="Z148" s="74"/>
    </row>
    <row r="149" ht="14.25" customHeight="1">
      <c r="A149" s="74"/>
      <c r="B149" s="273" t="s">
        <v>704</v>
      </c>
      <c r="D149" s="572" t="s">
        <v>1940</v>
      </c>
      <c r="J149" s="29"/>
      <c r="K149" s="74"/>
      <c r="L149" s="74"/>
      <c r="M149" s="74"/>
      <c r="N149" s="74"/>
      <c r="O149" s="74"/>
      <c r="P149" s="74"/>
      <c r="Q149" s="74"/>
      <c r="R149" s="74"/>
      <c r="S149" s="74"/>
      <c r="T149" s="74"/>
      <c r="U149" s="74"/>
      <c r="V149" s="74"/>
      <c r="W149" s="74"/>
      <c r="X149" s="74"/>
      <c r="Y149" s="74"/>
      <c r="Z149" s="74"/>
    </row>
    <row r="150" ht="14.25" customHeight="1">
      <c r="A150" s="74"/>
      <c r="B150" s="479" t="s">
        <v>179</v>
      </c>
      <c r="C150" s="95"/>
      <c r="D150" s="641" t="s">
        <v>1941</v>
      </c>
      <c r="E150" s="95"/>
      <c r="F150" s="95"/>
      <c r="G150" s="95"/>
      <c r="H150" s="95"/>
      <c r="I150" s="95"/>
      <c r="J150" s="38"/>
      <c r="K150" s="74"/>
      <c r="L150" s="74"/>
      <c r="M150" s="74"/>
      <c r="N150" s="74"/>
      <c r="O150" s="74"/>
      <c r="P150" s="74"/>
      <c r="Q150" s="74"/>
      <c r="R150" s="74"/>
      <c r="S150" s="74"/>
      <c r="T150" s="74"/>
      <c r="U150" s="74"/>
      <c r="V150" s="74"/>
      <c r="W150" s="74"/>
      <c r="X150" s="74"/>
      <c r="Y150" s="74"/>
      <c r="Z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50">
    <mergeCell ref="D149:J149"/>
    <mergeCell ref="D150:J150"/>
    <mergeCell ref="B145:C145"/>
    <mergeCell ref="D145:J145"/>
    <mergeCell ref="B146:C146"/>
    <mergeCell ref="D146:J146"/>
    <mergeCell ref="B147:C147"/>
    <mergeCell ref="D147:J147"/>
    <mergeCell ref="D148:J148"/>
    <mergeCell ref="B3:O3"/>
    <mergeCell ref="B4:O4"/>
    <mergeCell ref="B6:C6"/>
    <mergeCell ref="E6:O7"/>
    <mergeCell ref="B7:C7"/>
    <mergeCell ref="B10:O14"/>
    <mergeCell ref="B19:O23"/>
    <mergeCell ref="C62:D62"/>
    <mergeCell ref="K86:L86"/>
    <mergeCell ref="L94:N94"/>
    <mergeCell ref="G96:I96"/>
    <mergeCell ref="G97:I97"/>
    <mergeCell ref="G98:I98"/>
    <mergeCell ref="G100:I100"/>
    <mergeCell ref="G101:I101"/>
    <mergeCell ref="G102:I102"/>
    <mergeCell ref="M105:N105"/>
    <mergeCell ref="M106:N106"/>
    <mergeCell ref="M107:N107"/>
    <mergeCell ref="M108:N108"/>
    <mergeCell ref="M109:N109"/>
    <mergeCell ref="M118:N118"/>
    <mergeCell ref="M119:N119"/>
    <mergeCell ref="M121:N121"/>
    <mergeCell ref="M110:N110"/>
    <mergeCell ref="F113:G113"/>
    <mergeCell ref="M113:N113"/>
    <mergeCell ref="F114:G114"/>
    <mergeCell ref="M114:N114"/>
    <mergeCell ref="F118:G118"/>
    <mergeCell ref="F119:G119"/>
    <mergeCell ref="F120:G120"/>
    <mergeCell ref="M120:N120"/>
    <mergeCell ref="F131:G131"/>
    <mergeCell ref="M131:N131"/>
    <mergeCell ref="F134:G134"/>
    <mergeCell ref="B144:C144"/>
    <mergeCell ref="D144:J144"/>
    <mergeCell ref="B148:C148"/>
    <mergeCell ref="B149:C149"/>
    <mergeCell ref="B150:C150"/>
  </mergeCells>
  <hyperlinks>
    <hyperlink r:id="rId1" ref="D145"/>
    <hyperlink r:id="rId2" ref="D150"/>
  </hyperlinks>
  <printOptions/>
  <pageMargins bottom="0.75" footer="0.0" header="0.0" left="0.7" right="0.7" top="0.75"/>
  <pageSetup orientation="landscape"/>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1942</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505"/>
      <c r="C6" s="77"/>
      <c r="D6" s="74"/>
      <c r="E6" s="82"/>
      <c r="F6" s="83"/>
      <c r="G6" s="83"/>
      <c r="H6" s="83"/>
      <c r="I6" s="83"/>
      <c r="J6" s="83"/>
      <c r="K6" s="83"/>
      <c r="L6" s="83"/>
      <c r="M6" s="83"/>
      <c r="N6" s="83"/>
      <c r="O6" s="84"/>
      <c r="P6" s="74"/>
      <c r="Q6" s="74"/>
      <c r="R6" s="74"/>
      <c r="S6" s="74"/>
      <c r="T6" s="74"/>
      <c r="U6" s="74"/>
      <c r="V6" s="74"/>
      <c r="W6" s="74"/>
      <c r="X6" s="74"/>
      <c r="Y6" s="74"/>
      <c r="Z6" s="74"/>
    </row>
    <row r="7" ht="14.25" customHeight="1">
      <c r="A7" s="74"/>
      <c r="B7" s="505"/>
      <c r="C7" s="77"/>
      <c r="D7" s="74"/>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1943</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642" t="s">
        <v>1944</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48.0"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1945</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575" t="s">
        <v>1946</v>
      </c>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125.25"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74"/>
      <c r="L36" s="113"/>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89"/>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111"/>
      <c r="D61" s="111"/>
      <c r="E61" s="112"/>
      <c r="F61" s="91"/>
      <c r="G61" s="113"/>
      <c r="H61" s="74"/>
      <c r="I61" s="74"/>
      <c r="J61" s="74"/>
      <c r="K61" s="74"/>
      <c r="L61" s="74"/>
      <c r="M61" s="74"/>
      <c r="N61" s="74"/>
      <c r="O61" s="109"/>
      <c r="P61" s="74"/>
      <c r="Q61" s="74"/>
      <c r="R61" s="74"/>
      <c r="S61" s="74"/>
      <c r="T61" s="74"/>
      <c r="U61" s="74"/>
      <c r="V61" s="74"/>
      <c r="W61" s="74"/>
      <c r="X61" s="74"/>
      <c r="Y61" s="74"/>
      <c r="Z61" s="74"/>
    </row>
    <row r="62" ht="14.25" customHeight="1">
      <c r="A62" s="74"/>
      <c r="B62" s="111"/>
      <c r="C62" s="624"/>
      <c r="D62" s="77"/>
      <c r="E62" s="74"/>
      <c r="F62" s="89"/>
      <c r="G62" s="505"/>
      <c r="H62" s="77"/>
      <c r="I62" s="74"/>
      <c r="J62" s="89"/>
      <c r="K62" s="89"/>
      <c r="L62" s="89"/>
      <c r="M62" s="74"/>
      <c r="N62" s="74"/>
      <c r="O62" s="105"/>
      <c r="P62" s="74"/>
      <c r="Q62" s="74"/>
      <c r="R62" s="74"/>
      <c r="S62" s="74"/>
      <c r="T62" s="74"/>
      <c r="U62" s="74"/>
      <c r="V62" s="74"/>
      <c r="W62" s="74"/>
      <c r="X62" s="74"/>
      <c r="Y62" s="74"/>
      <c r="Z62" s="74"/>
    </row>
    <row r="63" ht="14.25" customHeight="1">
      <c r="A63" s="74"/>
      <c r="B63" s="199"/>
      <c r="C63" s="199"/>
      <c r="D63" s="199"/>
      <c r="E63" s="74"/>
      <c r="F63" s="199"/>
      <c r="G63" s="199"/>
      <c r="H63" s="199"/>
      <c r="I63" s="74"/>
      <c r="J63" s="89"/>
      <c r="K63" s="136"/>
      <c r="L63" s="74"/>
      <c r="M63" s="74"/>
      <c r="N63" s="74"/>
      <c r="O63" s="105"/>
      <c r="P63" s="74"/>
      <c r="Q63" s="74"/>
      <c r="R63" s="74"/>
      <c r="S63" s="74"/>
      <c r="T63" s="74"/>
      <c r="U63" s="74"/>
      <c r="V63" s="74"/>
      <c r="W63" s="74"/>
      <c r="X63" s="74"/>
      <c r="Y63" s="74"/>
      <c r="Z63" s="74"/>
    </row>
    <row r="64" ht="14.25" customHeight="1">
      <c r="A64" s="74"/>
      <c r="B64" s="371"/>
      <c r="C64" s="132"/>
      <c r="D64" s="132"/>
      <c r="E64" s="74"/>
      <c r="F64" s="371"/>
      <c r="G64" s="132"/>
      <c r="H64" s="643"/>
      <c r="I64" s="74"/>
      <c r="J64" s="89"/>
      <c r="K64" s="644"/>
      <c r="L64" s="74"/>
      <c r="M64" s="74"/>
      <c r="N64" s="74"/>
      <c r="O64" s="105"/>
      <c r="P64" s="74"/>
      <c r="Q64" s="74"/>
      <c r="R64" s="74"/>
      <c r="S64" s="74"/>
      <c r="T64" s="74"/>
      <c r="U64" s="74"/>
      <c r="V64" s="74"/>
      <c r="W64" s="74"/>
      <c r="X64" s="74"/>
      <c r="Y64" s="74"/>
      <c r="Z64" s="74"/>
    </row>
    <row r="65" ht="14.25" customHeight="1">
      <c r="A65" s="74"/>
      <c r="B65" s="371"/>
      <c r="C65" s="132"/>
      <c r="D65" s="132"/>
      <c r="E65" s="74"/>
      <c r="F65" s="371"/>
      <c r="G65" s="132"/>
      <c r="H65" s="132"/>
      <c r="I65" s="74"/>
      <c r="J65" s="89"/>
      <c r="K65" s="644"/>
      <c r="L65" s="74"/>
      <c r="M65" s="74"/>
      <c r="N65" s="74"/>
      <c r="O65" s="105"/>
      <c r="P65" s="74"/>
      <c r="Q65" s="74"/>
      <c r="R65" s="74"/>
      <c r="S65" s="74"/>
      <c r="T65" s="74"/>
      <c r="U65" s="74"/>
      <c r="V65" s="74"/>
      <c r="W65" s="74"/>
      <c r="X65" s="74"/>
      <c r="Y65" s="74"/>
      <c r="Z65" s="74"/>
    </row>
    <row r="66" ht="14.25" customHeight="1">
      <c r="A66" s="74"/>
      <c r="B66" s="371"/>
      <c r="C66" s="132"/>
      <c r="D66" s="132"/>
      <c r="E66" s="74"/>
      <c r="F66" s="371"/>
      <c r="G66" s="132"/>
      <c r="H66" s="132"/>
      <c r="I66" s="74"/>
      <c r="J66" s="89"/>
      <c r="K66" s="644"/>
      <c r="L66" s="74"/>
      <c r="M66" s="74"/>
      <c r="N66" s="74"/>
      <c r="O66" s="105"/>
      <c r="P66" s="74"/>
      <c r="Q66" s="74"/>
      <c r="R66" s="74"/>
      <c r="S66" s="74"/>
      <c r="T66" s="74"/>
      <c r="U66" s="74"/>
      <c r="V66" s="74"/>
      <c r="W66" s="74"/>
      <c r="X66" s="74"/>
      <c r="Y66" s="74"/>
      <c r="Z66" s="74"/>
    </row>
    <row r="67" ht="14.25" customHeight="1">
      <c r="A67" s="74"/>
      <c r="B67" s="371"/>
      <c r="C67" s="132"/>
      <c r="D67" s="132"/>
      <c r="E67" s="74"/>
      <c r="F67" s="109"/>
      <c r="G67" s="292"/>
      <c r="H67" s="105"/>
      <c r="I67" s="74"/>
      <c r="J67" s="74"/>
      <c r="K67" s="74"/>
      <c r="L67" s="126"/>
      <c r="M67" s="74"/>
      <c r="N67" s="74"/>
      <c r="O67" s="105"/>
      <c r="P67" s="74"/>
      <c r="Q67" s="74"/>
      <c r="R67" s="74"/>
      <c r="S67" s="74"/>
      <c r="T67" s="74"/>
      <c r="U67" s="74"/>
      <c r="V67" s="74"/>
      <c r="W67" s="74"/>
      <c r="X67" s="74"/>
      <c r="Y67" s="74"/>
      <c r="Z67" s="74"/>
    </row>
    <row r="68" ht="14.25" customHeight="1">
      <c r="A68" s="105"/>
      <c r="B68" s="105"/>
      <c r="C68" s="108"/>
      <c r="D68" s="109"/>
      <c r="E68" s="292"/>
      <c r="F68" s="105"/>
      <c r="G68" s="105"/>
      <c r="H68" s="108"/>
      <c r="I68" s="293"/>
      <c r="J68" s="89"/>
      <c r="K68" s="644"/>
      <c r="L68" s="74"/>
      <c r="M68" s="74"/>
      <c r="N68" s="74"/>
      <c r="O68" s="105"/>
      <c r="P68" s="74"/>
      <c r="Q68" s="74"/>
      <c r="R68" s="74"/>
      <c r="S68" s="74"/>
      <c r="T68" s="74"/>
      <c r="U68" s="74"/>
      <c r="V68" s="74"/>
      <c r="W68" s="74"/>
      <c r="X68" s="74"/>
      <c r="Y68" s="74"/>
      <c r="Z68" s="74"/>
    </row>
    <row r="69" ht="14.25" customHeight="1">
      <c r="A69" s="105"/>
      <c r="B69" s="105"/>
      <c r="C69" s="108"/>
      <c r="D69" s="109"/>
      <c r="E69" s="292"/>
      <c r="F69" s="105"/>
      <c r="G69" s="74"/>
      <c r="H69" s="105"/>
      <c r="I69" s="74"/>
      <c r="J69" s="136"/>
      <c r="K69" s="132"/>
      <c r="L69" s="74"/>
      <c r="M69" s="104"/>
      <c r="N69" s="109"/>
      <c r="O69" s="105"/>
      <c r="P69" s="74"/>
      <c r="Q69" s="74"/>
      <c r="R69" s="74"/>
      <c r="S69" s="74"/>
      <c r="T69" s="74"/>
      <c r="U69" s="74"/>
      <c r="V69" s="74"/>
      <c r="W69" s="74"/>
      <c r="X69" s="74"/>
      <c r="Y69" s="74"/>
      <c r="Z69" s="74"/>
    </row>
    <row r="70" ht="14.25" customHeight="1">
      <c r="A70" s="74"/>
      <c r="B70" s="74"/>
      <c r="C70" s="74"/>
      <c r="D70" s="74"/>
      <c r="E70" s="74"/>
      <c r="F70" s="74"/>
      <c r="G70" s="74"/>
      <c r="H70" s="74"/>
      <c r="I70" s="74"/>
      <c r="J70" s="74"/>
      <c r="K70" s="74"/>
      <c r="L70" s="200"/>
      <c r="M70" s="74"/>
      <c r="N70" s="104"/>
      <c r="O70" s="105"/>
      <c r="P70" s="74"/>
      <c r="Q70" s="74"/>
      <c r="R70" s="74"/>
      <c r="S70" s="74"/>
      <c r="T70" s="74"/>
      <c r="U70" s="74"/>
      <c r="V70" s="74"/>
      <c r="W70" s="74"/>
      <c r="X70" s="74"/>
      <c r="Y70" s="74"/>
      <c r="Z70" s="74"/>
    </row>
    <row r="71" ht="14.25" customHeight="1">
      <c r="A71" s="74"/>
      <c r="B71" s="89"/>
      <c r="C71" s="89"/>
      <c r="D71" s="89"/>
      <c r="E71" s="89"/>
      <c r="F71" s="89"/>
      <c r="G71" s="89"/>
      <c r="H71" s="91"/>
      <c r="I71" s="91"/>
      <c r="J71" s="91"/>
      <c r="K71" s="91"/>
      <c r="L71" s="91"/>
      <c r="M71" s="74"/>
      <c r="N71" s="74"/>
      <c r="O71" s="74"/>
      <c r="P71" s="74"/>
      <c r="Q71" s="74"/>
      <c r="R71" s="74"/>
      <c r="S71" s="74"/>
      <c r="T71" s="74"/>
      <c r="U71" s="74"/>
      <c r="V71" s="74"/>
      <c r="W71" s="74"/>
      <c r="X71" s="74"/>
      <c r="Y71" s="74"/>
      <c r="Z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4.25" customHeight="1">
      <c r="A73" s="74"/>
      <c r="B73" s="89"/>
      <c r="C73" s="117"/>
      <c r="D73" s="117"/>
      <c r="E73" s="117"/>
      <c r="F73" s="117"/>
      <c r="G73" s="117"/>
      <c r="H73" s="117"/>
      <c r="I73" s="117"/>
      <c r="J73" s="74"/>
      <c r="K73" s="74"/>
      <c r="L73" s="74"/>
      <c r="M73" s="74"/>
      <c r="N73" s="74"/>
      <c r="O73" s="74"/>
      <c r="P73" s="74"/>
      <c r="Q73" s="74"/>
      <c r="R73" s="74"/>
      <c r="S73" s="74"/>
      <c r="T73" s="74"/>
      <c r="U73" s="74"/>
      <c r="V73" s="74"/>
      <c r="W73" s="74"/>
      <c r="X73" s="74"/>
      <c r="Y73" s="74"/>
      <c r="Z73" s="74"/>
    </row>
    <row r="74" ht="14.25" customHeight="1">
      <c r="A74" s="74"/>
      <c r="B74" s="117"/>
      <c r="C74" s="117"/>
      <c r="D74" s="117"/>
      <c r="E74" s="117"/>
      <c r="F74" s="117"/>
      <c r="G74" s="117"/>
      <c r="H74" s="117"/>
      <c r="I74" s="117"/>
      <c r="J74" s="74"/>
      <c r="K74" s="89"/>
      <c r="L74" s="74"/>
      <c r="M74" s="74"/>
      <c r="N74" s="74"/>
      <c r="O74" s="74"/>
      <c r="P74" s="74"/>
      <c r="Q74" s="74"/>
      <c r="R74" s="74"/>
      <c r="S74" s="74"/>
      <c r="T74" s="74"/>
      <c r="U74" s="74"/>
      <c r="V74" s="74"/>
      <c r="W74" s="74"/>
      <c r="X74" s="74"/>
      <c r="Y74" s="74"/>
      <c r="Z74" s="74"/>
    </row>
    <row r="75" ht="14.25" customHeight="1">
      <c r="A75" s="74"/>
      <c r="B75" s="89"/>
      <c r="C75" s="89"/>
      <c r="D75" s="89"/>
      <c r="E75" s="89"/>
      <c r="F75" s="89"/>
      <c r="G75" s="89"/>
      <c r="H75" s="89"/>
      <c r="I75" s="374"/>
      <c r="J75" s="129"/>
      <c r="K75" s="89"/>
      <c r="L75" s="136"/>
      <c r="M75" s="74"/>
      <c r="N75" s="74"/>
      <c r="O75" s="74"/>
      <c r="P75" s="74"/>
      <c r="Q75" s="74"/>
      <c r="R75" s="74"/>
      <c r="S75" s="74"/>
      <c r="T75" s="74"/>
      <c r="U75" s="74"/>
      <c r="V75" s="74"/>
      <c r="W75" s="74"/>
      <c r="X75" s="74"/>
      <c r="Y75" s="74"/>
      <c r="Z75" s="74"/>
    </row>
    <row r="76" ht="15.0" customHeight="1">
      <c r="A76" s="74"/>
      <c r="B76" s="117"/>
      <c r="C76" s="225"/>
      <c r="D76" s="225"/>
      <c r="E76" s="225"/>
      <c r="F76" s="225"/>
      <c r="G76" s="225"/>
      <c r="H76" s="225"/>
      <c r="I76" s="129"/>
      <c r="J76" s="129"/>
      <c r="K76" s="89"/>
      <c r="L76" s="91"/>
      <c r="M76" s="74"/>
      <c r="N76" s="74"/>
      <c r="O76" s="74"/>
      <c r="P76" s="74"/>
      <c r="Q76" s="74"/>
      <c r="R76" s="74"/>
      <c r="S76" s="74"/>
      <c r="T76" s="74"/>
      <c r="U76" s="74"/>
      <c r="V76" s="74"/>
      <c r="W76" s="74"/>
      <c r="X76" s="74"/>
      <c r="Y76" s="74"/>
      <c r="Z76" s="74"/>
    </row>
    <row r="77" ht="15.0" customHeight="1">
      <c r="A77" s="74"/>
      <c r="B77" s="117"/>
      <c r="C77" s="225"/>
      <c r="D77" s="225"/>
      <c r="E77" s="225"/>
      <c r="F77" s="225"/>
      <c r="G77" s="225"/>
      <c r="H77" s="225"/>
      <c r="I77" s="129"/>
      <c r="J77" s="129"/>
      <c r="K77" s="89"/>
      <c r="L77" s="91"/>
      <c r="M77" s="74"/>
      <c r="N77" s="74"/>
      <c r="O77" s="74"/>
      <c r="P77" s="74"/>
      <c r="Q77" s="74"/>
      <c r="R77" s="74"/>
      <c r="S77" s="74"/>
      <c r="T77" s="74"/>
      <c r="U77" s="74"/>
      <c r="V77" s="74"/>
      <c r="W77" s="74"/>
      <c r="X77" s="74"/>
      <c r="Y77" s="74"/>
      <c r="Z77" s="74"/>
    </row>
    <row r="78" ht="15.0" customHeight="1">
      <c r="A78" s="74"/>
      <c r="B78" s="117"/>
      <c r="C78" s="225"/>
      <c r="D78" s="225"/>
      <c r="E78" s="225"/>
      <c r="F78" s="225"/>
      <c r="G78" s="225"/>
      <c r="H78" s="225"/>
      <c r="I78" s="129"/>
      <c r="J78" s="129"/>
      <c r="K78" s="89"/>
      <c r="L78" s="91"/>
      <c r="M78" s="74"/>
      <c r="N78" s="74"/>
      <c r="O78" s="74"/>
      <c r="P78" s="74"/>
      <c r="Q78" s="74"/>
      <c r="R78" s="74"/>
      <c r="S78" s="74"/>
      <c r="T78" s="74"/>
      <c r="U78" s="74"/>
      <c r="V78" s="74"/>
      <c r="W78" s="74"/>
      <c r="X78" s="74"/>
      <c r="Y78" s="74"/>
      <c r="Z78" s="74"/>
    </row>
    <row r="79" ht="14.25" customHeight="1">
      <c r="A79" s="74"/>
      <c r="B79" s="117"/>
      <c r="C79" s="225"/>
      <c r="D79" s="225"/>
      <c r="E79" s="225"/>
      <c r="F79" s="225"/>
      <c r="G79" s="225"/>
      <c r="H79" s="225"/>
      <c r="I79" s="129"/>
      <c r="J79" s="129"/>
      <c r="K79" s="74"/>
      <c r="L79" s="74"/>
      <c r="M79" s="74"/>
      <c r="N79" s="74"/>
      <c r="O79" s="74"/>
      <c r="P79" s="74"/>
      <c r="Q79" s="74"/>
      <c r="R79" s="74"/>
      <c r="S79" s="74"/>
      <c r="T79" s="74"/>
      <c r="U79" s="74"/>
      <c r="V79" s="74"/>
      <c r="W79" s="74"/>
      <c r="X79" s="74"/>
      <c r="Y79" s="74"/>
      <c r="Z79" s="74"/>
    </row>
    <row r="80" ht="14.25" customHeight="1">
      <c r="A80" s="74"/>
      <c r="B80" s="117"/>
      <c r="C80" s="225"/>
      <c r="D80" s="375"/>
      <c r="E80" s="225"/>
      <c r="F80" s="225"/>
      <c r="G80" s="225"/>
      <c r="H80" s="375"/>
      <c r="I80" s="129"/>
      <c r="J80" s="129"/>
      <c r="K80" s="74"/>
      <c r="L80" s="74"/>
      <c r="M80" s="74"/>
      <c r="N80" s="74"/>
      <c r="O80" s="74"/>
      <c r="P80" s="74"/>
      <c r="Q80" s="74"/>
      <c r="R80" s="74"/>
      <c r="S80" s="74"/>
      <c r="T80" s="74"/>
      <c r="U80" s="74"/>
      <c r="V80" s="74"/>
      <c r="W80" s="74"/>
      <c r="X80" s="74"/>
      <c r="Y80" s="74"/>
      <c r="Z80" s="74"/>
    </row>
    <row r="81" ht="14.25" customHeight="1">
      <c r="A81" s="74"/>
      <c r="B81" s="117"/>
      <c r="C81" s="117"/>
      <c r="D81" s="117"/>
      <c r="E81" s="117"/>
      <c r="F81" s="117"/>
      <c r="G81" s="117"/>
      <c r="H81" s="117"/>
      <c r="I81" s="117"/>
      <c r="J81" s="74"/>
      <c r="K81" s="74"/>
      <c r="L81" s="74"/>
      <c r="M81" s="74"/>
      <c r="N81" s="74"/>
      <c r="O81" s="74"/>
      <c r="P81" s="74"/>
      <c r="Q81" s="74"/>
      <c r="R81" s="74"/>
      <c r="S81" s="74"/>
      <c r="T81" s="74"/>
      <c r="U81" s="74"/>
      <c r="V81" s="74"/>
      <c r="W81" s="74"/>
      <c r="X81" s="74"/>
      <c r="Y81" s="74"/>
      <c r="Z81" s="74"/>
    </row>
    <row r="82" ht="14.25" customHeight="1">
      <c r="A82" s="74"/>
      <c r="B82" s="117"/>
      <c r="C82" s="117"/>
      <c r="D82" s="117"/>
      <c r="E82" s="117"/>
      <c r="F82" s="117"/>
      <c r="G82" s="117"/>
      <c r="H82" s="117"/>
      <c r="I82" s="117"/>
      <c r="J82" s="74"/>
      <c r="K82" s="74"/>
      <c r="L82" s="74"/>
      <c r="M82" s="74"/>
      <c r="N82" s="74"/>
      <c r="O82" s="74"/>
      <c r="P82" s="74"/>
      <c r="Q82" s="74"/>
      <c r="R82" s="74"/>
      <c r="S82" s="74"/>
      <c r="T82" s="74"/>
      <c r="U82" s="74"/>
      <c r="V82" s="74"/>
      <c r="W82" s="74"/>
      <c r="X82" s="74"/>
      <c r="Y82" s="74"/>
      <c r="Z82" s="74"/>
    </row>
    <row r="83" ht="14.25" customHeight="1">
      <c r="A83" s="74"/>
      <c r="B83" s="117"/>
      <c r="C83" s="117"/>
      <c r="D83" s="117"/>
      <c r="E83" s="117"/>
      <c r="F83" s="117"/>
      <c r="G83" s="117"/>
      <c r="H83" s="117"/>
      <c r="I83" s="117"/>
      <c r="J83" s="74"/>
      <c r="K83" s="74"/>
      <c r="L83" s="74"/>
      <c r="M83" s="74"/>
      <c r="N83" s="74"/>
      <c r="O83" s="74"/>
      <c r="P83" s="74"/>
      <c r="Q83" s="74"/>
      <c r="R83" s="74"/>
      <c r="S83" s="74"/>
      <c r="T83" s="74"/>
      <c r="U83" s="74"/>
      <c r="V83" s="74"/>
      <c r="W83" s="74"/>
      <c r="X83" s="74"/>
      <c r="Y83" s="74"/>
      <c r="Z83" s="74"/>
    </row>
    <row r="84" ht="14.25" customHeight="1">
      <c r="A84" s="74"/>
      <c r="B84" s="117"/>
      <c r="C84" s="117"/>
      <c r="D84" s="117"/>
      <c r="E84" s="117"/>
      <c r="F84" s="117"/>
      <c r="G84" s="117"/>
      <c r="H84" s="117"/>
      <c r="I84" s="117"/>
      <c r="J84" s="74"/>
      <c r="K84" s="74"/>
      <c r="L84" s="74"/>
      <c r="M84" s="74"/>
      <c r="N84" s="74"/>
      <c r="O84" s="74"/>
      <c r="P84" s="74"/>
      <c r="Q84" s="74"/>
      <c r="R84" s="74"/>
      <c r="S84" s="74"/>
      <c r="T84" s="74"/>
      <c r="U84" s="74"/>
      <c r="V84" s="74"/>
      <c r="W84" s="74"/>
      <c r="X84" s="74"/>
      <c r="Y84" s="74"/>
      <c r="Z84" s="74"/>
    </row>
    <row r="85" ht="14.2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ht="14.2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ht="14.2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ht="14.2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ht="14.2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4.2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ht="14.2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4.2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4.25" customHeight="1">
      <c r="A93" s="74"/>
      <c r="B93" s="111"/>
      <c r="C93" s="645"/>
      <c r="D93" s="76"/>
      <c r="E93" s="77"/>
      <c r="F93" s="74"/>
      <c r="G93" s="74"/>
      <c r="H93" s="74"/>
      <c r="I93" s="74"/>
      <c r="J93" s="74"/>
      <c r="K93" s="74"/>
      <c r="L93" s="74"/>
      <c r="M93" s="74"/>
      <c r="N93" s="74"/>
      <c r="O93" s="74"/>
      <c r="P93" s="74"/>
      <c r="Q93" s="74"/>
      <c r="R93" s="74"/>
      <c r="S93" s="74"/>
      <c r="T93" s="74"/>
      <c r="U93" s="74"/>
      <c r="V93" s="74"/>
      <c r="W93" s="74"/>
      <c r="X93" s="74"/>
      <c r="Y93" s="74"/>
      <c r="Z93" s="74"/>
    </row>
    <row r="94" ht="57.0" customHeight="1">
      <c r="A94" s="74"/>
      <c r="B94" s="387"/>
      <c r="C94" s="388"/>
      <c r="D94" s="76"/>
      <c r="E94" s="77"/>
      <c r="F94" s="74"/>
      <c r="G94" s="74"/>
      <c r="H94" s="74"/>
      <c r="I94" s="74"/>
      <c r="J94" s="74"/>
      <c r="K94" s="74"/>
      <c r="L94" s="74"/>
      <c r="M94" s="74"/>
      <c r="N94" s="74"/>
      <c r="O94" s="74"/>
      <c r="P94" s="74"/>
      <c r="Q94" s="74"/>
      <c r="R94" s="74"/>
      <c r="S94" s="74"/>
      <c r="T94" s="74"/>
      <c r="U94" s="74"/>
      <c r="V94" s="74"/>
      <c r="W94" s="74"/>
      <c r="X94" s="74"/>
      <c r="Y94" s="74"/>
      <c r="Z94" s="74"/>
    </row>
    <row r="95" ht="79.5" customHeight="1">
      <c r="A95" s="74"/>
      <c r="B95" s="387"/>
      <c r="C95" s="388"/>
      <c r="D95" s="76"/>
      <c r="E95" s="77"/>
      <c r="F95" s="74"/>
      <c r="G95" s="74"/>
      <c r="H95" s="74"/>
      <c r="I95" s="74"/>
      <c r="J95" s="74"/>
      <c r="K95" s="74"/>
      <c r="L95" s="74"/>
      <c r="M95" s="74"/>
      <c r="N95" s="74"/>
      <c r="O95" s="74"/>
      <c r="P95" s="74"/>
      <c r="Q95" s="74"/>
      <c r="R95" s="74"/>
      <c r="S95" s="74"/>
      <c r="T95" s="74"/>
      <c r="U95" s="74"/>
      <c r="V95" s="74"/>
      <c r="W95" s="74"/>
      <c r="X95" s="74"/>
      <c r="Y95" s="74"/>
      <c r="Z95" s="74"/>
    </row>
    <row r="96" ht="87.0" customHeight="1">
      <c r="A96" s="74"/>
      <c r="B96" s="387"/>
      <c r="C96" s="388"/>
      <c r="D96" s="76"/>
      <c r="E96" s="77"/>
      <c r="F96" s="74"/>
      <c r="G96" s="74"/>
      <c r="H96" s="74"/>
      <c r="I96" s="74"/>
      <c r="J96" s="74"/>
      <c r="K96" s="74"/>
      <c r="L96" s="74"/>
      <c r="M96" s="74"/>
      <c r="N96" s="74"/>
      <c r="O96" s="74"/>
      <c r="P96" s="74"/>
      <c r="Q96" s="74"/>
      <c r="R96" s="74"/>
      <c r="S96" s="74"/>
      <c r="T96" s="74"/>
      <c r="U96" s="74"/>
      <c r="V96" s="74"/>
      <c r="W96" s="74"/>
      <c r="X96" s="74"/>
      <c r="Y96" s="74"/>
      <c r="Z96" s="74"/>
    </row>
    <row r="97" ht="118.5" customHeight="1">
      <c r="A97" s="74"/>
      <c r="B97" s="387"/>
      <c r="C97" s="388"/>
      <c r="D97" s="76"/>
      <c r="E97" s="77"/>
      <c r="F97" s="74"/>
      <c r="G97" s="74"/>
      <c r="H97" s="74"/>
      <c r="I97" s="74"/>
      <c r="J97" s="74"/>
      <c r="K97" s="74"/>
      <c r="L97" s="74"/>
      <c r="M97" s="74"/>
      <c r="N97" s="74"/>
      <c r="O97" s="74"/>
      <c r="P97" s="74"/>
      <c r="Q97" s="74"/>
      <c r="R97" s="74"/>
      <c r="S97" s="74"/>
      <c r="T97" s="74"/>
      <c r="U97" s="74"/>
      <c r="V97" s="74"/>
      <c r="W97" s="74"/>
      <c r="X97" s="74"/>
      <c r="Y97" s="74"/>
      <c r="Z97" s="74"/>
    </row>
    <row r="98" ht="57.0" customHeight="1">
      <c r="A98" s="74"/>
      <c r="B98" s="387"/>
      <c r="C98" s="388"/>
      <c r="D98" s="76"/>
      <c r="E98" s="77"/>
      <c r="F98" s="74"/>
      <c r="G98" s="74"/>
      <c r="H98" s="74"/>
      <c r="I98" s="74"/>
      <c r="J98" s="74"/>
      <c r="K98" s="74"/>
      <c r="L98" s="74"/>
      <c r="M98" s="74"/>
      <c r="N98" s="74"/>
      <c r="O98" s="74"/>
      <c r="P98" s="74"/>
      <c r="Q98" s="74"/>
      <c r="R98" s="74"/>
      <c r="S98" s="74"/>
      <c r="T98" s="74"/>
      <c r="U98" s="74"/>
      <c r="V98" s="74"/>
      <c r="W98" s="74"/>
      <c r="X98" s="74"/>
      <c r="Y98" s="74"/>
      <c r="Z98" s="74"/>
    </row>
    <row r="99" ht="177.0" customHeight="1">
      <c r="A99" s="74"/>
      <c r="B99" s="387"/>
      <c r="C99" s="388"/>
      <c r="D99" s="76"/>
      <c r="E99" s="77"/>
      <c r="F99" s="74"/>
      <c r="G99" s="74"/>
      <c r="H99" s="74"/>
      <c r="I99" s="74"/>
      <c r="J99" s="74"/>
      <c r="K99" s="74"/>
      <c r="L99" s="74"/>
      <c r="M99" s="74"/>
      <c r="N99" s="74"/>
      <c r="O99" s="74"/>
      <c r="P99" s="74"/>
      <c r="Q99" s="74"/>
      <c r="R99" s="74"/>
      <c r="S99" s="74"/>
      <c r="T99" s="74"/>
      <c r="U99" s="74"/>
      <c r="V99" s="74"/>
      <c r="W99" s="74"/>
      <c r="X99" s="74"/>
      <c r="Y99" s="74"/>
      <c r="Z99" s="74"/>
    </row>
    <row r="100" ht="14.2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4.2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4.2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4.2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4.2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4.2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4.2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4.2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4.2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4.2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4.2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4.2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4.2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4.2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4.2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4.2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4.2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16">
    <mergeCell ref="B3:O3"/>
    <mergeCell ref="B4:O4"/>
    <mergeCell ref="B6:C6"/>
    <mergeCell ref="E6:O7"/>
    <mergeCell ref="B7:C7"/>
    <mergeCell ref="B10:O14"/>
    <mergeCell ref="B19:O23"/>
    <mergeCell ref="C98:E98"/>
    <mergeCell ref="C99:E99"/>
    <mergeCell ref="C62:D62"/>
    <mergeCell ref="G62:H62"/>
    <mergeCell ref="C93:E93"/>
    <mergeCell ref="C94:E94"/>
    <mergeCell ref="C95:E95"/>
    <mergeCell ref="C96:E96"/>
    <mergeCell ref="C97:E97"/>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26" width="11.86"/>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4.25" customHeight="1">
      <c r="A2" s="74"/>
      <c r="B2" s="74"/>
      <c r="C2" s="74"/>
      <c r="D2" s="74"/>
      <c r="E2" s="74"/>
      <c r="F2" s="74"/>
      <c r="G2" s="74"/>
      <c r="H2" s="74"/>
      <c r="I2" s="74"/>
      <c r="J2" s="74"/>
      <c r="K2" s="74"/>
      <c r="L2" s="74"/>
      <c r="M2" s="74"/>
      <c r="N2" s="74"/>
      <c r="O2" s="74"/>
      <c r="P2" s="74"/>
      <c r="Q2" s="74"/>
      <c r="R2" s="74"/>
      <c r="S2" s="74"/>
      <c r="T2" s="74"/>
      <c r="U2" s="74"/>
      <c r="V2" s="74"/>
      <c r="W2" s="74"/>
      <c r="X2" s="74"/>
      <c r="Y2" s="74"/>
      <c r="Z2" s="74"/>
    </row>
    <row r="3" ht="14.25" customHeight="1">
      <c r="A3" s="74"/>
      <c r="B3" s="75" t="s">
        <v>1947</v>
      </c>
      <c r="C3" s="76"/>
      <c r="D3" s="76"/>
      <c r="E3" s="76"/>
      <c r="F3" s="76"/>
      <c r="G3" s="76"/>
      <c r="H3" s="76"/>
      <c r="I3" s="76"/>
      <c r="J3" s="76"/>
      <c r="K3" s="76"/>
      <c r="L3" s="76"/>
      <c r="M3" s="76"/>
      <c r="N3" s="76"/>
      <c r="O3" s="77"/>
      <c r="P3" s="74"/>
      <c r="Q3" s="74"/>
      <c r="R3" s="74"/>
      <c r="S3" s="74"/>
      <c r="T3" s="74"/>
      <c r="U3" s="74"/>
      <c r="V3" s="74"/>
      <c r="W3" s="74"/>
      <c r="X3" s="74"/>
      <c r="Y3" s="74"/>
      <c r="Z3" s="74"/>
    </row>
    <row r="4" ht="25.5" customHeight="1">
      <c r="A4" s="74"/>
      <c r="B4" s="78" t="s">
        <v>84</v>
      </c>
      <c r="C4" s="76"/>
      <c r="D4" s="76"/>
      <c r="E4" s="76"/>
      <c r="F4" s="76"/>
      <c r="G4" s="76"/>
      <c r="H4" s="76"/>
      <c r="I4" s="76"/>
      <c r="J4" s="76"/>
      <c r="K4" s="76"/>
      <c r="L4" s="76"/>
      <c r="M4" s="76"/>
      <c r="N4" s="76"/>
      <c r="O4" s="77"/>
      <c r="P4" s="74"/>
      <c r="Q4" s="74"/>
      <c r="R4" s="74"/>
      <c r="S4" s="74"/>
      <c r="T4" s="74"/>
      <c r="U4" s="74"/>
      <c r="V4" s="74"/>
      <c r="W4" s="74"/>
      <c r="X4" s="74"/>
      <c r="Y4" s="74"/>
      <c r="Z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row>
    <row r="6" ht="14.25" customHeight="1">
      <c r="A6" s="74"/>
      <c r="B6" s="505"/>
      <c r="C6" s="77"/>
      <c r="D6" s="74"/>
      <c r="E6" s="82"/>
      <c r="F6" s="83"/>
      <c r="G6" s="83"/>
      <c r="H6" s="83"/>
      <c r="I6" s="83"/>
      <c r="J6" s="83"/>
      <c r="K6" s="83"/>
      <c r="L6" s="83"/>
      <c r="M6" s="83"/>
      <c r="N6" s="83"/>
      <c r="O6" s="84"/>
      <c r="P6" s="74"/>
      <c r="Q6" s="74"/>
      <c r="R6" s="74"/>
      <c r="S6" s="74"/>
      <c r="T6" s="74"/>
      <c r="U6" s="74"/>
      <c r="V6" s="74"/>
      <c r="W6" s="74"/>
      <c r="X6" s="74"/>
      <c r="Y6" s="74"/>
      <c r="Z6" s="74"/>
    </row>
    <row r="7" ht="14.25" customHeight="1">
      <c r="A7" s="74"/>
      <c r="B7" s="505"/>
      <c r="C7" s="77"/>
      <c r="D7" s="74"/>
      <c r="E7" s="85"/>
      <c r="F7" s="86"/>
      <c r="G7" s="86"/>
      <c r="H7" s="86"/>
      <c r="I7" s="86"/>
      <c r="J7" s="86"/>
      <c r="K7" s="86"/>
      <c r="L7" s="86"/>
      <c r="M7" s="86"/>
      <c r="N7" s="86"/>
      <c r="O7" s="87"/>
      <c r="P7" s="74"/>
      <c r="Q7" s="74"/>
      <c r="R7" s="74"/>
      <c r="S7" s="74"/>
      <c r="T7" s="74"/>
      <c r="U7" s="74"/>
      <c r="V7" s="74"/>
      <c r="W7" s="74"/>
      <c r="X7" s="74"/>
      <c r="Y7" s="74"/>
      <c r="Z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ht="14.25" customHeight="1">
      <c r="A9" s="74"/>
      <c r="B9" s="88" t="s">
        <v>1948</v>
      </c>
      <c r="C9" s="89"/>
      <c r="D9" s="89"/>
      <c r="E9" s="89"/>
      <c r="F9" s="89"/>
      <c r="G9" s="89"/>
      <c r="H9" s="90"/>
      <c r="I9" s="91"/>
      <c r="J9" s="91"/>
      <c r="K9" s="91"/>
      <c r="L9" s="91"/>
      <c r="M9" s="74"/>
      <c r="N9" s="74"/>
      <c r="O9" s="74"/>
      <c r="P9" s="74"/>
      <c r="Q9" s="74"/>
      <c r="R9" s="74"/>
      <c r="S9" s="74"/>
      <c r="T9" s="74"/>
      <c r="U9" s="74"/>
      <c r="V9" s="74"/>
      <c r="W9" s="74"/>
      <c r="X9" s="74"/>
      <c r="Y9" s="74"/>
      <c r="Z9" s="74"/>
    </row>
    <row r="10" ht="14.25" customHeight="1">
      <c r="A10" s="74"/>
      <c r="B10" s="575" t="s">
        <v>1949</v>
      </c>
      <c r="C10" s="93"/>
      <c r="D10" s="93"/>
      <c r="E10" s="93"/>
      <c r="F10" s="93"/>
      <c r="G10" s="93"/>
      <c r="H10" s="93"/>
      <c r="I10" s="93"/>
      <c r="J10" s="93"/>
      <c r="K10" s="93"/>
      <c r="L10" s="93"/>
      <c r="M10" s="93"/>
      <c r="N10" s="93"/>
      <c r="O10" s="94"/>
      <c r="P10" s="74"/>
      <c r="Q10" s="74"/>
      <c r="R10" s="74"/>
      <c r="S10" s="74"/>
      <c r="T10" s="74"/>
      <c r="U10" s="74"/>
      <c r="V10" s="74"/>
      <c r="W10" s="74"/>
      <c r="X10" s="74"/>
      <c r="Y10" s="74"/>
      <c r="Z10" s="74"/>
    </row>
    <row r="11" ht="14.25" customHeight="1">
      <c r="A11" s="74"/>
      <c r="B11" s="28"/>
      <c r="O11" s="29"/>
      <c r="P11" s="74"/>
      <c r="Q11" s="74"/>
      <c r="R11" s="74"/>
      <c r="S11" s="74"/>
      <c r="T11" s="74"/>
      <c r="U11" s="74"/>
      <c r="V11" s="74"/>
      <c r="W11" s="74"/>
      <c r="X11" s="74"/>
      <c r="Y11" s="74"/>
      <c r="Z11" s="74"/>
    </row>
    <row r="12" ht="14.25" customHeight="1">
      <c r="A12" s="74"/>
      <c r="B12" s="28"/>
      <c r="O12" s="29"/>
      <c r="P12" s="74"/>
      <c r="Q12" s="74"/>
      <c r="R12" s="74"/>
      <c r="S12" s="74"/>
      <c r="T12" s="74"/>
      <c r="U12" s="74"/>
      <c r="V12" s="74"/>
      <c r="W12" s="74"/>
      <c r="X12" s="74"/>
      <c r="Y12" s="74"/>
      <c r="Z12" s="74"/>
    </row>
    <row r="13" ht="14.25" customHeight="1">
      <c r="A13" s="74"/>
      <c r="B13" s="28"/>
      <c r="O13" s="29"/>
      <c r="P13" s="74"/>
      <c r="Q13" s="74"/>
      <c r="R13" s="74"/>
      <c r="S13" s="74"/>
      <c r="T13" s="74"/>
      <c r="U13" s="74"/>
      <c r="V13" s="74"/>
      <c r="W13" s="74"/>
      <c r="X13" s="74"/>
      <c r="Y13" s="74"/>
      <c r="Z13" s="74"/>
    </row>
    <row r="14" ht="121.5" customHeight="1">
      <c r="A14" s="74"/>
      <c r="B14" s="34"/>
      <c r="C14" s="95"/>
      <c r="D14" s="95"/>
      <c r="E14" s="95"/>
      <c r="F14" s="95"/>
      <c r="G14" s="95"/>
      <c r="H14" s="95"/>
      <c r="I14" s="95"/>
      <c r="J14" s="95"/>
      <c r="K14" s="95"/>
      <c r="L14" s="95"/>
      <c r="M14" s="95"/>
      <c r="N14" s="95"/>
      <c r="O14" s="38"/>
      <c r="P14" s="74"/>
      <c r="Q14" s="74"/>
      <c r="R14" s="74"/>
      <c r="S14" s="74"/>
      <c r="T14" s="74"/>
      <c r="U14" s="74"/>
      <c r="V14" s="74"/>
      <c r="W14" s="74"/>
      <c r="X14" s="74"/>
      <c r="Y14" s="74"/>
      <c r="Z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4.25" customHeight="1">
      <c r="A18" s="74"/>
      <c r="B18" s="88" t="s">
        <v>1945</v>
      </c>
      <c r="C18" s="89"/>
      <c r="D18" s="89"/>
      <c r="E18" s="89"/>
      <c r="F18" s="89"/>
      <c r="G18" s="89"/>
      <c r="H18" s="90"/>
      <c r="I18" s="91"/>
      <c r="J18" s="91"/>
      <c r="K18" s="91"/>
      <c r="L18" s="91"/>
      <c r="M18" s="74"/>
      <c r="N18" s="74"/>
      <c r="O18" s="74"/>
      <c r="P18" s="74"/>
      <c r="Q18" s="74"/>
      <c r="R18" s="74"/>
      <c r="S18" s="74"/>
      <c r="T18" s="74"/>
      <c r="U18" s="74"/>
      <c r="V18" s="74"/>
      <c r="W18" s="74"/>
      <c r="X18" s="74"/>
      <c r="Y18" s="74"/>
      <c r="Z18" s="74"/>
    </row>
    <row r="19" ht="14.25" customHeight="1">
      <c r="A19" s="74"/>
      <c r="B19" s="97"/>
      <c r="C19" s="93"/>
      <c r="D19" s="93"/>
      <c r="E19" s="93"/>
      <c r="F19" s="93"/>
      <c r="G19" s="93"/>
      <c r="H19" s="93"/>
      <c r="I19" s="93"/>
      <c r="J19" s="93"/>
      <c r="K19" s="93"/>
      <c r="L19" s="93"/>
      <c r="M19" s="93"/>
      <c r="N19" s="93"/>
      <c r="O19" s="94"/>
      <c r="P19" s="74"/>
      <c r="Q19" s="74"/>
      <c r="R19" s="74"/>
      <c r="S19" s="74"/>
      <c r="T19" s="74"/>
      <c r="U19" s="74"/>
      <c r="V19" s="74"/>
      <c r="W19" s="74"/>
      <c r="X19" s="74"/>
      <c r="Y19" s="74"/>
      <c r="Z19" s="74"/>
    </row>
    <row r="20" ht="14.25" customHeight="1">
      <c r="A20" s="74"/>
      <c r="B20" s="28"/>
      <c r="O20" s="29"/>
      <c r="P20" s="74"/>
      <c r="Q20" s="74"/>
      <c r="R20" s="74"/>
      <c r="S20" s="74"/>
      <c r="T20" s="74"/>
      <c r="U20" s="74"/>
      <c r="V20" s="74"/>
      <c r="W20" s="74"/>
      <c r="X20" s="74"/>
      <c r="Y20" s="74"/>
      <c r="Z20" s="74"/>
    </row>
    <row r="21" ht="77.25" customHeight="1">
      <c r="A21" s="74"/>
      <c r="B21" s="28"/>
      <c r="O21" s="29"/>
      <c r="P21" s="74"/>
      <c r="Q21" s="74"/>
      <c r="R21" s="74"/>
      <c r="S21" s="74"/>
      <c r="T21" s="74"/>
      <c r="U21" s="74"/>
      <c r="V21" s="74"/>
      <c r="W21" s="74"/>
      <c r="X21" s="74"/>
      <c r="Y21" s="74"/>
      <c r="Z21" s="74"/>
    </row>
    <row r="22" ht="14.25" customHeight="1">
      <c r="A22" s="74"/>
      <c r="B22" s="28"/>
      <c r="O22" s="29"/>
      <c r="P22" s="74"/>
      <c r="Q22" s="74"/>
      <c r="R22" s="74"/>
      <c r="S22" s="74"/>
      <c r="T22" s="74"/>
      <c r="U22" s="74"/>
      <c r="V22" s="74"/>
      <c r="W22" s="74"/>
      <c r="X22" s="74"/>
      <c r="Y22" s="74"/>
      <c r="Z22" s="74"/>
    </row>
    <row r="23" ht="59.25" customHeight="1">
      <c r="A23" s="74"/>
      <c r="B23" s="34"/>
      <c r="C23" s="95"/>
      <c r="D23" s="95"/>
      <c r="E23" s="95"/>
      <c r="F23" s="95"/>
      <c r="G23" s="95"/>
      <c r="H23" s="95"/>
      <c r="I23" s="95"/>
      <c r="J23" s="95"/>
      <c r="K23" s="95"/>
      <c r="L23" s="95"/>
      <c r="M23" s="95"/>
      <c r="N23" s="95"/>
      <c r="O23" s="38"/>
      <c r="P23" s="74"/>
      <c r="Q23" s="74"/>
      <c r="R23" s="74"/>
      <c r="S23" s="74"/>
      <c r="T23" s="74"/>
      <c r="U23" s="74"/>
      <c r="V23" s="74"/>
      <c r="W23" s="74"/>
      <c r="X23" s="74"/>
      <c r="Y23" s="74"/>
      <c r="Z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4"/>
      <c r="C36" s="74"/>
      <c r="D36" s="74"/>
      <c r="E36" s="74"/>
      <c r="F36" s="74"/>
      <c r="G36" s="74"/>
      <c r="H36" s="74"/>
      <c r="I36" s="74"/>
      <c r="J36" s="74"/>
      <c r="K36" s="74"/>
      <c r="L36" s="113"/>
      <c r="M36" s="74"/>
      <c r="N36" s="74"/>
      <c r="O36" s="74"/>
      <c r="P36" s="74"/>
      <c r="Q36" s="74"/>
      <c r="R36" s="74"/>
      <c r="S36" s="74"/>
      <c r="T36" s="74"/>
      <c r="U36" s="74"/>
      <c r="V36" s="74"/>
      <c r="W36" s="74"/>
      <c r="X36" s="74"/>
      <c r="Y36" s="74"/>
      <c r="Z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4"/>
      <c r="C49" s="74"/>
      <c r="D49" s="74"/>
      <c r="E49" s="74"/>
      <c r="F49" s="199"/>
      <c r="G49" s="199"/>
      <c r="H49" s="74"/>
      <c r="I49" s="74"/>
      <c r="J49" s="74"/>
      <c r="K49" s="74"/>
      <c r="L49" s="200"/>
      <c r="M49" s="74"/>
      <c r="N49" s="104"/>
      <c r="O49" s="105"/>
      <c r="P49" s="74"/>
      <c r="Q49" s="74"/>
      <c r="R49" s="74"/>
      <c r="S49" s="74"/>
      <c r="T49" s="74"/>
      <c r="U49" s="74"/>
      <c r="V49" s="74"/>
      <c r="W49" s="74"/>
      <c r="X49" s="74"/>
      <c r="Y49" s="74"/>
      <c r="Z49" s="74"/>
    </row>
    <row r="50" ht="14.25" customHeight="1">
      <c r="A50" s="74"/>
      <c r="B50" s="74"/>
      <c r="C50" s="74"/>
      <c r="D50" s="74"/>
      <c r="E50" s="74"/>
      <c r="F50" s="201"/>
      <c r="G50" s="200"/>
      <c r="H50" s="74"/>
      <c r="I50" s="74"/>
      <c r="J50" s="74"/>
      <c r="K50" s="74"/>
      <c r="L50" s="105"/>
      <c r="M50" s="105"/>
      <c r="N50" s="108"/>
      <c r="O50" s="105"/>
      <c r="P50" s="74"/>
      <c r="Q50" s="74"/>
      <c r="R50" s="74"/>
      <c r="S50" s="74"/>
      <c r="T50" s="74"/>
      <c r="U50" s="74"/>
      <c r="V50" s="74"/>
      <c r="W50" s="74"/>
      <c r="X50" s="74"/>
      <c r="Y50" s="74"/>
      <c r="Z50" s="74"/>
    </row>
    <row r="51" ht="14.25" customHeight="1">
      <c r="A51" s="74"/>
      <c r="B51" s="74"/>
      <c r="C51" s="74"/>
      <c r="D51" s="74"/>
      <c r="E51" s="74"/>
      <c r="F51" s="201"/>
      <c r="G51" s="200"/>
      <c r="H51" s="74"/>
      <c r="I51" s="74"/>
      <c r="J51" s="74"/>
      <c r="K51" s="74"/>
      <c r="L51" s="74"/>
      <c r="M51" s="74"/>
      <c r="N51" s="74"/>
      <c r="O51" s="74"/>
      <c r="P51" s="74"/>
      <c r="Q51" s="74"/>
      <c r="R51" s="74"/>
      <c r="S51" s="74"/>
      <c r="T51" s="74"/>
      <c r="U51" s="74"/>
      <c r="V51" s="74"/>
      <c r="W51" s="74"/>
      <c r="X51" s="74"/>
      <c r="Y51" s="74"/>
      <c r="Z51" s="74"/>
    </row>
    <row r="52" ht="14.25" customHeight="1">
      <c r="A52" s="74"/>
      <c r="B52" s="74"/>
      <c r="C52" s="74"/>
      <c r="D52" s="74"/>
      <c r="E52" s="74"/>
      <c r="F52" s="201"/>
      <c r="G52" s="200"/>
      <c r="H52" s="74"/>
      <c r="I52" s="74"/>
      <c r="J52" s="74"/>
      <c r="K52" s="74"/>
      <c r="L52" s="74"/>
      <c r="M52" s="74"/>
      <c r="N52" s="74"/>
      <c r="O52" s="74"/>
      <c r="P52" s="74"/>
      <c r="Q52" s="74"/>
      <c r="R52" s="74"/>
      <c r="S52" s="74"/>
      <c r="T52" s="74"/>
      <c r="U52" s="74"/>
      <c r="V52" s="74"/>
      <c r="W52" s="74"/>
      <c r="X52" s="74"/>
      <c r="Y52" s="74"/>
      <c r="Z52" s="74"/>
    </row>
    <row r="53" ht="14.25" customHeight="1">
      <c r="A53" s="74"/>
      <c r="B53" s="74"/>
      <c r="C53" s="74"/>
      <c r="D53" s="74"/>
      <c r="E53" s="74"/>
      <c r="F53" s="201"/>
      <c r="G53" s="200"/>
      <c r="H53" s="74"/>
      <c r="I53" s="74"/>
      <c r="J53" s="74"/>
      <c r="K53" s="74"/>
      <c r="L53" s="74"/>
      <c r="M53" s="74"/>
      <c r="N53" s="74"/>
      <c r="O53" s="74"/>
      <c r="P53" s="74"/>
      <c r="Q53" s="74"/>
      <c r="R53" s="74"/>
      <c r="S53" s="74"/>
      <c r="T53" s="74"/>
      <c r="U53" s="74"/>
      <c r="V53" s="74"/>
      <c r="W53" s="74"/>
      <c r="X53" s="74"/>
      <c r="Y53" s="74"/>
      <c r="Z53" s="74"/>
    </row>
    <row r="54" ht="14.25" customHeight="1">
      <c r="A54" s="74"/>
      <c r="B54" s="74"/>
      <c r="C54" s="74"/>
      <c r="D54" s="74"/>
      <c r="E54" s="74"/>
      <c r="F54" s="201"/>
      <c r="G54" s="200"/>
      <c r="H54" s="74"/>
      <c r="I54" s="74"/>
      <c r="J54" s="74"/>
      <c r="K54" s="74"/>
      <c r="L54" s="74"/>
      <c r="M54" s="74"/>
      <c r="N54" s="74"/>
      <c r="O54" s="74"/>
      <c r="P54" s="74"/>
      <c r="Q54" s="74"/>
      <c r="R54" s="74"/>
      <c r="S54" s="74"/>
      <c r="T54" s="74"/>
      <c r="U54" s="74"/>
      <c r="V54" s="74"/>
      <c r="W54" s="74"/>
      <c r="X54" s="74"/>
      <c r="Y54" s="74"/>
      <c r="Z54" s="74"/>
    </row>
    <row r="55" ht="14.25" customHeight="1">
      <c r="A55" s="74"/>
      <c r="B55" s="74"/>
      <c r="C55" s="74"/>
      <c r="D55" s="74"/>
      <c r="E55" s="74"/>
      <c r="F55" s="201"/>
      <c r="G55" s="200"/>
      <c r="H55" s="74"/>
      <c r="I55" s="74"/>
      <c r="J55" s="74"/>
      <c r="K55" s="74"/>
      <c r="L55" s="74"/>
      <c r="M55" s="74"/>
      <c r="N55" s="74"/>
      <c r="O55" s="74"/>
      <c r="P55" s="74"/>
      <c r="Q55" s="74"/>
      <c r="R55" s="74"/>
      <c r="S55" s="74"/>
      <c r="T55" s="74"/>
      <c r="U55" s="74"/>
      <c r="V55" s="74"/>
      <c r="W55" s="74"/>
      <c r="X55" s="74"/>
      <c r="Y55" s="74"/>
      <c r="Z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89"/>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4"/>
      <c r="C61" s="111"/>
      <c r="D61" s="111"/>
      <c r="E61" s="112"/>
      <c r="F61" s="91"/>
      <c r="G61" s="113"/>
      <c r="H61" s="74"/>
      <c r="I61" s="74"/>
      <c r="J61" s="74"/>
      <c r="K61" s="74"/>
      <c r="L61" s="74"/>
      <c r="M61" s="74"/>
      <c r="N61" s="74"/>
      <c r="O61" s="109"/>
      <c r="P61" s="74"/>
      <c r="Q61" s="74"/>
      <c r="R61" s="74"/>
      <c r="S61" s="74"/>
      <c r="T61" s="74"/>
      <c r="U61" s="74"/>
      <c r="V61" s="74"/>
      <c r="W61" s="74"/>
      <c r="X61" s="74"/>
      <c r="Y61" s="74"/>
      <c r="Z61" s="74"/>
    </row>
    <row r="62" ht="14.25" customHeight="1">
      <c r="A62" s="74"/>
      <c r="B62" s="111"/>
      <c r="C62" s="624"/>
      <c r="D62" s="77"/>
      <c r="E62" s="74"/>
      <c r="F62" s="89"/>
      <c r="G62" s="505"/>
      <c r="H62" s="77"/>
      <c r="I62" s="74"/>
      <c r="J62" s="89"/>
      <c r="K62" s="89"/>
      <c r="L62" s="89"/>
      <c r="M62" s="74"/>
      <c r="N62" s="74"/>
      <c r="O62" s="105"/>
      <c r="P62" s="74"/>
      <c r="Q62" s="74"/>
      <c r="R62" s="74"/>
      <c r="S62" s="74"/>
      <c r="T62" s="74"/>
      <c r="U62" s="74"/>
      <c r="V62" s="74"/>
      <c r="W62" s="74"/>
      <c r="X62" s="74"/>
      <c r="Y62" s="74"/>
      <c r="Z62" s="74"/>
    </row>
    <row r="63" ht="14.25" customHeight="1">
      <c r="A63" s="74"/>
      <c r="B63" s="199"/>
      <c r="C63" s="199"/>
      <c r="D63" s="199"/>
      <c r="E63" s="74"/>
      <c r="F63" s="199"/>
      <c r="G63" s="199"/>
      <c r="H63" s="199"/>
      <c r="I63" s="74"/>
      <c r="J63" s="89"/>
      <c r="K63" s="136"/>
      <c r="L63" s="74"/>
      <c r="M63" s="74"/>
      <c r="N63" s="74"/>
      <c r="O63" s="105"/>
      <c r="P63" s="74"/>
      <c r="Q63" s="74"/>
      <c r="R63" s="74"/>
      <c r="S63" s="74"/>
      <c r="T63" s="74"/>
      <c r="U63" s="74"/>
      <c r="V63" s="74"/>
      <c r="W63" s="74"/>
      <c r="X63" s="74"/>
      <c r="Y63" s="74"/>
      <c r="Z63" s="74"/>
    </row>
    <row r="64" ht="14.25" customHeight="1">
      <c r="A64" s="74"/>
      <c r="B64" s="371"/>
      <c r="C64" s="132"/>
      <c r="D64" s="132"/>
      <c r="E64" s="74"/>
      <c r="F64" s="371"/>
      <c r="G64" s="132"/>
      <c r="H64" s="643"/>
      <c r="I64" s="74"/>
      <c r="J64" s="89"/>
      <c r="K64" s="644"/>
      <c r="L64" s="74"/>
      <c r="M64" s="74"/>
      <c r="N64" s="74"/>
      <c r="O64" s="105"/>
      <c r="P64" s="74"/>
      <c r="Q64" s="74"/>
      <c r="R64" s="74"/>
      <c r="S64" s="74"/>
      <c r="T64" s="74"/>
      <c r="U64" s="74"/>
      <c r="V64" s="74"/>
      <c r="W64" s="74"/>
      <c r="X64" s="74"/>
      <c r="Y64" s="74"/>
      <c r="Z64" s="74"/>
    </row>
    <row r="65" ht="14.25" customHeight="1">
      <c r="A65" s="74"/>
      <c r="B65" s="371"/>
      <c r="C65" s="132"/>
      <c r="D65" s="132"/>
      <c r="E65" s="74"/>
      <c r="F65" s="371"/>
      <c r="G65" s="132"/>
      <c r="H65" s="132"/>
      <c r="I65" s="74"/>
      <c r="J65" s="89"/>
      <c r="K65" s="644"/>
      <c r="L65" s="74"/>
      <c r="M65" s="74"/>
      <c r="N65" s="74"/>
      <c r="O65" s="105"/>
      <c r="P65" s="74"/>
      <c r="Q65" s="74"/>
      <c r="R65" s="74"/>
      <c r="S65" s="74"/>
      <c r="T65" s="74"/>
      <c r="U65" s="74"/>
      <c r="V65" s="74"/>
      <c r="W65" s="74"/>
      <c r="X65" s="74"/>
      <c r="Y65" s="74"/>
      <c r="Z65" s="74"/>
    </row>
    <row r="66" ht="14.25" customHeight="1">
      <c r="A66" s="74"/>
      <c r="B66" s="371"/>
      <c r="C66" s="132"/>
      <c r="D66" s="132"/>
      <c r="E66" s="74"/>
      <c r="F66" s="371"/>
      <c r="G66" s="132"/>
      <c r="H66" s="132"/>
      <c r="I66" s="74"/>
      <c r="J66" s="89"/>
      <c r="K66" s="644"/>
      <c r="L66" s="74"/>
      <c r="M66" s="74"/>
      <c r="N66" s="74"/>
      <c r="O66" s="105"/>
      <c r="P66" s="74"/>
      <c r="Q66" s="74"/>
      <c r="R66" s="74"/>
      <c r="S66" s="74"/>
      <c r="T66" s="74"/>
      <c r="U66" s="74"/>
      <c r="V66" s="74"/>
      <c r="W66" s="74"/>
      <c r="X66" s="74"/>
      <c r="Y66" s="74"/>
      <c r="Z66" s="74"/>
    </row>
    <row r="67" ht="14.25" customHeight="1">
      <c r="A67" s="74"/>
      <c r="B67" s="371"/>
      <c r="C67" s="132"/>
      <c r="D67" s="132"/>
      <c r="E67" s="74"/>
      <c r="F67" s="109"/>
      <c r="G67" s="292"/>
      <c r="H67" s="105"/>
      <c r="I67" s="74"/>
      <c r="J67" s="74"/>
      <c r="K67" s="74"/>
      <c r="L67" s="126"/>
      <c r="M67" s="74"/>
      <c r="N67" s="74"/>
      <c r="O67" s="105"/>
      <c r="P67" s="74"/>
      <c r="Q67" s="74"/>
      <c r="R67" s="74"/>
      <c r="S67" s="74"/>
      <c r="T67" s="74"/>
      <c r="U67" s="74"/>
      <c r="V67" s="74"/>
      <c r="W67" s="74"/>
      <c r="X67" s="74"/>
      <c r="Y67" s="74"/>
      <c r="Z67" s="74"/>
    </row>
    <row r="68" ht="14.25" customHeight="1">
      <c r="A68" s="105"/>
      <c r="B68" s="105"/>
      <c r="C68" s="108"/>
      <c r="D68" s="109"/>
      <c r="E68" s="292"/>
      <c r="F68" s="105"/>
      <c r="G68" s="105"/>
      <c r="H68" s="108"/>
      <c r="I68" s="293"/>
      <c r="J68" s="89"/>
      <c r="K68" s="644"/>
      <c r="L68" s="74"/>
      <c r="M68" s="74"/>
      <c r="N68" s="74"/>
      <c r="O68" s="105"/>
      <c r="P68" s="74"/>
      <c r="Q68" s="74"/>
      <c r="R68" s="74"/>
      <c r="S68" s="74"/>
      <c r="T68" s="74"/>
      <c r="U68" s="74"/>
      <c r="V68" s="74"/>
      <c r="W68" s="74"/>
      <c r="X68" s="74"/>
      <c r="Y68" s="74"/>
      <c r="Z68" s="74"/>
    </row>
    <row r="69" ht="14.25" customHeight="1">
      <c r="A69" s="105"/>
      <c r="B69" s="105"/>
      <c r="C69" s="108"/>
      <c r="D69" s="109"/>
      <c r="E69" s="292"/>
      <c r="F69" s="105"/>
      <c r="G69" s="74"/>
      <c r="H69" s="105"/>
      <c r="I69" s="74"/>
      <c r="J69" s="136"/>
      <c r="K69" s="132"/>
      <c r="L69" s="74"/>
      <c r="M69" s="104"/>
      <c r="N69" s="109"/>
      <c r="O69" s="105"/>
      <c r="P69" s="74"/>
      <c r="Q69" s="74"/>
      <c r="R69" s="74"/>
      <c r="S69" s="74"/>
      <c r="T69" s="74"/>
      <c r="U69" s="74"/>
      <c r="V69" s="74"/>
      <c r="W69" s="74"/>
      <c r="X69" s="74"/>
      <c r="Y69" s="74"/>
      <c r="Z69" s="74"/>
    </row>
    <row r="70" ht="14.25" customHeight="1">
      <c r="A70" s="74"/>
      <c r="B70" s="74"/>
      <c r="C70" s="74"/>
      <c r="D70" s="74"/>
      <c r="E70" s="74"/>
      <c r="F70" s="74"/>
      <c r="G70" s="74"/>
      <c r="H70" s="74"/>
      <c r="I70" s="74"/>
      <c r="J70" s="74"/>
      <c r="K70" s="74"/>
      <c r="L70" s="200"/>
      <c r="M70" s="74"/>
      <c r="N70" s="104"/>
      <c r="O70" s="105"/>
      <c r="P70" s="74"/>
      <c r="Q70" s="74"/>
      <c r="R70" s="74"/>
      <c r="S70" s="74"/>
      <c r="T70" s="74"/>
      <c r="U70" s="74"/>
      <c r="V70" s="74"/>
      <c r="W70" s="74"/>
      <c r="X70" s="74"/>
      <c r="Y70" s="74"/>
      <c r="Z70" s="74"/>
    </row>
    <row r="71" ht="14.25" customHeight="1">
      <c r="A71" s="74"/>
      <c r="B71" s="89"/>
      <c r="C71" s="89"/>
      <c r="D71" s="89"/>
      <c r="E71" s="89"/>
      <c r="F71" s="89"/>
      <c r="G71" s="89"/>
      <c r="H71" s="91"/>
      <c r="I71" s="91"/>
      <c r="J71" s="91"/>
      <c r="K71" s="91"/>
      <c r="L71" s="91"/>
      <c r="M71" s="74"/>
      <c r="N71" s="74"/>
      <c r="O71" s="74"/>
      <c r="P71" s="74"/>
      <c r="Q71" s="74"/>
      <c r="R71" s="74"/>
      <c r="S71" s="74"/>
      <c r="T71" s="74"/>
      <c r="U71" s="74"/>
      <c r="V71" s="74"/>
      <c r="W71" s="74"/>
      <c r="X71" s="74"/>
      <c r="Y71" s="74"/>
      <c r="Z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4.25" customHeight="1">
      <c r="A73" s="74"/>
      <c r="B73" s="89"/>
      <c r="C73" s="117"/>
      <c r="D73" s="117"/>
      <c r="E73" s="117"/>
      <c r="F73" s="117"/>
      <c r="G73" s="117"/>
      <c r="H73" s="117"/>
      <c r="I73" s="117"/>
      <c r="J73" s="74"/>
      <c r="K73" s="74"/>
      <c r="L73" s="74"/>
      <c r="M73" s="74"/>
      <c r="N73" s="74"/>
      <c r="O73" s="74"/>
      <c r="P73" s="74"/>
      <c r="Q73" s="74"/>
      <c r="R73" s="74"/>
      <c r="S73" s="74"/>
      <c r="T73" s="74"/>
      <c r="U73" s="74"/>
      <c r="V73" s="74"/>
      <c r="W73" s="74"/>
      <c r="X73" s="74"/>
      <c r="Y73" s="74"/>
      <c r="Z73" s="74"/>
    </row>
    <row r="74" ht="14.25" customHeight="1">
      <c r="A74" s="74"/>
      <c r="B74" s="117"/>
      <c r="C74" s="117"/>
      <c r="D74" s="117"/>
      <c r="E74" s="117"/>
      <c r="F74" s="117"/>
      <c r="G74" s="117"/>
      <c r="H74" s="117"/>
      <c r="I74" s="117"/>
      <c r="J74" s="74"/>
      <c r="K74" s="89"/>
      <c r="L74" s="74"/>
      <c r="M74" s="74"/>
      <c r="N74" s="74"/>
      <c r="O74" s="74"/>
      <c r="P74" s="74"/>
      <c r="Q74" s="74"/>
      <c r="R74" s="74"/>
      <c r="S74" s="74"/>
      <c r="T74" s="74"/>
      <c r="U74" s="74"/>
      <c r="V74" s="74"/>
      <c r="W74" s="74"/>
      <c r="X74" s="74"/>
      <c r="Y74" s="74"/>
      <c r="Z74" s="74"/>
    </row>
    <row r="75" ht="14.25" customHeight="1">
      <c r="A75" s="74"/>
      <c r="B75" s="89"/>
      <c r="C75" s="89"/>
      <c r="D75" s="89"/>
      <c r="E75" s="89"/>
      <c r="F75" s="89"/>
      <c r="G75" s="89"/>
      <c r="H75" s="89"/>
      <c r="I75" s="374"/>
      <c r="J75" s="129"/>
      <c r="K75" s="89"/>
      <c r="L75" s="136"/>
      <c r="M75" s="74"/>
      <c r="N75" s="74"/>
      <c r="O75" s="74"/>
      <c r="P75" s="74"/>
      <c r="Q75" s="74"/>
      <c r="R75" s="74"/>
      <c r="S75" s="74"/>
      <c r="T75" s="74"/>
      <c r="U75" s="74"/>
      <c r="V75" s="74"/>
      <c r="W75" s="74"/>
      <c r="X75" s="74"/>
      <c r="Y75" s="74"/>
      <c r="Z75" s="74"/>
    </row>
    <row r="76" ht="15.0" customHeight="1">
      <c r="A76" s="74"/>
      <c r="B76" s="117"/>
      <c r="C76" s="225"/>
      <c r="D76" s="225"/>
      <c r="E76" s="225"/>
      <c r="F76" s="225"/>
      <c r="G76" s="225"/>
      <c r="H76" s="225"/>
      <c r="I76" s="129"/>
      <c r="J76" s="129"/>
      <c r="K76" s="89"/>
      <c r="L76" s="91"/>
      <c r="M76" s="74"/>
      <c r="N76" s="74"/>
      <c r="O76" s="74"/>
      <c r="P76" s="74"/>
      <c r="Q76" s="74"/>
      <c r="R76" s="74"/>
      <c r="S76" s="74"/>
      <c r="T76" s="74"/>
      <c r="U76" s="74"/>
      <c r="V76" s="74"/>
      <c r="W76" s="74"/>
      <c r="X76" s="74"/>
      <c r="Y76" s="74"/>
      <c r="Z76" s="74"/>
    </row>
    <row r="77" ht="15.0" customHeight="1">
      <c r="A77" s="74"/>
      <c r="B77" s="117"/>
      <c r="C77" s="225"/>
      <c r="D77" s="225"/>
      <c r="E77" s="225"/>
      <c r="F77" s="225"/>
      <c r="G77" s="225"/>
      <c r="H77" s="225"/>
      <c r="I77" s="129"/>
      <c r="J77" s="129"/>
      <c r="K77" s="89"/>
      <c r="L77" s="91"/>
      <c r="M77" s="74"/>
      <c r="N77" s="74"/>
      <c r="O77" s="74"/>
      <c r="P77" s="74"/>
      <c r="Q77" s="74"/>
      <c r="R77" s="74"/>
      <c r="S77" s="74"/>
      <c r="T77" s="74"/>
      <c r="U77" s="74"/>
      <c r="V77" s="74"/>
      <c r="W77" s="74"/>
      <c r="X77" s="74"/>
      <c r="Y77" s="74"/>
      <c r="Z77" s="74"/>
    </row>
    <row r="78" ht="15.0" customHeight="1">
      <c r="A78" s="74"/>
      <c r="B78" s="117"/>
      <c r="C78" s="225"/>
      <c r="D78" s="225"/>
      <c r="E78" s="225"/>
      <c r="F78" s="225"/>
      <c r="G78" s="225"/>
      <c r="H78" s="225"/>
      <c r="I78" s="129"/>
      <c r="J78" s="129"/>
      <c r="K78" s="89"/>
      <c r="L78" s="91"/>
      <c r="M78" s="74"/>
      <c r="N78" s="74"/>
      <c r="O78" s="74"/>
      <c r="P78" s="74"/>
      <c r="Q78" s="74"/>
      <c r="R78" s="74"/>
      <c r="S78" s="74"/>
      <c r="T78" s="74"/>
      <c r="U78" s="74"/>
      <c r="V78" s="74"/>
      <c r="W78" s="74"/>
      <c r="X78" s="74"/>
      <c r="Y78" s="74"/>
      <c r="Z78" s="74"/>
    </row>
    <row r="79" ht="14.25" customHeight="1">
      <c r="A79" s="74"/>
      <c r="B79" s="117"/>
      <c r="C79" s="225"/>
      <c r="D79" s="225"/>
      <c r="E79" s="225"/>
      <c r="F79" s="225"/>
      <c r="G79" s="225"/>
      <c r="H79" s="225"/>
      <c r="I79" s="129"/>
      <c r="J79" s="129"/>
      <c r="K79" s="74"/>
      <c r="L79" s="74"/>
      <c r="M79" s="74"/>
      <c r="N79" s="74"/>
      <c r="O79" s="74"/>
      <c r="P79" s="74"/>
      <c r="Q79" s="74"/>
      <c r="R79" s="74"/>
      <c r="S79" s="74"/>
      <c r="T79" s="74"/>
      <c r="U79" s="74"/>
      <c r="V79" s="74"/>
      <c r="W79" s="74"/>
      <c r="X79" s="74"/>
      <c r="Y79" s="74"/>
      <c r="Z79" s="74"/>
    </row>
    <row r="80" ht="14.25" customHeight="1">
      <c r="A80" s="74"/>
      <c r="B80" s="117"/>
      <c r="C80" s="225"/>
      <c r="D80" s="375"/>
      <c r="E80" s="225"/>
      <c r="F80" s="225"/>
      <c r="G80" s="225"/>
      <c r="H80" s="375"/>
      <c r="I80" s="129"/>
      <c r="J80" s="129"/>
      <c r="K80" s="74"/>
      <c r="L80" s="74"/>
      <c r="M80" s="74"/>
      <c r="N80" s="74"/>
      <c r="O80" s="74"/>
      <c r="P80" s="74"/>
      <c r="Q80" s="74"/>
      <c r="R80" s="74"/>
      <c r="S80" s="74"/>
      <c r="T80" s="74"/>
      <c r="U80" s="74"/>
      <c r="V80" s="74"/>
      <c r="W80" s="74"/>
      <c r="X80" s="74"/>
      <c r="Y80" s="74"/>
      <c r="Z80" s="74"/>
    </row>
    <row r="81" ht="14.25" customHeight="1">
      <c r="A81" s="74"/>
      <c r="B81" s="117"/>
      <c r="C81" s="117"/>
      <c r="D81" s="117"/>
      <c r="E81" s="117"/>
      <c r="F81" s="117"/>
      <c r="G81" s="117"/>
      <c r="H81" s="117"/>
      <c r="I81" s="117"/>
      <c r="J81" s="74"/>
      <c r="K81" s="74"/>
      <c r="L81" s="74"/>
      <c r="M81" s="74"/>
      <c r="N81" s="74"/>
      <c r="O81" s="74"/>
      <c r="P81" s="74"/>
      <c r="Q81" s="74"/>
      <c r="R81" s="74"/>
      <c r="S81" s="74"/>
      <c r="T81" s="74"/>
      <c r="U81" s="74"/>
      <c r="V81" s="74"/>
      <c r="W81" s="74"/>
      <c r="X81" s="74"/>
      <c r="Y81" s="74"/>
      <c r="Z81" s="74"/>
    </row>
    <row r="82" ht="14.25" customHeight="1">
      <c r="A82" s="74"/>
      <c r="B82" s="117"/>
      <c r="C82" s="117"/>
      <c r="D82" s="117"/>
      <c r="E82" s="117"/>
      <c r="F82" s="117"/>
      <c r="G82" s="117"/>
      <c r="H82" s="117"/>
      <c r="I82" s="117"/>
      <c r="J82" s="74"/>
      <c r="K82" s="74"/>
      <c r="L82" s="74"/>
      <c r="M82" s="74"/>
      <c r="N82" s="74"/>
      <c r="O82" s="74"/>
      <c r="P82" s="74"/>
      <c r="Q82" s="74"/>
      <c r="R82" s="74"/>
      <c r="S82" s="74"/>
      <c r="T82" s="74"/>
      <c r="U82" s="74"/>
      <c r="V82" s="74"/>
      <c r="W82" s="74"/>
      <c r="X82" s="74"/>
      <c r="Y82" s="74"/>
      <c r="Z82" s="74"/>
    </row>
    <row r="83" ht="14.25" customHeight="1">
      <c r="A83" s="74"/>
      <c r="B83" s="117"/>
      <c r="C83" s="117"/>
      <c r="D83" s="117"/>
      <c r="E83" s="117"/>
      <c r="F83" s="117"/>
      <c r="G83" s="117"/>
      <c r="H83" s="117"/>
      <c r="I83" s="117"/>
      <c r="J83" s="74"/>
      <c r="K83" s="74"/>
      <c r="L83" s="74"/>
      <c r="M83" s="74"/>
      <c r="N83" s="74"/>
      <c r="O83" s="74"/>
      <c r="P83" s="74"/>
      <c r="Q83" s="74"/>
      <c r="R83" s="74"/>
      <c r="S83" s="74"/>
      <c r="T83" s="74"/>
      <c r="U83" s="74"/>
      <c r="V83" s="74"/>
      <c r="W83" s="74"/>
      <c r="X83" s="74"/>
      <c r="Y83" s="74"/>
      <c r="Z83" s="74"/>
    </row>
    <row r="84" ht="14.25" customHeight="1">
      <c r="A84" s="74"/>
      <c r="B84" s="117"/>
      <c r="C84" s="117"/>
      <c r="D84" s="117"/>
      <c r="E84" s="117"/>
      <c r="F84" s="117"/>
      <c r="G84" s="117"/>
      <c r="H84" s="117"/>
      <c r="I84" s="117"/>
      <c r="J84" s="74"/>
      <c r="K84" s="74"/>
      <c r="L84" s="74"/>
      <c r="M84" s="74"/>
      <c r="N84" s="74"/>
      <c r="O84" s="74"/>
      <c r="P84" s="74"/>
      <c r="Q84" s="74"/>
      <c r="R84" s="74"/>
      <c r="S84" s="74"/>
      <c r="T84" s="74"/>
      <c r="U84" s="74"/>
      <c r="V84" s="74"/>
      <c r="W84" s="74"/>
      <c r="X84" s="74"/>
      <c r="Y84" s="74"/>
      <c r="Z84" s="74"/>
    </row>
    <row r="85" ht="14.2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ht="14.2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ht="14.2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ht="14.2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ht="14.2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4.2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ht="14.2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4.2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4.25" customHeight="1">
      <c r="A93" s="74"/>
      <c r="B93" s="111"/>
      <c r="C93" s="645"/>
      <c r="D93" s="76"/>
      <c r="E93" s="77"/>
      <c r="F93" s="74"/>
      <c r="G93" s="74"/>
      <c r="H93" s="74"/>
      <c r="I93" s="74"/>
      <c r="J93" s="74"/>
      <c r="K93" s="74"/>
      <c r="L93" s="74"/>
      <c r="M93" s="74"/>
      <c r="N93" s="74"/>
      <c r="O93" s="74"/>
      <c r="P93" s="74"/>
      <c r="Q93" s="74"/>
      <c r="R93" s="74"/>
      <c r="S93" s="74"/>
      <c r="T93" s="74"/>
      <c r="U93" s="74"/>
      <c r="V93" s="74"/>
      <c r="W93" s="74"/>
      <c r="X93" s="74"/>
      <c r="Y93" s="74"/>
      <c r="Z93" s="74"/>
    </row>
    <row r="94" ht="57.0" customHeight="1">
      <c r="A94" s="74"/>
      <c r="B94" s="387"/>
      <c r="C94" s="388"/>
      <c r="D94" s="76"/>
      <c r="E94" s="77"/>
      <c r="F94" s="74"/>
      <c r="G94" s="74"/>
      <c r="H94" s="74"/>
      <c r="I94" s="74"/>
      <c r="J94" s="74"/>
      <c r="K94" s="74"/>
      <c r="L94" s="74"/>
      <c r="M94" s="74"/>
      <c r="N94" s="74"/>
      <c r="O94" s="74"/>
      <c r="P94" s="74"/>
      <c r="Q94" s="74"/>
      <c r="R94" s="74"/>
      <c r="S94" s="74"/>
      <c r="T94" s="74"/>
      <c r="U94" s="74"/>
      <c r="V94" s="74"/>
      <c r="W94" s="74"/>
      <c r="X94" s="74"/>
      <c r="Y94" s="74"/>
      <c r="Z94" s="74"/>
    </row>
    <row r="95" ht="79.5" customHeight="1">
      <c r="A95" s="74"/>
      <c r="B95" s="387"/>
      <c r="C95" s="388"/>
      <c r="D95" s="76"/>
      <c r="E95" s="77"/>
      <c r="F95" s="74"/>
      <c r="G95" s="74"/>
      <c r="H95" s="74"/>
      <c r="I95" s="74"/>
      <c r="J95" s="74"/>
      <c r="K95" s="74"/>
      <c r="L95" s="74"/>
      <c r="M95" s="74"/>
      <c r="N95" s="74"/>
      <c r="O95" s="74"/>
      <c r="P95" s="74"/>
      <c r="Q95" s="74"/>
      <c r="R95" s="74"/>
      <c r="S95" s="74"/>
      <c r="T95" s="74"/>
      <c r="U95" s="74"/>
      <c r="V95" s="74"/>
      <c r="W95" s="74"/>
      <c r="X95" s="74"/>
      <c r="Y95" s="74"/>
      <c r="Z95" s="74"/>
    </row>
    <row r="96" ht="87.0" customHeight="1">
      <c r="A96" s="74"/>
      <c r="B96" s="387"/>
      <c r="C96" s="388"/>
      <c r="D96" s="76"/>
      <c r="E96" s="77"/>
      <c r="F96" s="74"/>
      <c r="G96" s="74"/>
      <c r="H96" s="74"/>
      <c r="I96" s="74"/>
      <c r="J96" s="74"/>
      <c r="K96" s="74"/>
      <c r="L96" s="74"/>
      <c r="M96" s="74"/>
      <c r="N96" s="74"/>
      <c r="O96" s="74"/>
      <c r="P96" s="74"/>
      <c r="Q96" s="74"/>
      <c r="R96" s="74"/>
      <c r="S96" s="74"/>
      <c r="T96" s="74"/>
      <c r="U96" s="74"/>
      <c r="V96" s="74"/>
      <c r="W96" s="74"/>
      <c r="X96" s="74"/>
      <c r="Y96" s="74"/>
      <c r="Z96" s="74"/>
    </row>
    <row r="97" ht="118.5" customHeight="1">
      <c r="A97" s="74"/>
      <c r="B97" s="387"/>
      <c r="C97" s="388"/>
      <c r="D97" s="76"/>
      <c r="E97" s="77"/>
      <c r="F97" s="74"/>
      <c r="G97" s="74"/>
      <c r="H97" s="74"/>
      <c r="I97" s="74"/>
      <c r="J97" s="74"/>
      <c r="K97" s="74"/>
      <c r="L97" s="74"/>
      <c r="M97" s="74"/>
      <c r="N97" s="74"/>
      <c r="O97" s="74"/>
      <c r="P97" s="74"/>
      <c r="Q97" s="74"/>
      <c r="R97" s="74"/>
      <c r="S97" s="74"/>
      <c r="T97" s="74"/>
      <c r="U97" s="74"/>
      <c r="V97" s="74"/>
      <c r="W97" s="74"/>
      <c r="X97" s="74"/>
      <c r="Y97" s="74"/>
      <c r="Z97" s="74"/>
    </row>
    <row r="98" ht="57.0" customHeight="1">
      <c r="A98" s="74"/>
      <c r="B98" s="387"/>
      <c r="C98" s="388"/>
      <c r="D98" s="76"/>
      <c r="E98" s="77"/>
      <c r="F98" s="74"/>
      <c r="G98" s="74"/>
      <c r="H98" s="74"/>
      <c r="I98" s="74"/>
      <c r="J98" s="74"/>
      <c r="K98" s="74"/>
      <c r="L98" s="74"/>
      <c r="M98" s="74"/>
      <c r="N98" s="74"/>
      <c r="O98" s="74"/>
      <c r="P98" s="74"/>
      <c r="Q98" s="74"/>
      <c r="R98" s="74"/>
      <c r="S98" s="74"/>
      <c r="T98" s="74"/>
      <c r="U98" s="74"/>
      <c r="V98" s="74"/>
      <c r="W98" s="74"/>
      <c r="X98" s="74"/>
      <c r="Y98" s="74"/>
      <c r="Z98" s="74"/>
    </row>
    <row r="99" ht="177.0" customHeight="1">
      <c r="A99" s="74"/>
      <c r="B99" s="387"/>
      <c r="C99" s="388"/>
      <c r="D99" s="76"/>
      <c r="E99" s="77"/>
      <c r="F99" s="74"/>
      <c r="G99" s="74"/>
      <c r="H99" s="74"/>
      <c r="I99" s="74"/>
      <c r="J99" s="74"/>
      <c r="K99" s="74"/>
      <c r="L99" s="74"/>
      <c r="M99" s="74"/>
      <c r="N99" s="74"/>
      <c r="O99" s="74"/>
      <c r="P99" s="74"/>
      <c r="Q99" s="74"/>
      <c r="R99" s="74"/>
      <c r="S99" s="74"/>
      <c r="T99" s="74"/>
      <c r="U99" s="74"/>
      <c r="V99" s="74"/>
      <c r="W99" s="74"/>
      <c r="X99" s="74"/>
      <c r="Y99" s="74"/>
      <c r="Z99" s="74"/>
    </row>
    <row r="100" ht="14.2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4.2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4.2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4.2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4.2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4.2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4.2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4.2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4.2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4.2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4.2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4.2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4.2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4.2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4.2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4.2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4.2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16">
    <mergeCell ref="B3:O3"/>
    <mergeCell ref="B4:O4"/>
    <mergeCell ref="B6:C6"/>
    <mergeCell ref="E6:O7"/>
    <mergeCell ref="B7:C7"/>
    <mergeCell ref="B10:O14"/>
    <mergeCell ref="B19:O23"/>
    <mergeCell ref="C98:E98"/>
    <mergeCell ref="C99:E99"/>
    <mergeCell ref="C62:D62"/>
    <mergeCell ref="G62:H62"/>
    <mergeCell ref="C93:E93"/>
    <mergeCell ref="C94:E94"/>
    <mergeCell ref="C95:E95"/>
    <mergeCell ref="C96:E96"/>
    <mergeCell ref="C97:E97"/>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8.14"/>
    <col customWidth="1" min="3" max="4" width="8.71"/>
    <col customWidth="1" min="5" max="5" width="3.0"/>
    <col customWidth="1" min="6" max="6" width="11.0"/>
    <col customWidth="1" min="7" max="7" width="12.43"/>
    <col customWidth="1" min="8" max="8" width="11.86"/>
    <col customWidth="1" min="9" max="26" width="8.71"/>
  </cols>
  <sheetData>
    <row r="1" ht="15.0" customHeight="1">
      <c r="A1" s="646" t="s">
        <v>1593</v>
      </c>
      <c r="B1" s="76"/>
      <c r="C1" s="76"/>
      <c r="D1" s="76"/>
      <c r="E1" s="76"/>
      <c r="F1" s="76"/>
      <c r="G1" s="76"/>
      <c r="H1" s="76"/>
      <c r="I1" s="77"/>
    </row>
    <row r="2" ht="14.25" customHeight="1">
      <c r="A2" s="647" t="s">
        <v>1950</v>
      </c>
      <c r="B2" s="377"/>
      <c r="C2" s="324"/>
      <c r="D2" s="648"/>
      <c r="E2" s="76"/>
      <c r="F2" s="76"/>
      <c r="G2" s="76"/>
      <c r="H2" s="76"/>
      <c r="I2" s="77"/>
    </row>
    <row r="3" ht="61.5" customHeight="1">
      <c r="A3" s="121" t="s">
        <v>102</v>
      </c>
      <c r="B3" s="121" t="s">
        <v>103</v>
      </c>
      <c r="C3" s="121" t="s">
        <v>1594</v>
      </c>
      <c r="D3" s="649" t="s">
        <v>1951</v>
      </c>
      <c r="E3" s="121" t="s">
        <v>1952</v>
      </c>
      <c r="F3" s="650" t="s">
        <v>1953</v>
      </c>
      <c r="G3" s="650" t="s">
        <v>1954</v>
      </c>
      <c r="H3" s="650" t="s">
        <v>1955</v>
      </c>
      <c r="I3" s="121" t="s">
        <v>1956</v>
      </c>
    </row>
    <row r="4" ht="14.25" customHeight="1">
      <c r="A4" s="651" t="s">
        <v>1233</v>
      </c>
      <c r="B4" s="652" t="s">
        <v>1597</v>
      </c>
      <c r="C4" s="284">
        <f>231.444932/347</f>
        <v>0.6669882767</v>
      </c>
      <c r="D4" s="653" t="s">
        <v>1957</v>
      </c>
      <c r="E4" s="653">
        <v>8.0</v>
      </c>
      <c r="F4" s="653">
        <f t="shared" ref="F4:F6" si="1">E4*12</f>
        <v>96</v>
      </c>
      <c r="G4" s="653">
        <v>106.17</v>
      </c>
      <c r="H4" s="654">
        <f t="shared" ref="H4:H6" si="2">F4/G4</f>
        <v>0.9042102289</v>
      </c>
      <c r="I4" s="655">
        <f t="shared" ref="I4:I5" si="3">H4*C4</f>
        <v>0.6030976223</v>
      </c>
    </row>
    <row r="5" ht="14.25" customHeight="1">
      <c r="A5" s="209" t="s">
        <v>423</v>
      </c>
      <c r="B5" s="206" t="s">
        <v>1598</v>
      </c>
      <c r="C5" s="284">
        <f>13.6440636959997/347</f>
        <v>0.03932006829</v>
      </c>
      <c r="D5" s="653" t="s">
        <v>1958</v>
      </c>
      <c r="E5" s="123">
        <v>2.0</v>
      </c>
      <c r="F5" s="124">
        <f t="shared" si="1"/>
        <v>24</v>
      </c>
      <c r="G5" s="124">
        <v>60.052</v>
      </c>
      <c r="H5" s="655">
        <f t="shared" si="2"/>
        <v>0.3996536335</v>
      </c>
      <c r="I5" s="655">
        <f t="shared" si="3"/>
        <v>0.01571440816</v>
      </c>
    </row>
    <row r="6" ht="14.25" customHeight="1">
      <c r="A6" s="209" t="s">
        <v>1599</v>
      </c>
      <c r="B6" s="206" t="s">
        <v>1600</v>
      </c>
      <c r="C6" s="284">
        <f>900.595674510858/347</f>
        <v>2.595376584</v>
      </c>
      <c r="D6" s="653" t="s">
        <v>644</v>
      </c>
      <c r="E6" s="656">
        <v>1.0</v>
      </c>
      <c r="F6" s="656">
        <f t="shared" si="1"/>
        <v>12</v>
      </c>
      <c r="G6" s="656">
        <v>44.01</v>
      </c>
      <c r="H6" s="655">
        <f t="shared" si="2"/>
        <v>0.2726653033</v>
      </c>
      <c r="I6" s="657">
        <f>H6*C6*0.0005</f>
        <v>0.0003538345717</v>
      </c>
    </row>
    <row r="7" ht="14.25" customHeight="1">
      <c r="A7" s="209" t="s">
        <v>1601</v>
      </c>
      <c r="B7" s="206" t="s">
        <v>247</v>
      </c>
      <c r="C7" s="284">
        <f>219.0436808934/347</f>
        <v>0.6312498008</v>
      </c>
      <c r="D7" s="653" t="s">
        <v>137</v>
      </c>
      <c r="E7" s="653" t="s">
        <v>137</v>
      </c>
      <c r="F7" s="653" t="s">
        <v>137</v>
      </c>
      <c r="G7" s="653" t="s">
        <v>137</v>
      </c>
      <c r="H7" s="653" t="s">
        <v>137</v>
      </c>
      <c r="I7" s="653" t="s">
        <v>137</v>
      </c>
    </row>
    <row r="8" ht="14.25" customHeight="1">
      <c r="A8" s="209" t="s">
        <v>1006</v>
      </c>
      <c r="B8" s="206" t="s">
        <v>1375</v>
      </c>
      <c r="C8" s="658">
        <f>0.178450329647011/347</f>
        <v>0.0005142660797</v>
      </c>
      <c r="D8" s="653" t="s">
        <v>137</v>
      </c>
      <c r="E8" s="653" t="s">
        <v>137</v>
      </c>
      <c r="F8" s="653" t="s">
        <v>137</v>
      </c>
      <c r="G8" s="653" t="s">
        <v>137</v>
      </c>
      <c r="H8" s="653" t="s">
        <v>137</v>
      </c>
      <c r="I8" s="653" t="s">
        <v>137</v>
      </c>
    </row>
    <row r="9" ht="14.25" customHeight="1">
      <c r="A9" s="209" t="s">
        <v>1606</v>
      </c>
      <c r="B9" s="659" t="s">
        <v>1607</v>
      </c>
      <c r="C9" s="284">
        <f>81.7065600000001/347</f>
        <v>0.2354655908</v>
      </c>
      <c r="D9" s="660" t="s">
        <v>1959</v>
      </c>
      <c r="E9" s="653">
        <v>5.0</v>
      </c>
      <c r="F9" s="653">
        <f t="shared" ref="F9:F11" si="4">E9*12</f>
        <v>60</v>
      </c>
      <c r="G9" s="653">
        <v>102.13</v>
      </c>
      <c r="H9" s="655">
        <f t="shared" ref="H9:H11" si="5">F9/G9</f>
        <v>0.5874865368</v>
      </c>
      <c r="I9" s="655">
        <f>H9*C9</f>
        <v>0.1383328645</v>
      </c>
    </row>
    <row r="10" ht="14.25" customHeight="1">
      <c r="A10" s="209" t="s">
        <v>1595</v>
      </c>
      <c r="B10" s="661" t="s">
        <v>1596</v>
      </c>
      <c r="C10" s="284">
        <f>347.350538028326/347</f>
        <v>1.001010196</v>
      </c>
      <c r="D10" s="653" t="s">
        <v>1960</v>
      </c>
      <c r="E10" s="653">
        <v>8.0</v>
      </c>
      <c r="F10" s="653">
        <f t="shared" si="4"/>
        <v>96</v>
      </c>
      <c r="G10" s="653">
        <v>166.13</v>
      </c>
      <c r="H10" s="655">
        <f t="shared" si="5"/>
        <v>0.5778607115</v>
      </c>
      <c r="I10" s="655">
        <f>H10*C10*0.99</f>
        <v>0.5726600195</v>
      </c>
    </row>
    <row r="11" ht="14.25" customHeight="1">
      <c r="A11" s="209" t="s">
        <v>1602</v>
      </c>
      <c r="B11" s="661" t="s">
        <v>1603</v>
      </c>
      <c r="C11" s="284">
        <f>30.0133586017961/347</f>
        <v>0.08649382882</v>
      </c>
      <c r="D11" s="653" t="s">
        <v>1958</v>
      </c>
      <c r="E11" s="123">
        <v>2.0</v>
      </c>
      <c r="F11" s="124">
        <f t="shared" si="4"/>
        <v>24</v>
      </c>
      <c r="G11" s="124">
        <v>60.052</v>
      </c>
      <c r="H11" s="653">
        <f t="shared" si="5"/>
        <v>0.3996536335</v>
      </c>
      <c r="I11" s="655">
        <f>H11*C11*0.1618</f>
        <v>0.005593033306</v>
      </c>
    </row>
    <row r="12" ht="14.25" customHeight="1">
      <c r="A12" s="209" t="s">
        <v>1604</v>
      </c>
      <c r="B12" s="661" t="s">
        <v>1605</v>
      </c>
      <c r="C12" s="284">
        <f>843.451574342191/347</f>
        <v>2.43069618</v>
      </c>
      <c r="D12" s="154" t="s">
        <v>1961</v>
      </c>
      <c r="E12" s="154" t="s">
        <v>1962</v>
      </c>
      <c r="F12" s="154" t="s">
        <v>1963</v>
      </c>
      <c r="G12" s="154" t="s">
        <v>1964</v>
      </c>
      <c r="H12" s="154" t="s">
        <v>1965</v>
      </c>
      <c r="I12" s="154" t="s">
        <v>1966</v>
      </c>
      <c r="J12" s="2">
        <f>0.011+0.005781+0.001378+0.003149+0.136571+0.000659+0.000659</f>
        <v>0.159197</v>
      </c>
    </row>
    <row r="13" ht="14.25" customHeight="1">
      <c r="A13" s="209" t="s">
        <v>1608</v>
      </c>
      <c r="B13" s="661" t="s">
        <v>1609</v>
      </c>
      <c r="C13" s="284">
        <f>225.794679494802/347</f>
        <v>0.6507051282</v>
      </c>
      <c r="D13" s="653" t="s">
        <v>1960</v>
      </c>
      <c r="E13" s="653">
        <v>8.0</v>
      </c>
      <c r="F13" s="653">
        <v>96.0</v>
      </c>
      <c r="G13" s="653">
        <v>166.13</v>
      </c>
      <c r="H13" s="655">
        <f>F13/G13</f>
        <v>0.5778607115</v>
      </c>
      <c r="I13" s="662">
        <f>H13*C13*0.0265</f>
        <v>0.009964448602</v>
      </c>
      <c r="K13" s="663"/>
      <c r="L13" s="663"/>
    </row>
    <row r="14" ht="14.25" customHeight="1">
      <c r="A14" s="664" t="s">
        <v>1967</v>
      </c>
      <c r="B14" s="665">
        <f>SUM(I4,I5,I6,I9)</f>
        <v>0.7574987295</v>
      </c>
    </row>
    <row r="15" ht="14.25" customHeight="1">
      <c r="A15" s="664" t="s">
        <v>1968</v>
      </c>
      <c r="B15" s="665">
        <f>SUM(I10,I11,J12,I13)</f>
        <v>0.7474145014</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I1"/>
    <mergeCell ref="A2:C2"/>
    <mergeCell ref="D2:I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2025-10-20T14:27:49Z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0x010100EEA2E888C3BA1F4A8D506086A4DF9039</vt:lpwstr>
  </property>
</Properties>
</file>